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https://seattlegov-my.sharepoint.com/personal/moon_callison_seattle_gov/Documents/Desktop/"/>
    </mc:Choice>
  </mc:AlternateContent>
  <xr:revisionPtr revIDLastSave="1" documentId="13_ncr:1_{1CAB031F-94D6-45AB-BE97-39AB45D6B99B}" xr6:coauthVersionLast="47" xr6:coauthVersionMax="47" xr10:uidLastSave="{3FA5C2F6-D428-42C6-9F57-F6B7E5338F85}"/>
  <workbookProtection workbookAlgorithmName="SHA-512" workbookHashValue="+9pyCeslGC/JXFjHwB8LIYn7dwdWM4KVYNtaa0+Or8+pol3wmzU6sYWvMxVupqqV9JE48g6AtIux3U3gUcLZpA==" workbookSaltValue="jfr9QIhtuS6Zd9cvBgBkog==" workbookSpinCount="100000" lockStructure="1"/>
  <bookViews>
    <workbookView xWindow="19090" yWindow="-110" windowWidth="38620" windowHeight="21100" xr2:uid="{00000000-000D-0000-FFFF-FFFF00000000}"/>
  </bookViews>
  <sheets>
    <sheet name="Fee Estimator" sheetId="3" r:id="rId1"/>
    <sheet name="BVD" sheetId="5" state="hidden" r:id="rId2"/>
    <sheet name="Table D-1" sheetId="4" state="hidden" r:id="rId3"/>
  </sheets>
  <definedNames>
    <definedName name="ConstType">BVD!$F$5:$N$5</definedName>
    <definedName name="OccupancyGroup">BVD!$C$6:$C$33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7" i="4" l="1"/>
  <c r="J56" i="4"/>
  <c r="J55" i="4"/>
  <c r="J54" i="4"/>
  <c r="J53" i="4"/>
  <c r="J52" i="4"/>
  <c r="J51" i="4"/>
  <c r="J50" i="4"/>
  <c r="J49" i="4"/>
  <c r="J48" i="4"/>
  <c r="J47" i="4"/>
  <c r="J46" i="4"/>
  <c r="J45" i="4"/>
  <c r="J44" i="4"/>
  <c r="J43" i="4"/>
  <c r="J42" i="4"/>
  <c r="J41" i="4"/>
  <c r="J40" i="4"/>
  <c r="J39" i="4"/>
  <c r="J38" i="4"/>
  <c r="J37" i="4"/>
  <c r="J36" i="4"/>
  <c r="J35" i="4"/>
  <c r="J34" i="4"/>
  <c r="J33" i="4"/>
  <c r="J32" i="4"/>
  <c r="J31" i="4"/>
  <c r="J30" i="4"/>
  <c r="J29" i="4"/>
  <c r="J28" i="4"/>
  <c r="J27" i="4"/>
  <c r="J26" i="4"/>
  <c r="J25" i="4"/>
  <c r="J24" i="4"/>
  <c r="J23" i="4"/>
  <c r="J22" i="4"/>
  <c r="J21" i="4"/>
  <c r="J20" i="4"/>
  <c r="J19" i="4"/>
  <c r="J18" i="4"/>
  <c r="J17" i="4"/>
  <c r="J16" i="4"/>
  <c r="J15" i="4"/>
  <c r="J14" i="4"/>
  <c r="J13" i="4"/>
  <c r="J12" i="4"/>
  <c r="J11" i="4"/>
  <c r="J10" i="4"/>
  <c r="J9" i="4"/>
  <c r="J8" i="4"/>
  <c r="J7" i="4"/>
  <c r="I46" i="3" l="1"/>
  <c r="K57" i="3" l="1"/>
  <c r="K56" i="3"/>
  <c r="G8" i="3"/>
  <c r="H8" i="3" s="1"/>
  <c r="I8" i="3" s="1"/>
  <c r="G9" i="3"/>
  <c r="H9" i="3" s="1"/>
  <c r="I9" i="3" s="1"/>
  <c r="G10" i="3"/>
  <c r="H10" i="3" s="1"/>
  <c r="I10" i="3" s="1"/>
  <c r="H16" i="3"/>
  <c r="I16" i="3" s="1"/>
  <c r="H17" i="3"/>
  <c r="I17" i="3" s="1"/>
  <c r="H18" i="3"/>
  <c r="I18" i="3" s="1"/>
  <c r="H19" i="3"/>
  <c r="I19" i="3" s="1"/>
  <c r="H20" i="3"/>
  <c r="I20" i="3" s="1"/>
  <c r="H21" i="3"/>
  <c r="I21" i="3" s="1"/>
  <c r="H22" i="3"/>
  <c r="I22" i="3" s="1"/>
  <c r="H23" i="3"/>
  <c r="I23" i="3" s="1"/>
  <c r="H24" i="3"/>
  <c r="I24" i="3" s="1"/>
  <c r="H25" i="3"/>
  <c r="I25" i="3" s="1"/>
  <c r="H26" i="3"/>
  <c r="I26" i="3" s="1"/>
  <c r="H27" i="3"/>
  <c r="I27" i="3" s="1"/>
  <c r="H28" i="3"/>
  <c r="I28" i="3" s="1"/>
  <c r="H29" i="3"/>
  <c r="I29" i="3" s="1"/>
  <c r="H30" i="3"/>
  <c r="I30" i="3" s="1"/>
  <c r="H31" i="3"/>
  <c r="I31" i="3" s="1"/>
  <c r="H32" i="3"/>
  <c r="I32" i="3" s="1"/>
  <c r="H33" i="3"/>
  <c r="I33" i="3" s="1"/>
  <c r="H34" i="3"/>
  <c r="I34" i="3" s="1"/>
  <c r="H35" i="3"/>
  <c r="I35" i="3" s="1"/>
  <c r="G20" i="3"/>
  <c r="G21" i="3"/>
  <c r="G22" i="3"/>
  <c r="G23" i="3"/>
  <c r="G24" i="3"/>
  <c r="G25" i="3"/>
  <c r="G26" i="3"/>
  <c r="G27" i="3"/>
  <c r="G28" i="3"/>
  <c r="G29" i="3"/>
  <c r="G30" i="3"/>
  <c r="G31" i="3"/>
  <c r="G32" i="3"/>
  <c r="G33" i="3"/>
  <c r="G34" i="3"/>
  <c r="G35" i="3"/>
  <c r="G11" i="3"/>
  <c r="H11" i="3" s="1"/>
  <c r="I11" i="3" s="1"/>
  <c r="G19" i="3"/>
  <c r="G18" i="3"/>
  <c r="G17" i="3"/>
  <c r="G16" i="3"/>
  <c r="G15" i="3"/>
  <c r="H15" i="3" s="1"/>
  <c r="I15" i="3" s="1"/>
  <c r="G14" i="3"/>
  <c r="H14" i="3" s="1"/>
  <c r="I14" i="3" s="1"/>
  <c r="G13" i="3"/>
  <c r="H13" i="3" s="1"/>
  <c r="I13" i="3" s="1"/>
  <c r="G12" i="3"/>
  <c r="H12" i="3" s="1"/>
  <c r="I12" i="3" s="1"/>
  <c r="C16" i="4"/>
  <c r="I36" i="3" l="1"/>
  <c r="I41" i="3" l="1"/>
  <c r="I48" i="3"/>
  <c r="I61" i="3" s="1"/>
  <c r="H7" i="4" l="1"/>
  <c r="I7" i="4" s="1"/>
  <c r="I73" i="3"/>
  <c r="H8" i="4"/>
  <c r="I8" i="4" s="1"/>
  <c r="H27" i="4"/>
  <c r="I27" i="4" s="1"/>
  <c r="H39" i="4"/>
  <c r="I39" i="4" s="1"/>
  <c r="H25" i="4"/>
  <c r="I25" i="4" s="1"/>
  <c r="H15" i="4"/>
  <c r="I15" i="4" s="1"/>
  <c r="H21" i="4"/>
  <c r="I21" i="4" s="1"/>
  <c r="H51" i="4"/>
  <c r="I51" i="4" s="1"/>
  <c r="H34" i="4"/>
  <c r="I34" i="4" s="1"/>
  <c r="H28" i="4"/>
  <c r="I28" i="4" s="1"/>
  <c r="H33" i="4"/>
  <c r="I33" i="4" s="1"/>
  <c r="H40" i="4"/>
  <c r="I40" i="4" s="1"/>
  <c r="H22" i="4"/>
  <c r="I22" i="4" s="1"/>
  <c r="H47" i="4"/>
  <c r="I47" i="4" s="1"/>
  <c r="H37" i="4"/>
  <c r="I37" i="4" s="1"/>
  <c r="H18" i="4"/>
  <c r="I18" i="4" s="1"/>
  <c r="H16" i="4"/>
  <c r="I16" i="4" s="1"/>
  <c r="H55" i="4"/>
  <c r="I55" i="4" s="1"/>
  <c r="H46" i="4"/>
  <c r="I46" i="4" s="1"/>
  <c r="H49" i="4"/>
  <c r="I49" i="4" s="1"/>
  <c r="H26" i="4"/>
  <c r="I26" i="4" s="1"/>
  <c r="H38" i="4"/>
  <c r="I38" i="4" s="1"/>
  <c r="H17" i="4"/>
  <c r="I17" i="4" s="1"/>
  <c r="H23" i="4"/>
  <c r="I23" i="4" s="1"/>
  <c r="H41" i="4"/>
  <c r="I41" i="4" s="1"/>
  <c r="H14" i="4"/>
  <c r="I14" i="4" s="1"/>
  <c r="H52" i="4"/>
  <c r="I52" i="4" s="1"/>
  <c r="H54" i="4"/>
  <c r="I54" i="4" s="1"/>
  <c r="H56" i="4"/>
  <c r="I56" i="4" s="1"/>
  <c r="H31" i="4"/>
  <c r="I31" i="4" s="1"/>
  <c r="H50" i="4"/>
  <c r="I50" i="4" s="1"/>
  <c r="H48" i="4"/>
  <c r="I48" i="4" s="1"/>
  <c r="H29" i="4"/>
  <c r="I29" i="4" s="1"/>
  <c r="H42" i="4"/>
  <c r="I42" i="4" s="1"/>
  <c r="H35" i="4"/>
  <c r="I35" i="4" s="1"/>
  <c r="H19" i="4"/>
  <c r="I19" i="4" s="1"/>
  <c r="H20" i="4"/>
  <c r="I20" i="4" s="1"/>
  <c r="H43" i="4"/>
  <c r="I43" i="4" s="1"/>
  <c r="H10" i="4"/>
  <c r="I10" i="4" s="1"/>
  <c r="H53" i="4"/>
  <c r="I53" i="4" s="1"/>
  <c r="H32" i="4"/>
  <c r="I32" i="4" s="1"/>
  <c r="H9" i="4"/>
  <c r="I9" i="4" s="1"/>
  <c r="H13" i="4"/>
  <c r="I13" i="4" s="1"/>
  <c r="H45" i="4"/>
  <c r="I45" i="4" s="1"/>
  <c r="H36" i="4"/>
  <c r="I36" i="4" s="1"/>
  <c r="H57" i="4"/>
  <c r="I57" i="4" s="1"/>
  <c r="H11" i="4"/>
  <c r="I11" i="4" s="1"/>
  <c r="H24" i="4"/>
  <c r="I24" i="4" s="1"/>
  <c r="H30" i="4"/>
  <c r="I30" i="4" s="1"/>
  <c r="H12" i="4"/>
  <c r="I12" i="4" s="1"/>
  <c r="H44" i="4"/>
  <c r="I44" i="4" s="1"/>
  <c r="I63" i="3" l="1"/>
  <c r="I64" i="3" s="1"/>
  <c r="I65" i="3" l="1"/>
  <c r="I66" i="3"/>
  <c r="I71" i="3" s="1"/>
  <c r="I67" i="3" l="1"/>
  <c r="I68" i="3" s="1"/>
  <c r="I69" i="3" s="1"/>
  <c r="I72" i="3"/>
  <c r="I75" i="3" s="1"/>
  <c r="I79"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Anna Brinkmann</author>
  </authors>
  <commentList>
    <comment ref="H7" authorId="0" shapeId="0" xr:uid="{00000000-0006-0000-0000-000001000000}">
      <text>
        <r>
          <rPr>
            <sz val="8"/>
            <color indexed="81"/>
            <rFont val="Tahoma"/>
            <family val="2"/>
          </rPr>
          <t>This amount is taken from Table D-1, Building Valuation Data, of the 2007 Fee Subtitle.</t>
        </r>
      </text>
    </comment>
  </commentList>
</comments>
</file>

<file path=xl/sharedStrings.xml><?xml version="1.0" encoding="utf-8"?>
<sst xmlns="http://schemas.openxmlformats.org/spreadsheetml/2006/main" count="349" uniqueCount="172">
  <si>
    <t>Calculated Value of Construction</t>
  </si>
  <si>
    <t>Base Fee</t>
  </si>
  <si>
    <t>&lt;</t>
  </si>
  <si>
    <t>=</t>
  </si>
  <si>
    <t>&gt;</t>
  </si>
  <si>
    <t>Per Add'l</t>
  </si>
  <si>
    <t>B</t>
  </si>
  <si>
    <t>Construction Type</t>
  </si>
  <si>
    <t>IA</t>
  </si>
  <si>
    <t>IB</t>
  </si>
  <si>
    <t>IIA</t>
  </si>
  <si>
    <t>IIB</t>
  </si>
  <si>
    <t>Column Index</t>
  </si>
  <si>
    <t>IIIA</t>
  </si>
  <si>
    <t>IIIB</t>
  </si>
  <si>
    <t>IV</t>
  </si>
  <si>
    <t>VA</t>
  </si>
  <si>
    <t>VB</t>
  </si>
  <si>
    <t>Areas in Building (Occupancies)</t>
  </si>
  <si>
    <t>R-1</t>
  </si>
  <si>
    <t>R-2</t>
  </si>
  <si>
    <t>R-3</t>
  </si>
  <si>
    <t>R-4</t>
  </si>
  <si>
    <t>U</t>
  </si>
  <si>
    <t>ICBO BVD Uses</t>
  </si>
  <si>
    <t>IBC Occupancy Group</t>
  </si>
  <si>
    <t>A-1</t>
  </si>
  <si>
    <t xml:space="preserve">Assembly, theaters, with stage </t>
  </si>
  <si>
    <t>Theaters, auditoriums</t>
  </si>
  <si>
    <t xml:space="preserve"> </t>
  </si>
  <si>
    <t xml:space="preserve">Assembly, theaters, without stage </t>
  </si>
  <si>
    <t>A-2</t>
  </si>
  <si>
    <t xml:space="preserve">Assembly, nightclubs </t>
  </si>
  <si>
    <t xml:space="preserve">Assembly, restaurants, bars, banquet halls </t>
  </si>
  <si>
    <t>Restaurants</t>
  </si>
  <si>
    <t>A-3</t>
  </si>
  <si>
    <t xml:space="preserve">Assembly, churches </t>
  </si>
  <si>
    <t>Churches</t>
  </si>
  <si>
    <t>Assembly, general, community halls, libraries, museums</t>
  </si>
  <si>
    <t>Bowling alleys, libraries</t>
  </si>
  <si>
    <t>A-4</t>
  </si>
  <si>
    <t xml:space="preserve">Assembly, arenas </t>
  </si>
  <si>
    <t xml:space="preserve">Business </t>
  </si>
  <si>
    <t>Banks, Medical Office, Office</t>
  </si>
  <si>
    <t>E</t>
  </si>
  <si>
    <t xml:space="preserve">Educational </t>
  </si>
  <si>
    <t>Schools</t>
  </si>
  <si>
    <t>F-1</t>
  </si>
  <si>
    <t>Factory and industrial, moderate hazard</t>
  </si>
  <si>
    <t>Industrial plants</t>
  </si>
  <si>
    <t>F-2</t>
  </si>
  <si>
    <t xml:space="preserve">Factory and industrial, low hazard </t>
  </si>
  <si>
    <t>H-1</t>
  </si>
  <si>
    <t xml:space="preserve">High Hazard, explosives </t>
  </si>
  <si>
    <t>H-2,3,4</t>
  </si>
  <si>
    <t xml:space="preserve">High Hazard </t>
  </si>
  <si>
    <t>H-5</t>
  </si>
  <si>
    <t>HPM</t>
  </si>
  <si>
    <t>I-1</t>
  </si>
  <si>
    <t xml:space="preserve">Institutional, supervised environment </t>
  </si>
  <si>
    <t>Convalescent hospitals, homes for the elderly</t>
  </si>
  <si>
    <t>I-2</t>
  </si>
  <si>
    <t>Institutional, incapacitated</t>
  </si>
  <si>
    <t>Hospitals</t>
  </si>
  <si>
    <t xml:space="preserve">Institutional, </t>
  </si>
  <si>
    <t>Nursing homes</t>
  </si>
  <si>
    <t>I-3</t>
  </si>
  <si>
    <t xml:space="preserve">Institutional, restrained </t>
  </si>
  <si>
    <t>Jails</t>
  </si>
  <si>
    <t>I-4</t>
  </si>
  <si>
    <t xml:space="preserve">Institutional, day care facilities </t>
  </si>
  <si>
    <t>M</t>
  </si>
  <si>
    <t xml:space="preserve">Mercantile </t>
  </si>
  <si>
    <t>Stores, service stations (mini-marts)</t>
  </si>
  <si>
    <t xml:space="preserve">Residential, hotels </t>
  </si>
  <si>
    <t>Hotels and motels</t>
  </si>
  <si>
    <t>Residential, multiple family</t>
  </si>
  <si>
    <t>Apartment houses</t>
  </si>
  <si>
    <t xml:space="preserve">Residential, one- and two-family </t>
  </si>
  <si>
    <t>Dwellings</t>
  </si>
  <si>
    <t xml:space="preserve">Residential care, assisted living facilities </t>
  </si>
  <si>
    <t>S-1</t>
  </si>
  <si>
    <t xml:space="preserve">Storage, moderate hazard </t>
  </si>
  <si>
    <t>Service stations (canopies &amp; service bays), warehouses</t>
  </si>
  <si>
    <t>S-2</t>
  </si>
  <si>
    <t xml:space="preserve">Storage, low hazard </t>
  </si>
  <si>
    <t>Public garages, warehouse</t>
  </si>
  <si>
    <t xml:space="preserve">Utility, miscellaneous </t>
  </si>
  <si>
    <t>Residential garage, private garage</t>
  </si>
  <si>
    <t>Open carports, decks, piers &amp; floats associated with r-3</t>
  </si>
  <si>
    <t>NOTES:</t>
  </si>
  <si>
    <t>FIRE STATIONS are mixed uses, usually including residential and parking, possibly also office.</t>
  </si>
  <si>
    <t>For PUBLIC BUILDINGS, choose the category that the occupancy most nearly resembles.</t>
  </si>
  <si>
    <t>EQUIPMENT AIR CONDITIONING and sprinkler add-ons will not be used.</t>
  </si>
  <si>
    <t>A-1a</t>
  </si>
  <si>
    <t>X</t>
  </si>
  <si>
    <t>A-2a</t>
  </si>
  <si>
    <t>A-3a</t>
  </si>
  <si>
    <t>I-2a</t>
  </si>
  <si>
    <t>(per Section 22.900D.010.A.2)</t>
  </si>
  <si>
    <t>Open carports, decks, piers &amp; floats associated with R-3</t>
  </si>
  <si>
    <t>Due at Issuance:</t>
  </si>
  <si>
    <t>Calculated "Total Plan Review and Permit Fees" Due (Approximate)</t>
  </si>
  <si>
    <t xml:space="preserve"> = </t>
  </si>
  <si>
    <t>Est. Total Value of Project</t>
  </si>
  <si>
    <t xml:space="preserve">State Surcharge = </t>
  </si>
  <si>
    <t>Building Valuation Data</t>
  </si>
  <si>
    <r>
      <t>ICBO</t>
    </r>
    <r>
      <rPr>
        <sz val="8"/>
        <rFont val="Arial"/>
        <family val="2"/>
      </rPr>
      <t xml:space="preserve"> BVD Uses</t>
    </r>
  </si>
  <si>
    <t>Calculated Value</t>
  </si>
  <si>
    <t xml:space="preserve">Plan Review Fee  = </t>
  </si>
  <si>
    <t xml:space="preserve">50% of Permit Fee  = </t>
  </si>
  <si>
    <t>Calculated Total Value</t>
  </si>
  <si>
    <t>(from "Est. Total Value of Project")</t>
  </si>
  <si>
    <t xml:space="preserve">Calculated Value of Building Based on New Area  = </t>
  </si>
  <si>
    <t>Calculated Intake Fee</t>
  </si>
  <si>
    <t>x Cost/Sq Ft</t>
  </si>
  <si>
    <t>Sq Footage</t>
  </si>
  <si>
    <t>Reference Tables:</t>
  </si>
  <si>
    <t>Please type in the number of units in the building. Note that you must do a separate fee calculation for each building in your project.</t>
  </si>
  <si>
    <t>Choose from the drop-down menus and type in your sq. footage.</t>
  </si>
  <si>
    <t>Construction Types</t>
  </si>
  <si>
    <t>Type of User</t>
  </si>
  <si>
    <t>Construction Type and Circumstances</t>
  </si>
  <si>
    <t>Single Family</t>
  </si>
  <si>
    <t>VB is the correct Construction Type for all aspects of all Single Family projects.</t>
  </si>
  <si>
    <t>Small Businesses</t>
  </si>
  <si>
    <t>Design Professionals</t>
  </si>
  <si>
    <t>Please click below to view a complete listing of Construction Types.</t>
  </si>
  <si>
    <t>Occupancy Group Definitions</t>
  </si>
  <si>
    <t>Descriptions of Construction Type codes are detailed in Section 602 
of the Seattle Building Code</t>
  </si>
  <si>
    <t>(Collected at issuance plus additional review or misc. fees)</t>
  </si>
  <si>
    <t xml:space="preserve">Step 1. Calculate New Construction Value </t>
  </si>
  <si>
    <r>
      <t>ICC</t>
    </r>
    <r>
      <rPr>
        <sz val="8"/>
        <rFont val="Arial"/>
        <family val="2"/>
      </rPr>
      <t xml:space="preserve"> BVD Uses  (2003 SBC Ch. 3)</t>
    </r>
  </si>
  <si>
    <t>In this field, enter the value of work associated with altering existing sq. footage, and therefore not yet reflected in the calculations above. For example, this is where you enter your budget for internal renovations, including the cost of interior finishes.</t>
  </si>
  <si>
    <t>Calculated DFI (Development Fee Index)</t>
  </si>
  <si>
    <t>(100% of DFI, per Table D-2)</t>
  </si>
  <si>
    <t>(50% of DFI, per Table D-2)</t>
  </si>
  <si>
    <t>(Examples: PASV, Special Inspections, Hourly Reviews, etc.)</t>
  </si>
  <si>
    <t xml:space="preserve">Remaining 50% of Permit Fee = </t>
  </si>
  <si>
    <t>Step 2. Enter Value of Additional Work                        =</t>
  </si>
  <si>
    <t>Additional Review or Miscellaneous Fees if required (check Fee Subtitle online)</t>
  </si>
  <si>
    <t>NP</t>
  </si>
  <si>
    <t>Residential</t>
  </si>
  <si>
    <t>Commercial</t>
  </si>
  <si>
    <t>Mixed Use</t>
  </si>
  <si>
    <t>(per Table D-1)</t>
  </si>
  <si>
    <t>In this field, select the building type from the dropdown menu. Commercial buildings are any building without residential units, and mixed-use building contain both residential units and commercial portions. This field is used to determine the State Surcharge.</t>
  </si>
  <si>
    <t>Bulding Type</t>
  </si>
  <si>
    <t>Building Types for State Surcharge Calculation</t>
  </si>
  <si>
    <t>Building contains housing units only</t>
  </si>
  <si>
    <t>Any building without housing units</t>
  </si>
  <si>
    <t>Building with both commercial portion and housing units</t>
  </si>
  <si>
    <t>Step 3. Enter number of stories if IA or IB Construction</t>
  </si>
  <si>
    <t>In this field, enter the number of stories from top of the foundation for proposed building of Construction type IA or IB and with occupancy of R-1, R-2, I-4, B, Public Buildings/Garages, or M.  This calculates the story multiplier fee when applicable.</t>
  </si>
  <si>
    <t xml:space="preserve">Additional story multiplier                                                                                                     </t>
  </si>
  <si>
    <t>Step 4. Select Building Type</t>
  </si>
  <si>
    <t>Step 5. Enter Number of Dwelling Units in Building =</t>
  </si>
  <si>
    <t>Step 6. Estimate Your Fees</t>
  </si>
  <si>
    <t>Remaining Fees Due at Issuance</t>
  </si>
  <si>
    <t>(Estimate of Total Fees Due Including State Surchage and Technology Fee)</t>
  </si>
  <si>
    <t>Total Intake Fees Including 5% Technology Fee</t>
  </si>
  <si>
    <t>(per Section 22.900A.100, calculated by Accela)</t>
  </si>
  <si>
    <t xml:space="preserve">5% Technology Fee on Intake Fees = </t>
  </si>
  <si>
    <t xml:space="preserve">5% Technology Fee on Issuance Fees = </t>
  </si>
  <si>
    <t>Fee Estimator (based on 2024 Fee Subtitle)</t>
  </si>
  <si>
    <t>2024 SQ FT CONST COSTS from Director's Rule 1-2024</t>
  </si>
  <si>
    <t>2024 Calculated DFI</t>
  </si>
  <si>
    <t xml:space="preserve">Ref: Table D-1 Calculation of Development Fee Index from 2024 Fee Subtitle </t>
  </si>
  <si>
    <r>
      <t>NOTE:</t>
    </r>
    <r>
      <rPr>
        <sz val="8"/>
        <color rgb="FFA20000"/>
        <rFont val="Arial"/>
        <family val="2"/>
      </rPr>
      <t xml:space="preserve"> The amounts estimated through this tool may not be accurate if the values entered in the tool are incorrect. SDCI will accept intake fees that fall reasonably close to the amount required. All fees must be paid in their entirety before a permit can be issued.</t>
    </r>
  </si>
  <si>
    <t>Construction Type varies according to type of material and size of project. Note that projects valued at $30,000 or more must have</t>
  </si>
  <si>
    <t xml:space="preserve"> the involvement of a licensed design professional (SBC Section 106.5.2.2). </t>
  </si>
  <si>
    <t>Please complete steps 1-4 for each building in your development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</si>
</sst>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4" formatCode="_(&quot;$&quot;* #,##0.00_);_(&quot;$&quot;* \(#,##0.00\);_(&quot;$&quot;* &quot;-&quot;??_);_(@_)"/>
    <numFmt numFmtId="43" formatCode="_(* #,##0.00_);_(* \(#,##0.00\);_(* &quot;-&quot;??_);_(@_)"/>
    <numFmt numFmtId="164" formatCode="&quot;$&quot;#,##0.00"/>
    <numFmt numFmtId="165" formatCode="&quot;$&quot;#,##0"/>
  </numFmts>
  <fonts count="30" x14ac:knownFonts="1">
    <font>
      <sz val="10"/>
      <name val="Arial"/>
    </font>
    <font>
      <sz val="10"/>
      <name val="Arial"/>
      <family val="2"/>
    </font>
    <font>
      <b/>
      <sz val="10"/>
      <name val="Arial"/>
      <family val="2"/>
    </font>
    <font>
      <sz val="8"/>
      <name val="Arial"/>
      <family val="2"/>
    </font>
    <font>
      <b/>
      <sz val="14"/>
      <name val="Arial"/>
      <family val="2"/>
    </font>
    <font>
      <sz val="9"/>
      <name val="Arial"/>
      <family val="2"/>
    </font>
    <font>
      <b/>
      <sz val="9"/>
      <name val="Arial"/>
      <family val="2"/>
    </font>
    <font>
      <b/>
      <sz val="9"/>
      <name val="Arial"/>
      <family val="2"/>
    </font>
    <font>
      <sz val="9"/>
      <name val="Arial"/>
      <family val="2"/>
    </font>
    <font>
      <u/>
      <sz val="10"/>
      <color indexed="12"/>
      <name val="Arial"/>
      <family val="2"/>
    </font>
    <font>
      <b/>
      <sz val="8"/>
      <name val="Arial"/>
      <family val="2"/>
    </font>
    <font>
      <sz val="8"/>
      <name val="Arial"/>
      <family val="2"/>
    </font>
    <font>
      <b/>
      <u/>
      <sz val="10"/>
      <color indexed="12"/>
      <name val="Arial"/>
      <family val="2"/>
    </font>
    <font>
      <b/>
      <u/>
      <sz val="8"/>
      <color indexed="12"/>
      <name val="Arial"/>
      <family val="2"/>
    </font>
    <font>
      <b/>
      <sz val="9"/>
      <color indexed="10"/>
      <name val="Arial"/>
      <family val="2"/>
    </font>
    <font>
      <sz val="8"/>
      <color indexed="10"/>
      <name val="Arial"/>
      <family val="2"/>
    </font>
    <font>
      <b/>
      <sz val="12"/>
      <name val="Arial"/>
      <family val="2"/>
    </font>
    <font>
      <b/>
      <sz val="8"/>
      <color indexed="10"/>
      <name val="Arial"/>
      <family val="2"/>
    </font>
    <font>
      <b/>
      <u/>
      <sz val="10"/>
      <color indexed="12"/>
      <name val="Arial"/>
      <family val="2"/>
    </font>
    <font>
      <sz val="9"/>
      <color indexed="10"/>
      <name val="Arial"/>
      <family val="2"/>
    </font>
    <font>
      <sz val="8"/>
      <color indexed="81"/>
      <name val="Tahoma"/>
      <family val="2"/>
    </font>
    <font>
      <b/>
      <sz val="10"/>
      <color rgb="FF0000FF"/>
      <name val="Arial"/>
      <family val="2"/>
    </font>
    <font>
      <sz val="8"/>
      <color theme="8" tint="0.79998168889431442"/>
      <name val="Arial"/>
      <family val="2"/>
    </font>
    <font>
      <sz val="8"/>
      <color rgb="FFC00000"/>
      <name val="Arial"/>
      <family val="2"/>
    </font>
    <font>
      <sz val="10"/>
      <color rgb="FFC00000"/>
      <name val="Arial"/>
      <family val="2"/>
    </font>
    <font>
      <sz val="9"/>
      <color rgb="FFA20000"/>
      <name val="Arial"/>
      <family val="2"/>
    </font>
    <font>
      <b/>
      <sz val="8"/>
      <color rgb="FFA20000"/>
      <name val="Arial"/>
      <family val="2"/>
    </font>
    <font>
      <sz val="8"/>
      <color rgb="FFA20000"/>
      <name val="Arial"/>
      <family val="2"/>
    </font>
    <font>
      <b/>
      <sz val="8"/>
      <color theme="1"/>
      <name val="Arial"/>
      <family val="2"/>
    </font>
    <font>
      <b/>
      <u/>
      <sz val="16"/>
      <name val="Arial"/>
      <family val="2"/>
    </font>
  </fonts>
  <fills count="10">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9"/>
        <bgColor indexed="64"/>
      </patternFill>
    </fill>
    <fill>
      <patternFill patternType="solid">
        <fgColor indexed="44"/>
        <bgColor indexed="64"/>
      </patternFill>
    </fill>
    <fill>
      <patternFill patternType="solid">
        <fgColor theme="8"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rgb="FF99CCFF"/>
        <bgColor indexed="64"/>
      </patternFill>
    </fill>
  </fills>
  <borders count="49">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style="thick">
        <color indexed="64"/>
      </right>
      <top style="thick">
        <color indexed="64"/>
      </top>
      <bottom style="thick">
        <color indexed="64"/>
      </bottom>
      <diagonal/>
    </border>
    <border>
      <left/>
      <right/>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right/>
      <top style="thin">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dashed">
        <color indexed="64"/>
      </left>
      <right style="dashed">
        <color indexed="64"/>
      </right>
      <top style="thin">
        <color indexed="64"/>
      </top>
      <bottom style="dashed">
        <color indexed="64"/>
      </bottom>
      <diagonal/>
    </border>
    <border>
      <left style="dotted">
        <color indexed="64"/>
      </left>
      <right style="dotted">
        <color indexed="64"/>
      </right>
      <top/>
      <bottom/>
      <diagonal/>
    </border>
    <border>
      <left style="dotted">
        <color indexed="64"/>
      </left>
      <right style="dotted">
        <color indexed="64"/>
      </right>
      <top style="thick">
        <color indexed="64"/>
      </top>
      <bottom/>
      <diagonal/>
    </border>
    <border>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dotted">
        <color indexed="64"/>
      </right>
      <top style="dotted">
        <color indexed="64"/>
      </top>
      <bottom style="dotted">
        <color indexed="64"/>
      </bottom>
      <diagonal/>
    </border>
    <border>
      <left/>
      <right style="dotted">
        <color indexed="64"/>
      </right>
      <top/>
      <bottom/>
      <diagonal/>
    </border>
    <border>
      <left/>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right style="dotted">
        <color indexed="64"/>
      </right>
      <top/>
      <bottom style="medium">
        <color indexed="64"/>
      </bottom>
      <diagonal/>
    </border>
    <border>
      <left/>
      <right style="thick">
        <color indexed="64"/>
      </right>
      <top/>
      <bottom/>
      <diagonal/>
    </border>
    <border>
      <left/>
      <right style="dotted">
        <color indexed="64"/>
      </right>
      <top style="medium">
        <color indexed="64"/>
      </top>
      <bottom style="dotted">
        <color indexed="64"/>
      </bottom>
      <diagonal/>
    </border>
    <border>
      <left/>
      <right style="thick">
        <color indexed="64"/>
      </right>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right/>
      <top style="thin">
        <color indexed="64"/>
      </top>
      <bottom style="dotted">
        <color indexed="64"/>
      </bottom>
      <diagonal/>
    </border>
    <border>
      <left/>
      <right style="dashed">
        <color indexed="64"/>
      </right>
      <top style="thin">
        <color indexed="64"/>
      </top>
      <bottom style="dotted">
        <color indexed="64"/>
      </bottom>
      <diagonal/>
    </border>
    <border>
      <left style="dotted">
        <color indexed="64"/>
      </left>
      <right style="dotted">
        <color indexed="64"/>
      </right>
      <top style="dotted">
        <color indexed="64"/>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9" fillId="0" borderId="0" applyNumberFormat="0" applyFill="0" applyBorder="0" applyAlignment="0" applyProtection="0">
      <alignment vertical="top"/>
      <protection locked="0"/>
    </xf>
  </cellStyleXfs>
  <cellXfs count="269">
    <xf numFmtId="0" fontId="0" fillId="0" borderId="0" xfId="0"/>
    <xf numFmtId="0" fontId="0" fillId="0" borderId="0" xfId="0" applyAlignment="1">
      <alignment horizontal="center"/>
    </xf>
    <xf numFmtId="0" fontId="0" fillId="0" borderId="0" xfId="0" applyAlignment="1">
      <alignment wrapText="1"/>
    </xf>
    <xf numFmtId="0" fontId="4" fillId="0" borderId="0" xfId="0" applyFont="1"/>
    <xf numFmtId="0" fontId="5" fillId="0" borderId="1" xfId="0" applyFont="1" applyBorder="1" applyAlignment="1">
      <alignment horizontal="center"/>
    </xf>
    <xf numFmtId="0" fontId="5"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6" fillId="0" borderId="5" xfId="0" applyFont="1" applyBorder="1" applyAlignment="1">
      <alignment horizontal="center"/>
    </xf>
    <xf numFmtId="0" fontId="5" fillId="0" borderId="6" xfId="0" applyFont="1" applyBorder="1" applyAlignment="1">
      <alignment horizontal="center"/>
    </xf>
    <xf numFmtId="0" fontId="5" fillId="0" borderId="0" xfId="0" applyFont="1"/>
    <xf numFmtId="0" fontId="5" fillId="0" borderId="1" xfId="0" applyFont="1" applyBorder="1"/>
    <xf numFmtId="0" fontId="6" fillId="0" borderId="7" xfId="0" applyFont="1" applyBorder="1" applyAlignment="1">
      <alignment horizontal="center"/>
    </xf>
    <xf numFmtId="0" fontId="6" fillId="0" borderId="8" xfId="0" applyFont="1" applyBorder="1" applyAlignment="1">
      <alignment horizontal="center"/>
    </xf>
    <xf numFmtId="0" fontId="5" fillId="0" borderId="1" xfId="0" applyFont="1" applyBorder="1" applyAlignment="1">
      <alignment wrapText="1"/>
    </xf>
    <xf numFmtId="0" fontId="5" fillId="2" borderId="1" xfId="0" applyFont="1" applyFill="1" applyBorder="1" applyAlignment="1">
      <alignment horizontal="center"/>
    </xf>
    <xf numFmtId="0" fontId="5" fillId="2" borderId="9" xfId="0" applyFont="1" applyFill="1" applyBorder="1" applyAlignment="1">
      <alignment horizontal="center"/>
    </xf>
    <xf numFmtId="0" fontId="5" fillId="2" borderId="10" xfId="0" applyFont="1" applyFill="1" applyBorder="1" applyAlignment="1">
      <alignment horizontal="center"/>
    </xf>
    <xf numFmtId="0" fontId="5" fillId="2" borderId="4" xfId="0" applyFont="1" applyFill="1" applyBorder="1" applyAlignment="1">
      <alignment horizontal="center"/>
    </xf>
    <xf numFmtId="0" fontId="5" fillId="2" borderId="5" xfId="0" applyFont="1" applyFill="1" applyBorder="1" applyAlignment="1">
      <alignment horizontal="center"/>
    </xf>
    <xf numFmtId="0" fontId="2" fillId="0" borderId="0" xfId="0" applyFont="1"/>
    <xf numFmtId="0" fontId="5" fillId="0" borderId="0" xfId="0" applyFont="1" applyAlignment="1">
      <alignment horizontal="right" wrapText="1"/>
    </xf>
    <xf numFmtId="0" fontId="5" fillId="0" borderId="0" xfId="0" applyFont="1" applyAlignment="1">
      <alignment horizontal="left" wrapText="1"/>
    </xf>
    <xf numFmtId="0" fontId="6" fillId="0" borderId="0" xfId="0" applyFont="1" applyAlignment="1">
      <alignment horizontal="center" wrapText="1"/>
    </xf>
    <xf numFmtId="44" fontId="5" fillId="0" borderId="0" xfId="2" applyFont="1" applyBorder="1" applyAlignment="1">
      <alignment horizontal="left" wrapText="1"/>
    </xf>
    <xf numFmtId="44" fontId="6" fillId="0" borderId="0" xfId="0" applyNumberFormat="1" applyFont="1" applyAlignment="1">
      <alignment horizontal="center" wrapText="1"/>
    </xf>
    <xf numFmtId="44" fontId="6" fillId="0" borderId="0" xfId="2" applyFont="1" applyFill="1" applyBorder="1" applyAlignment="1">
      <alignment horizontal="right" wrapText="1"/>
    </xf>
    <xf numFmtId="44" fontId="5" fillId="0" borderId="0" xfId="2" applyFont="1" applyBorder="1" applyAlignment="1">
      <alignment horizontal="center" wrapText="1"/>
    </xf>
    <xf numFmtId="2" fontId="5" fillId="0" borderId="0" xfId="0" applyNumberFormat="1" applyFont="1" applyAlignment="1">
      <alignment horizontal="center" wrapText="1"/>
    </xf>
    <xf numFmtId="44" fontId="5" fillId="0" borderId="0" xfId="2" applyFont="1" applyFill="1" applyBorder="1" applyAlignment="1">
      <alignment horizontal="center" wrapText="1"/>
    </xf>
    <xf numFmtId="0" fontId="5" fillId="0" borderId="0" xfId="0" applyFont="1" applyAlignment="1">
      <alignment horizontal="center" wrapText="1"/>
    </xf>
    <xf numFmtId="0" fontId="10" fillId="3" borderId="11" xfId="0" applyFont="1" applyFill="1" applyBorder="1" applyAlignment="1" applyProtection="1">
      <alignment horizontal="center"/>
      <protection locked="0"/>
    </xf>
    <xf numFmtId="0" fontId="10" fillId="3" borderId="12" xfId="0" applyFont="1" applyFill="1" applyBorder="1" applyAlignment="1" applyProtection="1">
      <alignment horizontal="center"/>
      <protection locked="0"/>
    </xf>
    <xf numFmtId="0" fontId="10" fillId="3" borderId="13" xfId="0" applyFont="1" applyFill="1" applyBorder="1" applyAlignment="1" applyProtection="1">
      <alignment horizontal="center"/>
      <protection locked="0"/>
    </xf>
    <xf numFmtId="0" fontId="9" fillId="0" borderId="0" xfId="3" applyAlignment="1" applyProtection="1"/>
    <xf numFmtId="0" fontId="10" fillId="4" borderId="14" xfId="0" applyFont="1" applyFill="1" applyBorder="1" applyAlignment="1" applyProtection="1">
      <alignment horizontal="center"/>
      <protection locked="0"/>
    </xf>
    <xf numFmtId="164" fontId="10" fillId="4" borderId="14" xfId="0" applyNumberFormat="1" applyFont="1" applyFill="1" applyBorder="1" applyAlignment="1" applyProtection="1">
      <alignment horizontal="right"/>
      <protection locked="0"/>
    </xf>
    <xf numFmtId="0" fontId="10" fillId="4" borderId="11" xfId="0" applyFont="1" applyFill="1" applyBorder="1" applyAlignment="1" applyProtection="1">
      <alignment horizontal="center" wrapText="1"/>
      <protection locked="0"/>
    </xf>
    <xf numFmtId="0" fontId="10" fillId="4" borderId="12" xfId="0" applyFont="1" applyFill="1" applyBorder="1" applyAlignment="1" applyProtection="1">
      <alignment horizontal="center"/>
      <protection locked="0"/>
    </xf>
    <xf numFmtId="0" fontId="10" fillId="4" borderId="12" xfId="0" applyFont="1" applyFill="1" applyBorder="1" applyAlignment="1" applyProtection="1">
      <alignment horizontal="center" wrapText="1"/>
      <protection locked="0"/>
    </xf>
    <xf numFmtId="0" fontId="10" fillId="4" borderId="13" xfId="0" applyFont="1" applyFill="1" applyBorder="1" applyAlignment="1" applyProtection="1">
      <alignment horizontal="center"/>
      <protection locked="0"/>
    </xf>
    <xf numFmtId="44" fontId="10" fillId="4" borderId="14" xfId="2" applyFont="1" applyFill="1" applyBorder="1" applyProtection="1">
      <protection locked="0"/>
    </xf>
    <xf numFmtId="0" fontId="11" fillId="0" borderId="0" xfId="0" applyFont="1" applyProtection="1">
      <protection locked="0"/>
    </xf>
    <xf numFmtId="0" fontId="11" fillId="0" borderId="0" xfId="0" applyFont="1" applyAlignment="1" applyProtection="1">
      <alignment horizontal="center"/>
      <protection locked="0"/>
    </xf>
    <xf numFmtId="0" fontId="11" fillId="0" borderId="0" xfId="0" applyFont="1" applyAlignment="1" applyProtection="1">
      <alignment horizontal="center" wrapText="1"/>
      <protection locked="0"/>
    </xf>
    <xf numFmtId="0" fontId="10" fillId="0" borderId="0" xfId="0" applyFont="1" applyAlignment="1" applyProtection="1">
      <alignment horizontal="center"/>
      <protection locked="0"/>
    </xf>
    <xf numFmtId="0" fontId="10" fillId="0" borderId="0" xfId="0" applyFont="1" applyProtection="1">
      <protection locked="0"/>
    </xf>
    <xf numFmtId="0" fontId="10" fillId="0" borderId="0" xfId="0" applyFont="1" applyAlignment="1" applyProtection="1">
      <alignment horizontal="left" vertical="center"/>
      <protection locked="0"/>
    </xf>
    <xf numFmtId="0" fontId="10" fillId="0" borderId="0" xfId="0" applyFont="1" applyAlignment="1" applyProtection="1">
      <alignment vertical="center"/>
      <protection locked="0"/>
    </xf>
    <xf numFmtId="0" fontId="11" fillId="0" borderId="0" xfId="0" applyFont="1" applyAlignment="1" applyProtection="1">
      <alignment vertical="center"/>
      <protection locked="0"/>
    </xf>
    <xf numFmtId="0" fontId="17" fillId="0" borderId="0" xfId="0" applyFont="1" applyAlignment="1" applyProtection="1">
      <alignment horizontal="left" indent="1"/>
      <protection locked="0"/>
    </xf>
    <xf numFmtId="0" fontId="19" fillId="0" borderId="0" xfId="0" applyFont="1" applyAlignment="1" applyProtection="1">
      <alignment horizontal="left" vertical="top" indent="2"/>
      <protection locked="0"/>
    </xf>
    <xf numFmtId="0" fontId="14" fillId="0" borderId="0" xfId="0" applyFont="1" applyAlignment="1" applyProtection="1">
      <alignment horizontal="left" vertical="top" indent="2"/>
      <protection locked="0"/>
    </xf>
    <xf numFmtId="0" fontId="2" fillId="0" borderId="0" xfId="0" applyFont="1" applyAlignment="1" applyProtection="1">
      <alignment horizontal="left" vertical="top" indent="2"/>
      <protection locked="0"/>
    </xf>
    <xf numFmtId="0" fontId="12" fillId="0" borderId="0" xfId="3" applyFont="1" applyFill="1" applyAlignment="1" applyProtection="1">
      <alignment wrapText="1"/>
      <protection locked="0"/>
    </xf>
    <xf numFmtId="0" fontId="18" fillId="0" borderId="0" xfId="3" applyFont="1" applyAlignment="1" applyProtection="1">
      <protection locked="0"/>
    </xf>
    <xf numFmtId="0" fontId="11" fillId="0" borderId="0" xfId="0" applyFont="1" applyAlignment="1" applyProtection="1">
      <alignment wrapText="1"/>
      <protection locked="0"/>
    </xf>
    <xf numFmtId="8" fontId="11" fillId="0" borderId="0" xfId="0" applyNumberFormat="1" applyFont="1" applyAlignment="1" applyProtection="1">
      <alignment horizontal="center"/>
      <protection locked="0"/>
    </xf>
    <xf numFmtId="0" fontId="15" fillId="0" borderId="0" xfId="0" applyFont="1" applyAlignment="1" applyProtection="1">
      <alignment vertical="top" wrapText="1"/>
      <protection locked="0"/>
    </xf>
    <xf numFmtId="0" fontId="15" fillId="0" borderId="0" xfId="0" applyFont="1" applyAlignment="1" applyProtection="1">
      <alignment wrapText="1"/>
      <protection locked="0"/>
    </xf>
    <xf numFmtId="0" fontId="11" fillId="0" borderId="0" xfId="0" applyFont="1"/>
    <xf numFmtId="0" fontId="11" fillId="0" borderId="0" xfId="0" applyFont="1" applyAlignment="1">
      <alignment horizontal="center"/>
    </xf>
    <xf numFmtId="0" fontId="11" fillId="0" borderId="0" xfId="0" applyFont="1" applyAlignment="1">
      <alignment horizontal="center" wrapText="1"/>
    </xf>
    <xf numFmtId="0" fontId="10" fillId="0" borderId="0" xfId="0" applyFont="1"/>
    <xf numFmtId="0" fontId="16" fillId="0" borderId="0" xfId="0" applyFont="1" applyAlignment="1">
      <alignment horizontal="left" vertical="center"/>
    </xf>
    <xf numFmtId="0" fontId="10" fillId="0" borderId="0" xfId="0" applyFont="1" applyAlignment="1">
      <alignment horizontal="left" vertical="center"/>
    </xf>
    <xf numFmtId="0" fontId="10" fillId="0" borderId="0" xfId="0" applyFont="1" applyAlignment="1">
      <alignment vertical="center"/>
    </xf>
    <xf numFmtId="0" fontId="11" fillId="0" borderId="0" xfId="0" applyFont="1" applyAlignment="1">
      <alignment horizontal="center" vertical="center"/>
    </xf>
    <xf numFmtId="0" fontId="2" fillId="0" borderId="0" xfId="0" applyFont="1" applyAlignment="1">
      <alignment vertical="center"/>
    </xf>
    <xf numFmtId="0" fontId="10" fillId="0" borderId="0" xfId="0" applyFont="1" applyAlignment="1">
      <alignment horizontal="center" vertical="center"/>
    </xf>
    <xf numFmtId="0" fontId="10" fillId="0" borderId="0" xfId="0" applyFont="1" applyAlignment="1">
      <alignment horizontal="left" vertical="center" wrapText="1"/>
    </xf>
    <xf numFmtId="0" fontId="10" fillId="0" borderId="15" xfId="0" applyFont="1" applyBorder="1" applyAlignment="1">
      <alignment horizontal="left" vertical="center"/>
    </xf>
    <xf numFmtId="0" fontId="2" fillId="0" borderId="16" xfId="0" applyFont="1" applyBorder="1" applyAlignment="1">
      <alignment horizontal="left" vertical="center"/>
    </xf>
    <xf numFmtId="0" fontId="11" fillId="0" borderId="16" xfId="0" applyFont="1" applyBorder="1" applyAlignment="1">
      <alignment horizontal="center" vertical="center"/>
    </xf>
    <xf numFmtId="0" fontId="11" fillId="0" borderId="16" xfId="0" applyFont="1" applyBorder="1" applyAlignment="1">
      <alignment vertical="center"/>
    </xf>
    <xf numFmtId="0" fontId="10" fillId="5" borderId="14" xfId="0" applyFont="1" applyFill="1" applyBorder="1" applyAlignment="1">
      <alignment horizontal="center" wrapText="1"/>
    </xf>
    <xf numFmtId="0" fontId="11" fillId="5" borderId="16" xfId="0" applyFont="1" applyFill="1" applyBorder="1" applyAlignment="1">
      <alignment horizontal="center" wrapText="1"/>
    </xf>
    <xf numFmtId="0" fontId="10" fillId="5" borderId="17" xfId="0" applyFont="1" applyFill="1" applyBorder="1" applyAlignment="1">
      <alignment horizontal="center" wrapText="1"/>
    </xf>
    <xf numFmtId="49" fontId="10" fillId="5" borderId="17" xfId="0" applyNumberFormat="1" applyFont="1" applyFill="1" applyBorder="1" applyAlignment="1">
      <alignment horizontal="center" wrapText="1"/>
    </xf>
    <xf numFmtId="0" fontId="10" fillId="5" borderId="1" xfId="0" applyFont="1" applyFill="1" applyBorder="1" applyAlignment="1">
      <alignment horizontal="center" wrapText="1"/>
    </xf>
    <xf numFmtId="0" fontId="10" fillId="5" borderId="9" xfId="0" applyFont="1" applyFill="1" applyBorder="1"/>
    <xf numFmtId="0" fontId="11" fillId="5" borderId="2" xfId="0" applyFont="1" applyFill="1" applyBorder="1"/>
    <xf numFmtId="0" fontId="11" fillId="5" borderId="18" xfId="0" applyFont="1" applyFill="1" applyBorder="1"/>
    <xf numFmtId="0" fontId="11" fillId="2" borderId="15" xfId="0" applyFont="1" applyFill="1" applyBorder="1" applyAlignment="1">
      <alignment horizontal="center" wrapText="1"/>
    </xf>
    <xf numFmtId="164" fontId="11" fillId="0" borderId="17" xfId="0" applyNumberFormat="1" applyFont="1" applyBorder="1" applyAlignment="1">
      <alignment horizontal="center"/>
    </xf>
    <xf numFmtId="164" fontId="10" fillId="0" borderId="17" xfId="0" applyNumberFormat="1" applyFont="1" applyBorder="1" applyAlignment="1">
      <alignment horizontal="right"/>
    </xf>
    <xf numFmtId="0" fontId="10" fillId="0" borderId="19" xfId="0" applyFont="1" applyBorder="1" applyAlignment="1">
      <alignment horizontal="center"/>
    </xf>
    <xf numFmtId="0" fontId="11" fillId="0" borderId="20" xfId="0" applyFont="1" applyBorder="1" applyAlignment="1">
      <alignment horizontal="left"/>
    </xf>
    <xf numFmtId="0" fontId="11" fillId="0" borderId="21" xfId="0" applyFont="1" applyBorder="1" applyAlignment="1">
      <alignment horizontal="center"/>
    </xf>
    <xf numFmtId="0" fontId="11" fillId="0" borderId="22" xfId="0" applyFont="1" applyBorder="1" applyAlignment="1">
      <alignment horizontal="center"/>
    </xf>
    <xf numFmtId="0" fontId="11" fillId="2" borderId="23" xfId="0" applyFont="1" applyFill="1" applyBorder="1" applyAlignment="1">
      <alignment horizontal="center" wrapText="1"/>
    </xf>
    <xf numFmtId="0" fontId="10" fillId="5" borderId="6" xfId="0" applyFont="1" applyFill="1" applyBorder="1" applyAlignment="1">
      <alignment horizontal="center"/>
    </xf>
    <xf numFmtId="0" fontId="11" fillId="5" borderId="24" xfId="0" applyFont="1" applyFill="1" applyBorder="1" applyAlignment="1">
      <alignment horizontal="left"/>
    </xf>
    <xf numFmtId="0" fontId="11" fillId="5" borderId="0" xfId="0" applyFont="1" applyFill="1"/>
    <xf numFmtId="0" fontId="11" fillId="5" borderId="25" xfId="0" applyFont="1" applyFill="1" applyBorder="1"/>
    <xf numFmtId="0" fontId="10" fillId="0" borderId="6" xfId="0" applyFont="1" applyBorder="1" applyAlignment="1">
      <alignment horizontal="center"/>
    </xf>
    <xf numFmtId="0" fontId="11" fillId="0" borderId="24" xfId="0" applyFont="1" applyBorder="1" applyAlignment="1">
      <alignment horizontal="left"/>
    </xf>
    <xf numFmtId="0" fontId="11" fillId="0" borderId="25" xfId="0" applyFont="1" applyBorder="1"/>
    <xf numFmtId="0" fontId="11" fillId="2" borderId="26" xfId="0" applyFont="1" applyFill="1" applyBorder="1" applyAlignment="1">
      <alignment horizontal="center" wrapText="1"/>
    </xf>
    <xf numFmtId="0" fontId="10" fillId="5" borderId="27" xfId="0" applyFont="1" applyFill="1" applyBorder="1" applyAlignment="1">
      <alignment horizontal="center"/>
    </xf>
    <xf numFmtId="0" fontId="11" fillId="5" borderId="28" xfId="0" applyFont="1" applyFill="1" applyBorder="1" applyAlignment="1">
      <alignment horizontal="left"/>
    </xf>
    <xf numFmtId="0" fontId="11" fillId="5" borderId="16" xfId="0" applyFont="1" applyFill="1" applyBorder="1"/>
    <xf numFmtId="0" fontId="11" fillId="5" borderId="29" xfId="0" applyFont="1" applyFill="1" applyBorder="1"/>
    <xf numFmtId="164" fontId="10" fillId="0" borderId="31" xfId="0" applyNumberFormat="1" applyFont="1" applyBorder="1" applyAlignment="1">
      <alignment horizontal="right"/>
    </xf>
    <xf numFmtId="0" fontId="10" fillId="0" borderId="0" xfId="0" applyFont="1" applyAlignment="1">
      <alignment horizontal="right"/>
    </xf>
    <xf numFmtId="164" fontId="10" fillId="0" borderId="32" xfId="0" applyNumberFormat="1" applyFont="1" applyBorder="1" applyAlignment="1">
      <alignment horizontal="right"/>
    </xf>
    <xf numFmtId="0" fontId="2" fillId="0" borderId="0" xfId="0" applyFont="1" applyAlignment="1">
      <alignment wrapText="1"/>
    </xf>
    <xf numFmtId="164" fontId="10" fillId="0" borderId="33" xfId="0" applyNumberFormat="1" applyFont="1" applyBorder="1" applyAlignment="1">
      <alignment horizontal="right"/>
    </xf>
    <xf numFmtId="0" fontId="11" fillId="0" borderId="32" xfId="0" applyFont="1" applyBorder="1" applyAlignment="1">
      <alignment horizontal="center"/>
    </xf>
    <xf numFmtId="0" fontId="10" fillId="0" borderId="30" xfId="0" applyFont="1" applyBorder="1"/>
    <xf numFmtId="0" fontId="10" fillId="0" borderId="34" xfId="0" applyFont="1" applyBorder="1" applyAlignment="1">
      <alignment horizontal="right"/>
    </xf>
    <xf numFmtId="164" fontId="10" fillId="0" borderId="35" xfId="0" applyNumberFormat="1" applyFont="1" applyBorder="1" applyAlignment="1">
      <alignment horizontal="right"/>
    </xf>
    <xf numFmtId="0" fontId="16" fillId="0" borderId="0" xfId="0" applyFont="1" applyAlignment="1">
      <alignment horizontal="right"/>
    </xf>
    <xf numFmtId="0" fontId="10" fillId="0" borderId="33" xfId="0" applyFont="1" applyBorder="1" applyAlignment="1">
      <alignment horizontal="center"/>
    </xf>
    <xf numFmtId="0" fontId="11" fillId="0" borderId="32" xfId="0" applyFont="1" applyBorder="1"/>
    <xf numFmtId="0" fontId="11" fillId="0" borderId="6" xfId="0" applyFont="1" applyBorder="1"/>
    <xf numFmtId="0" fontId="11" fillId="0" borderId="27" xfId="0" applyFont="1" applyBorder="1"/>
    <xf numFmtId="0" fontId="11" fillId="0" borderId="29" xfId="0" applyFont="1" applyBorder="1"/>
    <xf numFmtId="0" fontId="10" fillId="0" borderId="30" xfId="0" applyFont="1" applyBorder="1" applyAlignment="1">
      <alignment horizontal="left" indent="1"/>
    </xf>
    <xf numFmtId="0" fontId="11" fillId="0" borderId="30" xfId="0" applyFont="1" applyBorder="1" applyAlignment="1">
      <alignment horizontal="center"/>
    </xf>
    <xf numFmtId="0" fontId="11" fillId="0" borderId="30" xfId="0" applyFont="1" applyBorder="1" applyAlignment="1">
      <alignment horizontal="center" wrapText="1"/>
    </xf>
    <xf numFmtId="0" fontId="11" fillId="0" borderId="30" xfId="0" applyFont="1" applyBorder="1"/>
    <xf numFmtId="0" fontId="11" fillId="0" borderId="0" xfId="0" applyFont="1" applyAlignment="1">
      <alignment horizontal="left" vertical="top" indent="2"/>
    </xf>
    <xf numFmtId="0" fontId="11" fillId="0" borderId="0" xfId="0" applyFont="1" applyAlignment="1">
      <alignment horizontal="right"/>
    </xf>
    <xf numFmtId="0" fontId="11" fillId="0" borderId="32" xfId="0" applyFont="1" applyBorder="1" applyAlignment="1">
      <alignment horizontal="right"/>
    </xf>
    <xf numFmtId="44" fontId="10" fillId="0" borderId="35" xfId="2" applyFont="1" applyFill="1" applyBorder="1" applyProtection="1"/>
    <xf numFmtId="0" fontId="11" fillId="0" borderId="30" xfId="0" applyFont="1" applyBorder="1" applyAlignment="1">
      <alignment horizontal="right"/>
    </xf>
    <xf numFmtId="0" fontId="0" fillId="0" borderId="30" xfId="0" applyBorder="1" applyAlignment="1">
      <alignment horizontal="right"/>
    </xf>
    <xf numFmtId="44" fontId="11" fillId="0" borderId="36" xfId="2" applyFont="1" applyFill="1" applyBorder="1" applyAlignment="1" applyProtection="1">
      <alignment horizontal="center" wrapText="1"/>
    </xf>
    <xf numFmtId="0" fontId="10" fillId="0" borderId="37" xfId="0" applyFont="1" applyBorder="1" applyAlignment="1">
      <alignment horizontal="right"/>
    </xf>
    <xf numFmtId="44" fontId="10" fillId="0" borderId="32" xfId="2" applyFont="1" applyFill="1" applyBorder="1" applyAlignment="1" applyProtection="1">
      <alignment horizontal="center" wrapText="1"/>
    </xf>
    <xf numFmtId="0" fontId="11" fillId="0" borderId="0" xfId="0" applyFont="1" applyAlignment="1">
      <alignment horizontal="right" wrapText="1"/>
    </xf>
    <xf numFmtId="44" fontId="11" fillId="0" borderId="32" xfId="2" applyFont="1" applyFill="1" applyBorder="1" applyAlignment="1" applyProtection="1">
      <alignment horizontal="center" wrapText="1"/>
    </xf>
    <xf numFmtId="0" fontId="8" fillId="0" borderId="30" xfId="0" applyFont="1" applyBorder="1"/>
    <xf numFmtId="44" fontId="10" fillId="0" borderId="35" xfId="2" applyFont="1" applyFill="1" applyBorder="1" applyAlignment="1" applyProtection="1">
      <alignment horizontal="center" wrapText="1"/>
    </xf>
    <xf numFmtId="0" fontId="8" fillId="0" borderId="0" xfId="0" applyFont="1"/>
    <xf numFmtId="0" fontId="10" fillId="0" borderId="0" xfId="0" applyFont="1" applyAlignment="1">
      <alignment horizontal="center"/>
    </xf>
    <xf numFmtId="164" fontId="10" fillId="0" borderId="32" xfId="2" applyNumberFormat="1" applyFont="1" applyFill="1" applyBorder="1" applyProtection="1"/>
    <xf numFmtId="0" fontId="7" fillId="0" borderId="0" xfId="0" applyFont="1" applyAlignment="1">
      <alignment horizontal="left" wrapText="1"/>
    </xf>
    <xf numFmtId="0" fontId="8" fillId="0" borderId="0" xfId="0" applyFont="1" applyAlignment="1">
      <alignment wrapText="1"/>
    </xf>
    <xf numFmtId="44" fontId="10" fillId="0" borderId="0" xfId="2" applyFont="1" applyFill="1" applyBorder="1" applyAlignment="1" applyProtection="1">
      <alignment horizontal="center" wrapText="1"/>
    </xf>
    <xf numFmtId="0" fontId="11" fillId="0" borderId="0" xfId="0" applyFont="1" applyAlignment="1">
      <alignment wrapText="1"/>
    </xf>
    <xf numFmtId="8" fontId="11" fillId="0" borderId="0" xfId="0" applyNumberFormat="1" applyFont="1" applyAlignment="1">
      <alignment horizontal="center"/>
    </xf>
    <xf numFmtId="0" fontId="3" fillId="0" borderId="34" xfId="0" applyFont="1" applyBorder="1" applyAlignment="1">
      <alignment horizontal="right"/>
    </xf>
    <xf numFmtId="0" fontId="7" fillId="0" borderId="30" xfId="0" applyFont="1" applyBorder="1"/>
    <xf numFmtId="0" fontId="0" fillId="0" borderId="30" xfId="0" applyBorder="1"/>
    <xf numFmtId="44" fontId="11" fillId="0" borderId="35" xfId="2" applyFont="1" applyFill="1" applyBorder="1" applyAlignment="1" applyProtection="1">
      <alignment horizontal="center" wrapText="1"/>
    </xf>
    <xf numFmtId="165" fontId="10" fillId="0" borderId="35" xfId="2" applyNumberFormat="1" applyFont="1" applyFill="1" applyBorder="1" applyProtection="1"/>
    <xf numFmtId="0" fontId="16" fillId="0" borderId="0" xfId="0" applyFont="1"/>
    <xf numFmtId="0" fontId="11" fillId="0" borderId="20" xfId="0" applyFont="1" applyBorder="1"/>
    <xf numFmtId="0" fontId="7" fillId="0" borderId="38" xfId="0" applyFont="1" applyBorder="1" applyAlignment="1">
      <alignment horizontal="left"/>
    </xf>
    <xf numFmtId="44" fontId="11" fillId="0" borderId="39" xfId="2" applyFont="1" applyFill="1" applyBorder="1" applyAlignment="1" applyProtection="1">
      <alignment horizontal="center" wrapText="1"/>
    </xf>
    <xf numFmtId="0" fontId="11" fillId="0" borderId="21" xfId="0" applyFont="1" applyBorder="1"/>
    <xf numFmtId="0" fontId="11" fillId="0" borderId="24" xfId="0" applyFont="1" applyBorder="1"/>
    <xf numFmtId="0" fontId="11" fillId="0" borderId="28" xfId="0" applyFont="1" applyBorder="1"/>
    <xf numFmtId="0" fontId="11" fillId="0" borderId="16" xfId="0" applyFont="1" applyBorder="1"/>
    <xf numFmtId="164" fontId="2" fillId="0" borderId="0" xfId="0" applyNumberFormat="1" applyFont="1" applyAlignment="1">
      <alignment horizontal="center"/>
    </xf>
    <xf numFmtId="0" fontId="5" fillId="6" borderId="0" xfId="0" applyFont="1" applyFill="1" applyAlignment="1">
      <alignment horizontal="center" wrapText="1"/>
    </xf>
    <xf numFmtId="44" fontId="5" fillId="6" borderId="0" xfId="2" applyFont="1" applyFill="1" applyBorder="1" applyAlignment="1" applyProtection="1">
      <alignment horizontal="center" wrapText="1"/>
      <protection locked="0" hidden="1"/>
    </xf>
    <xf numFmtId="0" fontId="5" fillId="0" borderId="26" xfId="0" applyFont="1" applyBorder="1" applyAlignment="1">
      <alignment horizontal="right" wrapText="1"/>
    </xf>
    <xf numFmtId="44" fontId="5" fillId="0" borderId="26" xfId="2" applyFont="1" applyBorder="1" applyAlignment="1">
      <alignment horizontal="left" wrapText="1"/>
    </xf>
    <xf numFmtId="0" fontId="5" fillId="0" borderId="26" xfId="0" applyFont="1" applyBorder="1" applyAlignment="1">
      <alignment horizontal="center" wrapText="1"/>
    </xf>
    <xf numFmtId="2" fontId="5" fillId="0" borderId="26" xfId="0" applyNumberFormat="1" applyFont="1" applyBorder="1" applyAlignment="1">
      <alignment horizontal="center" wrapText="1"/>
    </xf>
    <xf numFmtId="44" fontId="5" fillId="6" borderId="26" xfId="2" applyFont="1" applyFill="1" applyBorder="1" applyAlignment="1" applyProtection="1">
      <alignment horizontal="center" wrapText="1"/>
      <protection locked="0" hidden="1"/>
    </xf>
    <xf numFmtId="44" fontId="21" fillId="0" borderId="0" xfId="2" applyFont="1" applyAlignment="1"/>
    <xf numFmtId="0" fontId="1" fillId="0" borderId="0" xfId="0" applyFont="1"/>
    <xf numFmtId="0" fontId="7" fillId="0" borderId="0" xfId="0" applyFont="1" applyAlignment="1">
      <alignment horizontal="left" indent="3"/>
    </xf>
    <xf numFmtId="0" fontId="8" fillId="0" borderId="0" xfId="0" applyFont="1" applyAlignment="1">
      <alignment horizontal="left" indent="3"/>
    </xf>
    <xf numFmtId="164" fontId="10" fillId="4" borderId="14" xfId="0" applyNumberFormat="1" applyFont="1" applyFill="1" applyBorder="1" applyAlignment="1" applyProtection="1">
      <alignment horizontal="center"/>
      <protection locked="0"/>
    </xf>
    <xf numFmtId="0" fontId="22" fillId="0" borderId="0" xfId="0" applyFont="1" applyProtection="1">
      <protection locked="0"/>
    </xf>
    <xf numFmtId="0" fontId="3" fillId="5" borderId="24" xfId="0" applyFont="1" applyFill="1" applyBorder="1" applyAlignment="1">
      <alignment horizontal="left"/>
    </xf>
    <xf numFmtId="0" fontId="10" fillId="5" borderId="19" xfId="0" applyFont="1" applyFill="1" applyBorder="1" applyAlignment="1">
      <alignment horizontal="center" wrapText="1"/>
    </xf>
    <xf numFmtId="0" fontId="10" fillId="0" borderId="27" xfId="0" applyFont="1" applyBorder="1" applyAlignment="1">
      <alignment horizontal="center"/>
    </xf>
    <xf numFmtId="0" fontId="3" fillId="0" borderId="28" xfId="0" applyFont="1" applyBorder="1" applyAlignment="1">
      <alignment horizontal="left"/>
    </xf>
    <xf numFmtId="0" fontId="11" fillId="0" borderId="16" xfId="0" applyFont="1" applyBorder="1" applyProtection="1">
      <protection locked="0"/>
    </xf>
    <xf numFmtId="0" fontId="3" fillId="5" borderId="0" xfId="0" applyFont="1" applyFill="1" applyAlignment="1">
      <alignment horizontal="left"/>
    </xf>
    <xf numFmtId="0" fontId="3" fillId="5" borderId="25" xfId="0" applyFont="1" applyFill="1" applyBorder="1" applyAlignment="1">
      <alignment horizontal="left"/>
    </xf>
    <xf numFmtId="0" fontId="10" fillId="5" borderId="2" xfId="0" applyFont="1" applyFill="1" applyBorder="1"/>
    <xf numFmtId="0" fontId="10" fillId="5" borderId="18" xfId="0" applyFont="1" applyFill="1" applyBorder="1"/>
    <xf numFmtId="0" fontId="3" fillId="0" borderId="20" xfId="0" applyFont="1" applyBorder="1" applyAlignment="1">
      <alignment horizontal="left"/>
    </xf>
    <xf numFmtId="43" fontId="5" fillId="0" borderId="26" xfId="1" applyFont="1" applyFill="1" applyBorder="1" applyAlignment="1">
      <alignment horizontal="center" wrapText="1"/>
    </xf>
    <xf numFmtId="0" fontId="3" fillId="0" borderId="0" xfId="0" applyFont="1"/>
    <xf numFmtId="0" fontId="10" fillId="0" borderId="30" xfId="0" applyFont="1" applyBorder="1" applyAlignment="1">
      <alignment horizontal="right"/>
    </xf>
    <xf numFmtId="3" fontId="10" fillId="4" borderId="14" xfId="0" applyNumberFormat="1" applyFont="1" applyFill="1" applyBorder="1" applyAlignment="1" applyProtection="1">
      <alignment horizontal="center"/>
      <protection locked="0"/>
    </xf>
    <xf numFmtId="4" fontId="10" fillId="0" borderId="32" xfId="0" quotePrefix="1" applyNumberFormat="1" applyFont="1" applyBorder="1" applyAlignment="1">
      <alignment horizontal="right"/>
    </xf>
    <xf numFmtId="0" fontId="6" fillId="0" borderId="0" xfId="0" applyFont="1" applyAlignment="1">
      <alignment horizontal="left" indent="3"/>
    </xf>
    <xf numFmtId="0" fontId="5" fillId="0" borderId="0" xfId="0" applyFont="1" applyAlignment="1">
      <alignment horizontal="left" indent="3"/>
    </xf>
    <xf numFmtId="0" fontId="3" fillId="0" borderId="0" xfId="0" applyFont="1" applyAlignment="1" applyProtection="1">
      <alignment horizontal="center"/>
      <protection locked="0"/>
    </xf>
    <xf numFmtId="0" fontId="3" fillId="0" borderId="0" xfId="0" applyFont="1" applyProtection="1">
      <protection locked="0"/>
    </xf>
    <xf numFmtId="0" fontId="3" fillId="0" borderId="0" xfId="0" applyFont="1" applyAlignment="1">
      <alignment horizontal="center"/>
    </xf>
    <xf numFmtId="0" fontId="5" fillId="0" borderId="0" xfId="0" applyFont="1" applyAlignment="1">
      <alignment wrapText="1"/>
    </xf>
    <xf numFmtId="44" fontId="0" fillId="0" borderId="0" xfId="0" applyNumberFormat="1"/>
    <xf numFmtId="8" fontId="21" fillId="0" borderId="29" xfId="0" applyNumberFormat="1" applyFont="1" applyBorder="1" applyAlignment="1">
      <alignment horizontal="right" vertical="center"/>
    </xf>
    <xf numFmtId="0" fontId="21" fillId="7" borderId="29" xfId="0" applyFont="1" applyFill="1" applyBorder="1" applyAlignment="1">
      <alignment vertical="center"/>
    </xf>
    <xf numFmtId="0" fontId="11" fillId="0" borderId="0" xfId="0" applyFont="1" applyAlignment="1">
      <alignment vertical="top" wrapText="1"/>
    </xf>
    <xf numFmtId="44" fontId="5" fillId="0" borderId="0" xfId="0" applyNumberFormat="1" applyFont="1"/>
    <xf numFmtId="44" fontId="11" fillId="0" borderId="48" xfId="2" applyFont="1" applyFill="1" applyBorder="1" applyAlignment="1" applyProtection="1">
      <alignment horizontal="center" wrapText="1"/>
    </xf>
    <xf numFmtId="0" fontId="3" fillId="0" borderId="37" xfId="0" applyFont="1" applyBorder="1" applyAlignment="1">
      <alignment horizontal="right"/>
    </xf>
    <xf numFmtId="0" fontId="7" fillId="0" borderId="0" xfId="0" applyFont="1"/>
    <xf numFmtId="0" fontId="6" fillId="0" borderId="30" xfId="0" applyFont="1" applyBorder="1" applyAlignment="1">
      <alignment wrapText="1"/>
    </xf>
    <xf numFmtId="0" fontId="3" fillId="0" borderId="16" xfId="0" applyFont="1" applyBorder="1" applyAlignment="1">
      <alignment horizontal="right"/>
    </xf>
    <xf numFmtId="0" fontId="3" fillId="0" borderId="40" xfId="0" applyFont="1" applyBorder="1" applyAlignment="1">
      <alignment horizontal="right"/>
    </xf>
    <xf numFmtId="44" fontId="3" fillId="0" borderId="40" xfId="2" applyFont="1" applyBorder="1" applyAlignment="1">
      <alignment horizontal="right"/>
    </xf>
    <xf numFmtId="44" fontId="11" fillId="0" borderId="32" xfId="0" applyNumberFormat="1" applyFont="1" applyBorder="1" applyAlignment="1">
      <alignment horizontal="right"/>
    </xf>
    <xf numFmtId="0" fontId="0" fillId="0" borderId="0" xfId="0" applyAlignment="1">
      <alignment vertical="center" wrapText="1"/>
    </xf>
    <xf numFmtId="0" fontId="0" fillId="0" borderId="25" xfId="0" applyBorder="1" applyAlignment="1">
      <alignment vertical="center" wrapText="1"/>
    </xf>
    <xf numFmtId="0" fontId="9" fillId="0" borderId="0" xfId="3" applyBorder="1" applyAlignment="1" applyProtection="1">
      <alignment vertical="top" wrapText="1"/>
      <protection locked="0"/>
    </xf>
    <xf numFmtId="0" fontId="9" fillId="0" borderId="16" xfId="3" applyBorder="1" applyAlignment="1" applyProtection="1">
      <alignment vertical="top" wrapText="1"/>
      <protection locked="0"/>
    </xf>
    <xf numFmtId="0" fontId="0" fillId="0" borderId="46" xfId="0" applyBorder="1"/>
    <xf numFmtId="0" fontId="0" fillId="0" borderId="47" xfId="0" applyBorder="1"/>
    <xf numFmtId="0" fontId="16" fillId="0" borderId="0" xfId="0" applyFont="1" applyAlignment="1">
      <alignment horizontal="left"/>
    </xf>
    <xf numFmtId="0" fontId="25" fillId="0" borderId="0" xfId="0" applyFont="1" applyAlignment="1">
      <alignment horizontal="left" vertical="center"/>
    </xf>
    <xf numFmtId="44" fontId="10" fillId="8" borderId="0" xfId="2" applyFont="1" applyFill="1" applyBorder="1" applyAlignment="1" applyProtection="1">
      <alignment horizontal="center" wrapText="1"/>
    </xf>
    <xf numFmtId="0" fontId="28" fillId="0" borderId="0" xfId="0" applyFont="1"/>
    <xf numFmtId="0" fontId="3" fillId="0" borderId="0" xfId="0" applyFont="1" applyAlignment="1">
      <alignment wrapText="1"/>
    </xf>
    <xf numFmtId="0" fontId="10" fillId="9" borderId="2" xfId="0" applyFont="1" applyFill="1" applyBorder="1"/>
    <xf numFmtId="0" fontId="0" fillId="9" borderId="0" xfId="0" applyFill="1" applyAlignment="1">
      <alignment wrapText="1"/>
    </xf>
    <xf numFmtId="0" fontId="3" fillId="9" borderId="24" xfId="0" applyFont="1" applyFill="1" applyBorder="1"/>
    <xf numFmtId="0" fontId="0" fillId="9" borderId="25" xfId="0" applyFill="1" applyBorder="1" applyAlignment="1">
      <alignment wrapText="1"/>
    </xf>
    <xf numFmtId="0" fontId="11" fillId="0" borderId="0" xfId="0" applyFont="1" applyAlignment="1">
      <alignment horizontal="left" vertical="center"/>
    </xf>
    <xf numFmtId="0" fontId="9" fillId="0" borderId="28" xfId="3" applyBorder="1" applyAlignment="1" applyProtection="1">
      <alignment vertical="top"/>
      <protection locked="0"/>
    </xf>
    <xf numFmtId="0" fontId="9" fillId="0" borderId="24" xfId="3" applyBorder="1" applyAlignment="1" applyProtection="1">
      <alignment vertical="top"/>
      <protection locked="0"/>
    </xf>
    <xf numFmtId="0" fontId="4" fillId="0" borderId="0" xfId="0" applyFont="1" applyAlignment="1">
      <alignment vertical="center"/>
    </xf>
    <xf numFmtId="0" fontId="10" fillId="0" borderId="30" xfId="0" applyFont="1" applyBorder="1" applyAlignment="1">
      <alignment horizontal="left"/>
    </xf>
    <xf numFmtId="0" fontId="11" fillId="0" borderId="44" xfId="0" applyFont="1" applyBorder="1" applyAlignment="1">
      <alignment horizontal="left"/>
    </xf>
    <xf numFmtId="0" fontId="10" fillId="0" borderId="6" xfId="0" applyFont="1" applyBorder="1" applyAlignment="1">
      <alignment horizontal="center" wrapText="1"/>
    </xf>
    <xf numFmtId="0" fontId="0" fillId="0" borderId="6" xfId="0" applyBorder="1" applyAlignment="1">
      <alignment wrapText="1"/>
    </xf>
    <xf numFmtId="0" fontId="29" fillId="0" borderId="0" xfId="0" applyFont="1" applyAlignment="1">
      <alignment wrapText="1"/>
    </xf>
    <xf numFmtId="0" fontId="0" fillId="0" borderId="0" xfId="0" applyAlignment="1">
      <alignment wrapText="1"/>
    </xf>
    <xf numFmtId="0" fontId="13" fillId="0" borderId="0" xfId="3" applyFont="1" applyFill="1" applyBorder="1" applyAlignment="1" applyProtection="1">
      <alignment horizontal="right" vertical="center"/>
      <protection locked="0"/>
    </xf>
    <xf numFmtId="0" fontId="10" fillId="0" borderId="0" xfId="0" applyFont="1" applyAlignment="1" applyProtection="1">
      <alignment vertical="center"/>
      <protection locked="0"/>
    </xf>
    <xf numFmtId="0" fontId="23" fillId="0" borderId="0" xfId="0" applyFont="1" applyAlignment="1">
      <alignment wrapText="1"/>
    </xf>
    <xf numFmtId="0" fontId="24" fillId="0" borderId="0" xfId="0" applyFont="1"/>
    <xf numFmtId="0" fontId="7" fillId="0" borderId="30" xfId="0" applyFont="1" applyBorder="1" applyAlignment="1">
      <alignment horizontal="left" indent="3"/>
    </xf>
    <xf numFmtId="0" fontId="8" fillId="0" borderId="30" xfId="0" applyFont="1" applyBorder="1" applyAlignment="1">
      <alignment horizontal="left" indent="3"/>
    </xf>
    <xf numFmtId="0" fontId="10" fillId="5" borderId="6" xfId="0" applyFont="1" applyFill="1" applyBorder="1" applyAlignment="1">
      <alignment horizontal="center" vertical="center" wrapText="1"/>
    </xf>
    <xf numFmtId="0" fontId="0" fillId="0" borderId="6" xfId="0" applyBorder="1" applyAlignment="1">
      <alignment horizontal="center" vertical="center" wrapText="1"/>
    </xf>
    <xf numFmtId="0" fontId="16" fillId="0" borderId="0" xfId="0" applyFont="1" applyAlignment="1">
      <alignment horizontal="left" wrapText="1"/>
    </xf>
    <xf numFmtId="0" fontId="0" fillId="0" borderId="0" xfId="0"/>
    <xf numFmtId="0" fontId="0" fillId="0" borderId="41" xfId="0" applyBorder="1"/>
    <xf numFmtId="0" fontId="10" fillId="5" borderId="9" xfId="0" applyFont="1" applyFill="1" applyBorder="1"/>
    <xf numFmtId="0" fontId="0" fillId="0" borderId="2" xfId="0" applyBorder="1"/>
    <xf numFmtId="0" fontId="0" fillId="0" borderId="18" xfId="0" applyBorder="1"/>
    <xf numFmtId="0" fontId="9" fillId="0" borderId="0" xfId="3" applyFill="1" applyBorder="1" applyAlignment="1" applyProtection="1">
      <alignment horizontal="right" vertical="center"/>
      <protection locked="0"/>
    </xf>
    <xf numFmtId="0" fontId="9" fillId="0" borderId="0" xfId="3" applyFill="1" applyBorder="1" applyAlignment="1" applyProtection="1">
      <alignment vertical="center"/>
      <protection locked="0"/>
    </xf>
    <xf numFmtId="0" fontId="16" fillId="0" borderId="0" xfId="0" applyFont="1" applyAlignment="1">
      <alignment horizontal="left" vertical="center"/>
    </xf>
    <xf numFmtId="0" fontId="0" fillId="0" borderId="0" xfId="0" applyAlignment="1">
      <alignment vertical="center"/>
    </xf>
    <xf numFmtId="0" fontId="11" fillId="0" borderId="0" xfId="0" applyFont="1" applyAlignment="1">
      <alignment horizontal="left" vertical="top" wrapText="1"/>
    </xf>
    <xf numFmtId="0" fontId="23" fillId="0" borderId="0" xfId="0" applyFont="1" applyAlignment="1">
      <alignment horizontal="left" vertical="top" wrapText="1"/>
    </xf>
    <xf numFmtId="0" fontId="15" fillId="0" borderId="0" xfId="0" applyFont="1" applyAlignment="1">
      <alignment horizontal="left" vertical="top" wrapText="1"/>
    </xf>
    <xf numFmtId="0" fontId="11" fillId="0" borderId="0" xfId="0" applyFont="1" applyAlignment="1">
      <alignment vertical="center" wrapText="1"/>
    </xf>
    <xf numFmtId="0" fontId="16" fillId="0" borderId="0" xfId="0" applyFont="1" applyAlignment="1">
      <alignment horizontal="left"/>
    </xf>
    <xf numFmtId="0" fontId="11" fillId="0" borderId="21" xfId="0" applyFont="1" applyBorder="1"/>
    <xf numFmtId="0" fontId="11" fillId="0" borderId="22" xfId="0" applyFont="1" applyBorder="1"/>
    <xf numFmtId="0" fontId="11" fillId="0" borderId="44" xfId="0" applyFont="1" applyBorder="1" applyAlignment="1">
      <alignment horizontal="right"/>
    </xf>
    <xf numFmtId="0" fontId="11" fillId="0" borderId="45" xfId="0" applyFont="1" applyBorder="1" applyAlignment="1">
      <alignment horizontal="right"/>
    </xf>
    <xf numFmtId="0" fontId="11" fillId="0" borderId="0" xfId="0" applyFont="1"/>
    <xf numFmtId="0" fontId="3" fillId="0" borderId="0" xfId="0" applyFont="1"/>
    <xf numFmtId="0" fontId="11" fillId="0" borderId="25" xfId="0" applyFont="1" applyBorder="1"/>
    <xf numFmtId="0" fontId="1" fillId="0" borderId="16" xfId="0" applyFont="1" applyBorder="1" applyAlignment="1">
      <alignment horizontal="center" wrapText="1"/>
    </xf>
    <xf numFmtId="0" fontId="11" fillId="0" borderId="38" xfId="0" applyFont="1" applyBorder="1" applyAlignment="1">
      <alignment horizontal="right"/>
    </xf>
    <xf numFmtId="0" fontId="11" fillId="0" borderId="42" xfId="0" applyFont="1" applyBorder="1" applyAlignment="1">
      <alignment horizontal="right"/>
    </xf>
    <xf numFmtId="0" fontId="26" fillId="0" borderId="0" xfId="0" applyFont="1" applyAlignment="1">
      <alignment vertical="top" wrapText="1"/>
    </xf>
    <xf numFmtId="0" fontId="7" fillId="0" borderId="30" xfId="0" applyFont="1" applyBorder="1" applyAlignment="1">
      <alignment horizontal="left" wrapText="1"/>
    </xf>
    <xf numFmtId="0" fontId="7" fillId="0" borderId="34" xfId="0" applyFont="1" applyBorder="1" applyAlignment="1">
      <alignment horizontal="left" wrapText="1"/>
    </xf>
    <xf numFmtId="0" fontId="6" fillId="0" borderId="30" xfId="0" applyFont="1" applyBorder="1" applyAlignment="1">
      <alignment horizontal="left" indent="3"/>
    </xf>
    <xf numFmtId="0" fontId="5" fillId="0" borderId="30" xfId="0" applyFont="1" applyBorder="1" applyAlignment="1">
      <alignment horizontal="left" indent="3"/>
    </xf>
    <xf numFmtId="0" fontId="7" fillId="0" borderId="43" xfId="0" applyFont="1" applyBorder="1" applyAlignment="1">
      <alignment horizontal="left" wrapText="1"/>
    </xf>
    <xf numFmtId="0" fontId="1" fillId="0" borderId="0" xfId="0" applyFont="1"/>
  </cellXfs>
  <cellStyles count="4">
    <cellStyle name="Comma" xfId="1" builtinId="3"/>
    <cellStyle name="Currency" xfId="2" builtinId="4"/>
    <cellStyle name="Hyperlink" xfId="3" builtinId="8"/>
    <cellStyle name="Normal" xfId="0" builtinId="0"/>
  </cellStyles>
  <dxfs count="1">
    <dxf>
      <font>
        <color rgb="FFFF0000"/>
      </font>
      <fill>
        <patternFill>
          <bgColor rgb="FFFFFF00"/>
        </patternFill>
      </fill>
    </dxf>
  </dxfs>
  <tableStyles count="0" defaultTableStyle="TableStyleMedium9"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png"/><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13</xdr:col>
      <xdr:colOff>809625</xdr:colOff>
      <xdr:row>45</xdr:row>
      <xdr:rowOff>19050</xdr:rowOff>
    </xdr:from>
    <xdr:to>
      <xdr:col>13</xdr:col>
      <xdr:colOff>1062990</xdr:colOff>
      <xdr:row>46</xdr:row>
      <xdr:rowOff>79375</xdr:rowOff>
    </xdr:to>
    <xdr:pic>
      <xdr:nvPicPr>
        <xdr:cNvPr id="5197" name="Picture 35" descr="help">
          <a:extLst>
            <a:ext uri="{FF2B5EF4-FFF2-40B4-BE49-F238E27FC236}">
              <a16:creationId xmlns:a16="http://schemas.microsoft.com/office/drawing/2014/main" id="{1B8A2AB8-E328-4AF5-81B7-1082789CFB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8675" y="9077325"/>
          <a:ext cx="2381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76200</xdr:colOff>
      <xdr:row>4</xdr:row>
      <xdr:rowOff>152400</xdr:rowOff>
    </xdr:from>
    <xdr:to>
      <xdr:col>17</xdr:col>
      <xdr:colOff>339090</xdr:colOff>
      <xdr:row>5</xdr:row>
      <xdr:rowOff>186690</xdr:rowOff>
    </xdr:to>
    <xdr:pic>
      <xdr:nvPicPr>
        <xdr:cNvPr id="5198" name="Picture 36" descr="help">
          <a:extLst>
            <a:ext uri="{FF2B5EF4-FFF2-40B4-BE49-F238E27FC236}">
              <a16:creationId xmlns:a16="http://schemas.microsoft.com/office/drawing/2014/main" id="{B984D1AC-00FF-4244-81DB-E17AB1ABBF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01450" y="1866900"/>
          <a:ext cx="24765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104775</xdr:colOff>
      <xdr:row>5</xdr:row>
      <xdr:rowOff>76200</xdr:rowOff>
    </xdr:from>
    <xdr:to>
      <xdr:col>2</xdr:col>
      <xdr:colOff>9525</xdr:colOff>
      <xdr:row>6</xdr:row>
      <xdr:rowOff>114300</xdr:rowOff>
    </xdr:to>
    <xdr:pic>
      <xdr:nvPicPr>
        <xdr:cNvPr id="5199" name="Picture 49" descr="checkbox">
          <a:extLst>
            <a:ext uri="{FF2B5EF4-FFF2-40B4-BE49-F238E27FC236}">
              <a16:creationId xmlns:a16="http://schemas.microsoft.com/office/drawing/2014/main" id="{588B6EAB-FBC6-42C5-AAC0-1BBCF41502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4775" y="1990725"/>
          <a:ext cx="2762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95250</xdr:colOff>
      <xdr:row>38</xdr:row>
      <xdr:rowOff>85725</xdr:rowOff>
    </xdr:from>
    <xdr:to>
      <xdr:col>2</xdr:col>
      <xdr:colOff>0</xdr:colOff>
      <xdr:row>38</xdr:row>
      <xdr:rowOff>333375</xdr:rowOff>
    </xdr:to>
    <xdr:pic>
      <xdr:nvPicPr>
        <xdr:cNvPr id="5200" name="Picture 52" descr="checkbox">
          <a:extLst>
            <a:ext uri="{FF2B5EF4-FFF2-40B4-BE49-F238E27FC236}">
              <a16:creationId xmlns:a16="http://schemas.microsoft.com/office/drawing/2014/main" id="{B136F9FA-4835-4ABD-8FC8-AA479077A4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0" y="7219950"/>
          <a:ext cx="2762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542925</xdr:colOff>
      <xdr:row>76</xdr:row>
      <xdr:rowOff>9525</xdr:rowOff>
    </xdr:from>
    <xdr:to>
      <xdr:col>3</xdr:col>
      <xdr:colOff>828675</xdr:colOff>
      <xdr:row>76</xdr:row>
      <xdr:rowOff>257175</xdr:rowOff>
    </xdr:to>
    <xdr:pic>
      <xdr:nvPicPr>
        <xdr:cNvPr id="5201" name="Picture 53" descr="checkbox">
          <a:extLst>
            <a:ext uri="{FF2B5EF4-FFF2-40B4-BE49-F238E27FC236}">
              <a16:creationId xmlns:a16="http://schemas.microsoft.com/office/drawing/2014/main" id="{07214A8F-C889-44F5-A2A3-EA05499C6B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9175" y="13935075"/>
          <a:ext cx="2857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55245</xdr:colOff>
      <xdr:row>0</xdr:row>
      <xdr:rowOff>114300</xdr:rowOff>
    </xdr:from>
    <xdr:to>
      <xdr:col>19</xdr:col>
      <xdr:colOff>325122</xdr:colOff>
      <xdr:row>3</xdr:row>
      <xdr:rowOff>0</xdr:rowOff>
    </xdr:to>
    <xdr:sp macro="" textlink="">
      <xdr:nvSpPr>
        <xdr:cNvPr id="1084" name="Text Box 60">
          <a:extLst>
            <a:ext uri="{FF2B5EF4-FFF2-40B4-BE49-F238E27FC236}">
              <a16:creationId xmlns:a16="http://schemas.microsoft.com/office/drawing/2014/main" id="{8005B6A9-5064-4F69-945B-A3A12DE10573}"/>
            </a:ext>
          </a:extLst>
        </xdr:cNvPr>
        <xdr:cNvSpPr txBox="1">
          <a:spLocks noChangeArrowheads="1"/>
        </xdr:cNvSpPr>
      </xdr:nvSpPr>
      <xdr:spPr bwMode="auto">
        <a:xfrm>
          <a:off x="6953250" y="114300"/>
          <a:ext cx="6515100" cy="1323975"/>
        </a:xfrm>
        <a:prstGeom prst="rect">
          <a:avLst/>
        </a:prstGeom>
        <a:noFill/>
        <a:ln w="25400">
          <a:solidFill>
            <a:srgbClr val="000000"/>
          </a:solidFill>
          <a:miter lim="800000"/>
          <a:headEnd/>
          <a:tailEnd/>
        </a:ln>
      </xdr:spPr>
      <xdr:txBody>
        <a:bodyPr vertOverflow="clip" wrap="square" lIns="182880" tIns="182880" rIns="182880" bIns="182880" anchor="t" upright="1"/>
        <a:lstStyle/>
        <a:p>
          <a:pPr algn="l" rtl="0">
            <a:lnSpc>
              <a:spcPts val="800"/>
            </a:lnSpc>
            <a:defRPr sz="1000"/>
          </a:pPr>
          <a:r>
            <a:rPr lang="en-US" sz="1000" b="1" i="0" u="none" strike="noStrike" baseline="0">
              <a:solidFill>
                <a:srgbClr val="000000"/>
              </a:solidFill>
              <a:latin typeface="Arial"/>
              <a:cs typeface="Arial"/>
            </a:rPr>
            <a:t>Please note</a:t>
          </a:r>
          <a:r>
            <a:rPr lang="en-US" sz="1000" b="0" i="0" u="none" strike="noStrike" baseline="0">
              <a:solidFill>
                <a:srgbClr val="000000"/>
              </a:solidFill>
              <a:latin typeface="Arial"/>
              <a:cs typeface="Arial"/>
            </a:rPr>
            <a:t> that 50 - 75% of the total plan review and permit fees will be due at application intake (see Step #4 for Calculated Intake Fee). The remainder of the permit fees will be due when the permit is issued to you. </a:t>
          </a:r>
        </a:p>
        <a:p>
          <a:pPr algn="l" rtl="0">
            <a:lnSpc>
              <a:spcPts val="800"/>
            </a:lnSpc>
            <a:defRPr sz="1000"/>
          </a:pPr>
          <a:endParaRPr lang="en-US" sz="1000" b="0" i="0" u="none" strike="noStrike" baseline="0">
            <a:solidFill>
              <a:srgbClr val="000000"/>
            </a:solidFill>
            <a:latin typeface="Arial"/>
            <a:cs typeface="Arial"/>
          </a:endParaRPr>
        </a:p>
        <a:p>
          <a:pPr algn="l" rtl="0">
            <a:lnSpc>
              <a:spcPts val="800"/>
            </a:lnSpc>
            <a:defRPr sz="1000"/>
          </a:pPr>
          <a:r>
            <a:rPr lang="en-US" sz="1000" b="1" i="0" u="none" strike="noStrike" baseline="0">
              <a:solidFill>
                <a:srgbClr val="000000"/>
              </a:solidFill>
              <a:latin typeface="Arial"/>
              <a:cs typeface="Arial"/>
            </a:rPr>
            <a:t>Renovation-ONLY Projects:</a:t>
          </a:r>
          <a:r>
            <a:rPr lang="en-US" sz="1000" b="0" i="0" u="none" strike="noStrike" baseline="0">
              <a:solidFill>
                <a:srgbClr val="000000"/>
              </a:solidFill>
              <a:latin typeface="Arial"/>
              <a:cs typeface="Arial"/>
            </a:rPr>
            <a:t> Fees for renovation projects that do NOT involve adding new square footage can be calculated by starting with step #2. For example, tenant improvements, kitchen remodels, and interior alterations.</a:t>
          </a:r>
        </a:p>
        <a:p>
          <a:pPr algn="l" rtl="0">
            <a:lnSpc>
              <a:spcPts val="900"/>
            </a:lnSpc>
            <a:defRPr sz="1000"/>
          </a:pPr>
          <a:endParaRPr lang="en-US" sz="1000" b="0" i="0" u="none" strike="noStrike" baseline="0">
            <a:solidFill>
              <a:srgbClr val="000000"/>
            </a:solidFill>
            <a:latin typeface="Arial"/>
            <a:cs typeface="Arial"/>
          </a:endParaRPr>
        </a:p>
        <a:p>
          <a:pPr algn="l" rtl="0">
            <a:lnSpc>
              <a:spcPts val="700"/>
            </a:lnSpc>
            <a:defRPr sz="1000"/>
          </a:pPr>
          <a:r>
            <a:rPr lang="en-US" sz="1000" b="1" i="0" u="none" strike="noStrike" baseline="0">
              <a:solidFill>
                <a:srgbClr val="000000"/>
              </a:solidFill>
              <a:latin typeface="Arial"/>
              <a:cs typeface="Arial"/>
            </a:rPr>
            <a:t>Renovation-ONLY Projects:</a:t>
          </a:r>
          <a:r>
            <a:rPr lang="en-US" sz="1000" b="0" i="0" u="none" strike="noStrike" baseline="0">
              <a:solidFill>
                <a:srgbClr val="000000"/>
              </a:solidFill>
              <a:latin typeface="Arial"/>
              <a:cs typeface="Arial"/>
            </a:rPr>
            <a:t> Fees for renovation projects that do NOT involve adding new square footage can be calculated by starting with step #2. For example, tenant improvements, kitchen remodels, and interior alterations.</a:t>
          </a:r>
        </a:p>
      </xdr:txBody>
    </xdr:sp>
    <xdr:clientData fPrintsWithSheet="0"/>
  </xdr:twoCellAnchor>
  <xdr:twoCellAnchor editAs="oneCell">
    <xdr:from>
      <xdr:col>3</xdr:col>
      <xdr:colOff>323850</xdr:colOff>
      <xdr:row>64</xdr:row>
      <xdr:rowOff>133350</xdr:rowOff>
    </xdr:from>
    <xdr:to>
      <xdr:col>3</xdr:col>
      <xdr:colOff>606425</xdr:colOff>
      <xdr:row>65</xdr:row>
      <xdr:rowOff>263525</xdr:rowOff>
    </xdr:to>
    <xdr:pic>
      <xdr:nvPicPr>
        <xdr:cNvPr id="5203" name="Picture 63" descr="dollar">
          <a:extLst>
            <a:ext uri="{FF2B5EF4-FFF2-40B4-BE49-F238E27FC236}">
              <a16:creationId xmlns:a16="http://schemas.microsoft.com/office/drawing/2014/main" id="{62E20CA4-7189-4B58-A085-33C193D60CD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0100" y="11877675"/>
          <a:ext cx="2762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51</xdr:row>
      <xdr:rowOff>0</xdr:rowOff>
    </xdr:from>
    <xdr:to>
      <xdr:col>2</xdr:col>
      <xdr:colOff>19050</xdr:colOff>
      <xdr:row>52</xdr:row>
      <xdr:rowOff>95250</xdr:rowOff>
    </xdr:to>
    <xdr:pic>
      <xdr:nvPicPr>
        <xdr:cNvPr id="5204" name="Picture 50" descr="checkbox">
          <a:extLst>
            <a:ext uri="{FF2B5EF4-FFF2-40B4-BE49-F238E27FC236}">
              <a16:creationId xmlns:a16="http://schemas.microsoft.com/office/drawing/2014/main" id="{ABCF8A7C-5BD4-4353-BB30-9B19037182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4300" y="8458200"/>
          <a:ext cx="27622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55</xdr:row>
      <xdr:rowOff>219075</xdr:rowOff>
    </xdr:from>
    <xdr:to>
      <xdr:col>2</xdr:col>
      <xdr:colOff>19050</xdr:colOff>
      <xdr:row>56</xdr:row>
      <xdr:rowOff>257175</xdr:rowOff>
    </xdr:to>
    <xdr:pic>
      <xdr:nvPicPr>
        <xdr:cNvPr id="5205" name="Picture 50" descr="checkbox">
          <a:extLst>
            <a:ext uri="{FF2B5EF4-FFF2-40B4-BE49-F238E27FC236}">
              <a16:creationId xmlns:a16="http://schemas.microsoft.com/office/drawing/2014/main" id="{68483FAE-EC9D-47C0-B910-D16A1724E0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4300" y="9591675"/>
          <a:ext cx="27622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43</xdr:row>
      <xdr:rowOff>0</xdr:rowOff>
    </xdr:from>
    <xdr:to>
      <xdr:col>2</xdr:col>
      <xdr:colOff>19050</xdr:colOff>
      <xdr:row>44</xdr:row>
      <xdr:rowOff>95250</xdr:rowOff>
    </xdr:to>
    <xdr:pic>
      <xdr:nvPicPr>
        <xdr:cNvPr id="11" name="Picture 50" descr="checkbox">
          <a:extLst>
            <a:ext uri="{FF2B5EF4-FFF2-40B4-BE49-F238E27FC236}">
              <a16:creationId xmlns:a16="http://schemas.microsoft.com/office/drawing/2014/main" id="{64F2626C-D341-4BF2-8E17-A6CE6FB00E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4300" y="8410575"/>
          <a:ext cx="2762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7" Type="http://schemas.openxmlformats.org/officeDocument/2006/relationships/comments" Target="../comments1.xml"/><Relationship Id="rId2" Type="http://schemas.openxmlformats.org/officeDocument/2006/relationships/printerSettings" Target="../printerSettings/printerSettings1.bin"/><Relationship Id="rId1" Type="http://schemas.openxmlformats.org/officeDocument/2006/relationships/hyperlink" Target="http://www.seattle.gov/sdci/codes/codes-we-enforce-(a-z)/building-code" TargetMode="External"/><Relationship Id="rId6" Type="http://schemas.openxmlformats.org/officeDocument/2006/relationships/image" Target="../media/image1.png"/><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4"/>
    <pageSetUpPr autoPageBreaks="0"/>
  </sheetPr>
  <dimension ref="A1:AB102"/>
  <sheetViews>
    <sheetView tabSelected="1" workbookViewId="0">
      <selection activeCell="Q76" sqref="Q76"/>
    </sheetView>
  </sheetViews>
  <sheetFormatPr defaultColWidth="9.21875" defaultRowHeight="10.199999999999999" x14ac:dyDescent="0.2"/>
  <cols>
    <col min="1" max="1" width="1.77734375" style="60" customWidth="1"/>
    <col min="2" max="2" width="3.77734375" style="60" customWidth="1"/>
    <col min="3" max="3" width="1.5546875" style="61" customWidth="1"/>
    <col min="4" max="4" width="13.5546875" style="61" customWidth="1"/>
    <col min="5" max="5" width="14.77734375" style="61" customWidth="1"/>
    <col min="6" max="6" width="11.44140625" style="62" customWidth="1"/>
    <col min="7" max="7" width="12" style="61" hidden="1" customWidth="1"/>
    <col min="8" max="8" width="12.77734375" style="61" customWidth="1"/>
    <col min="9" max="9" width="14.5546875" style="61" customWidth="1"/>
    <col min="10" max="10" width="1.77734375" style="61" customWidth="1"/>
    <col min="11" max="11" width="31.21875" style="61" customWidth="1"/>
    <col min="12" max="12" width="5.44140625" style="61" customWidth="1"/>
    <col min="13" max="13" width="1.77734375" style="60" customWidth="1"/>
    <col min="14" max="14" width="16.5546875" style="60" customWidth="1"/>
    <col min="15" max="15" width="13" style="60" customWidth="1"/>
    <col min="16" max="16" width="10.77734375" style="60" bestFit="1" customWidth="1"/>
    <col min="17" max="17" width="18" style="60" customWidth="1"/>
    <col min="18" max="18" width="15.77734375" style="60" customWidth="1"/>
    <col min="19" max="19" width="19.5546875" style="60" customWidth="1"/>
    <col min="20" max="20" width="7.21875" style="60" customWidth="1"/>
    <col min="21" max="21" width="9.21875" style="60"/>
    <col min="22" max="22" width="14" style="42" customWidth="1"/>
    <col min="23" max="25" width="9.21875" style="42"/>
    <col min="26" max="16384" width="9.21875" style="60"/>
  </cols>
  <sheetData>
    <row r="1" spans="2:27" ht="12" customHeight="1" x14ac:dyDescent="0.2">
      <c r="J1" s="43"/>
      <c r="K1" s="43"/>
      <c r="L1" s="43"/>
      <c r="M1" s="42"/>
      <c r="N1" s="42"/>
      <c r="O1" s="42"/>
      <c r="P1" s="42"/>
      <c r="Q1" s="42"/>
      <c r="R1" s="42"/>
      <c r="S1" s="42"/>
      <c r="T1" s="42"/>
      <c r="U1" s="42"/>
    </row>
    <row r="2" spans="2:27" s="63" customFormat="1" ht="19.8" customHeight="1" x14ac:dyDescent="0.4">
      <c r="B2" s="227" t="s">
        <v>164</v>
      </c>
      <c r="C2" s="228"/>
      <c r="D2" s="228"/>
      <c r="E2" s="228"/>
      <c r="F2" s="228"/>
      <c r="G2" s="228"/>
      <c r="H2" s="228"/>
      <c r="I2" s="228"/>
      <c r="J2" s="45"/>
      <c r="K2" s="45"/>
      <c r="L2" s="45"/>
      <c r="M2" s="46"/>
      <c r="N2" s="46"/>
      <c r="O2" s="46"/>
      <c r="P2" s="46"/>
      <c r="Q2" s="46"/>
      <c r="R2" s="46"/>
      <c r="S2" s="46"/>
      <c r="T2" s="46"/>
      <c r="U2" s="46"/>
      <c r="V2" s="46"/>
      <c r="W2" s="46"/>
      <c r="X2" s="46"/>
      <c r="Y2" s="46"/>
    </row>
    <row r="3" spans="2:27" s="63" customFormat="1" ht="96.6" customHeight="1" x14ac:dyDescent="0.25">
      <c r="B3" s="222" t="s">
        <v>171</v>
      </c>
      <c r="C3" s="2"/>
      <c r="D3" s="2"/>
      <c r="E3" s="2"/>
      <c r="F3" s="2"/>
      <c r="G3" s="2"/>
      <c r="H3" s="2"/>
      <c r="I3" s="2"/>
      <c r="J3" s="2"/>
      <c r="K3" s="2"/>
      <c r="L3" s="2"/>
      <c r="M3" s="2"/>
      <c r="S3" s="46"/>
      <c r="T3" s="46"/>
      <c r="U3" s="46"/>
      <c r="V3" s="46"/>
      <c r="W3" s="46"/>
      <c r="X3" s="46"/>
      <c r="Y3" s="46"/>
    </row>
    <row r="4" spans="2:27" ht="9" customHeight="1" x14ac:dyDescent="0.2">
      <c r="D4" s="60"/>
      <c r="K4" s="43"/>
      <c r="L4" s="43"/>
      <c r="M4" s="42"/>
      <c r="N4" s="42"/>
      <c r="O4" s="42"/>
      <c r="P4" s="42"/>
      <c r="Q4" s="42"/>
      <c r="R4" s="42"/>
      <c r="S4" s="42"/>
      <c r="T4" s="42"/>
      <c r="U4" s="42"/>
    </row>
    <row r="5" spans="2:27" s="63" customFormat="1" ht="15.75" customHeight="1" x14ac:dyDescent="0.2">
      <c r="B5" s="245" t="s">
        <v>131</v>
      </c>
      <c r="C5" s="246"/>
      <c r="D5" s="246"/>
      <c r="E5" s="246"/>
      <c r="F5" s="246"/>
      <c r="G5" s="246"/>
      <c r="H5" s="246"/>
      <c r="I5" s="47"/>
      <c r="J5" s="48"/>
      <c r="K5" s="48"/>
      <c r="L5" s="48"/>
      <c r="M5" s="66"/>
      <c r="N5" s="64" t="s">
        <v>117</v>
      </c>
      <c r="O5" s="67"/>
      <c r="P5" s="49"/>
      <c r="Q5" s="49"/>
      <c r="R5" s="229"/>
      <c r="S5" s="230"/>
      <c r="T5" s="230"/>
      <c r="U5" s="46"/>
      <c r="V5" s="46"/>
      <c r="W5" s="46"/>
      <c r="X5" s="46"/>
      <c r="Y5" s="46"/>
    </row>
    <row r="6" spans="2:27" s="63" customFormat="1" ht="15.75" customHeight="1" thickBot="1" x14ac:dyDescent="0.25">
      <c r="B6" s="68"/>
      <c r="C6" s="69"/>
      <c r="D6" s="211" t="s">
        <v>119</v>
      </c>
      <c r="E6" s="65"/>
      <c r="F6" s="70"/>
      <c r="G6" s="65"/>
      <c r="H6" s="71"/>
      <c r="I6" s="71"/>
      <c r="J6" s="66"/>
      <c r="K6" s="48"/>
      <c r="L6" s="48"/>
      <c r="M6" s="66"/>
      <c r="N6" s="72" t="s">
        <v>128</v>
      </c>
      <c r="O6" s="73"/>
      <c r="P6" s="74"/>
      <c r="Q6" s="74"/>
      <c r="R6" s="243"/>
      <c r="S6" s="244"/>
      <c r="T6" s="244"/>
      <c r="U6" s="46"/>
      <c r="V6" s="46" t="s">
        <v>148</v>
      </c>
      <c r="W6" s="46"/>
      <c r="X6" s="46"/>
      <c r="Y6" s="46"/>
    </row>
    <row r="7" spans="2:27" ht="25.5" customHeight="1" thickTop="1" thickBot="1" x14ac:dyDescent="0.25">
      <c r="D7" s="75" t="s">
        <v>18</v>
      </c>
      <c r="E7" s="75" t="s">
        <v>7</v>
      </c>
      <c r="F7" s="75" t="s">
        <v>116</v>
      </c>
      <c r="G7" s="76" t="s">
        <v>12</v>
      </c>
      <c r="H7" s="77" t="s">
        <v>115</v>
      </c>
      <c r="I7" s="78" t="s">
        <v>108</v>
      </c>
      <c r="K7" s="189"/>
      <c r="N7" s="79" t="s">
        <v>25</v>
      </c>
      <c r="O7" s="80" t="s">
        <v>132</v>
      </c>
      <c r="P7" s="81"/>
      <c r="Q7" s="81"/>
      <c r="R7" s="80" t="s">
        <v>107</v>
      </c>
      <c r="S7" s="81"/>
      <c r="T7" s="82"/>
      <c r="U7" s="42"/>
      <c r="V7" s="171" t="s">
        <v>147</v>
      </c>
      <c r="W7" s="80"/>
      <c r="X7" s="177"/>
      <c r="Y7" s="177"/>
      <c r="Z7" s="215"/>
      <c r="AA7" s="178"/>
    </row>
    <row r="8" spans="2:27" s="61" customFormat="1" ht="10.8" thickTop="1" x14ac:dyDescent="0.2">
      <c r="D8" s="31" t="s">
        <v>21</v>
      </c>
      <c r="E8" s="31" t="s">
        <v>17</v>
      </c>
      <c r="F8" s="37"/>
      <c r="G8" s="83">
        <f>HLOOKUP(E8,BVD!$C$3:$N$4,2,1)</f>
        <v>9</v>
      </c>
      <c r="H8" s="84">
        <f>IF(D8=0,0,(VLOOKUP(D8,BVD!$C$5:$N$33,3+G8)))</f>
        <v>173.95</v>
      </c>
      <c r="I8" s="85">
        <f t="shared" ref="I8:I24" si="0">H8*F8</f>
        <v>0</v>
      </c>
      <c r="K8" s="189"/>
      <c r="N8" s="86" t="s">
        <v>26</v>
      </c>
      <c r="O8" s="87" t="s">
        <v>27</v>
      </c>
      <c r="P8" s="88"/>
      <c r="Q8" s="88"/>
      <c r="R8" s="87" t="s">
        <v>28</v>
      </c>
      <c r="S8" s="88"/>
      <c r="T8" s="89"/>
      <c r="U8" s="43"/>
      <c r="V8" s="86" t="s">
        <v>142</v>
      </c>
      <c r="W8" s="179" t="s">
        <v>149</v>
      </c>
      <c r="X8" s="88"/>
      <c r="Y8" s="88"/>
      <c r="Z8" s="88"/>
      <c r="AA8" s="89"/>
    </row>
    <row r="9" spans="2:27" x14ac:dyDescent="0.2">
      <c r="D9" s="32" t="s">
        <v>23</v>
      </c>
      <c r="E9" s="32" t="s">
        <v>17</v>
      </c>
      <c r="F9" s="39"/>
      <c r="G9" s="90">
        <f>HLOOKUP(E9,BVD!$C$3:$N$4,2,1)</f>
        <v>9</v>
      </c>
      <c r="H9" s="84">
        <f>IF(D9=0,0,(VLOOKUP(D9,BVD!$C$5:$N$33,3+G9)))</f>
        <v>67.39</v>
      </c>
      <c r="I9" s="85">
        <f t="shared" si="0"/>
        <v>0</v>
      </c>
      <c r="K9" s="189"/>
      <c r="N9" s="91" t="s">
        <v>94</v>
      </c>
      <c r="O9" s="92" t="s">
        <v>30</v>
      </c>
      <c r="P9" s="93"/>
      <c r="Q9" s="93"/>
      <c r="R9" s="92" t="s">
        <v>28</v>
      </c>
      <c r="S9" s="93"/>
      <c r="T9" s="94"/>
      <c r="U9" s="42"/>
      <c r="V9" s="91" t="s">
        <v>143</v>
      </c>
      <c r="W9" s="170" t="s">
        <v>150</v>
      </c>
      <c r="X9" s="175"/>
      <c r="Y9" s="175"/>
      <c r="Z9" s="175"/>
      <c r="AA9" s="176"/>
    </row>
    <row r="10" spans="2:27" ht="10.8" thickBot="1" x14ac:dyDescent="0.25">
      <c r="D10" s="32" t="s">
        <v>6</v>
      </c>
      <c r="E10" s="32" t="s">
        <v>17</v>
      </c>
      <c r="F10" s="39"/>
      <c r="G10" s="90">
        <f>HLOOKUP(E10,BVD!$C$3:$N$4,2,1)</f>
        <v>9</v>
      </c>
      <c r="H10" s="84">
        <f>IF(D10=0,0,(VLOOKUP(D10,BVD!$C$5:$N$33,3+G10)))</f>
        <v>186.7</v>
      </c>
      <c r="I10" s="85">
        <f t="shared" si="0"/>
        <v>0</v>
      </c>
      <c r="K10" s="189"/>
      <c r="N10" s="95" t="s">
        <v>31</v>
      </c>
      <c r="O10" s="96" t="s">
        <v>32</v>
      </c>
      <c r="R10" s="96"/>
      <c r="T10" s="97"/>
      <c r="U10" s="42"/>
      <c r="V10" s="172" t="s">
        <v>144</v>
      </c>
      <c r="W10" s="173" t="s">
        <v>151</v>
      </c>
      <c r="X10" s="174"/>
      <c r="Y10" s="174"/>
      <c r="Z10" s="155"/>
      <c r="AA10" s="117"/>
    </row>
    <row r="11" spans="2:27" x14ac:dyDescent="0.2">
      <c r="D11" s="32" t="s">
        <v>20</v>
      </c>
      <c r="E11" s="32" t="s">
        <v>16</v>
      </c>
      <c r="F11" s="38"/>
      <c r="G11" s="90">
        <f>HLOOKUP(E11,BVD!$C$3:$N$4,2,1)</f>
        <v>8</v>
      </c>
      <c r="H11" s="84">
        <f>IF(D11=0,0,(VLOOKUP(D11,BVD!$C$5:$N$33,3+G11)))</f>
        <v>162.08000000000001</v>
      </c>
      <c r="I11" s="85">
        <f t="shared" si="0"/>
        <v>0</v>
      </c>
      <c r="K11" s="189"/>
      <c r="N11" s="91" t="s">
        <v>96</v>
      </c>
      <c r="O11" s="92" t="s">
        <v>33</v>
      </c>
      <c r="P11" s="93"/>
      <c r="Q11" s="93"/>
      <c r="R11" s="92" t="s">
        <v>34</v>
      </c>
      <c r="S11" s="93"/>
      <c r="T11" s="94"/>
      <c r="U11" s="42"/>
    </row>
    <row r="12" spans="2:27" x14ac:dyDescent="0.2">
      <c r="D12" s="32" t="s">
        <v>6</v>
      </c>
      <c r="E12" s="32" t="s">
        <v>17</v>
      </c>
      <c r="F12" s="38"/>
      <c r="G12" s="90">
        <f>HLOOKUP(E12,BVD!$C$3:$N$4,2,1)</f>
        <v>9</v>
      </c>
      <c r="H12" s="84">
        <f>IF(D12=0,0,(VLOOKUP(D12,BVD!$C$5:$N$33,3+G12)))</f>
        <v>186.7</v>
      </c>
      <c r="I12" s="85">
        <f t="shared" si="0"/>
        <v>0</v>
      </c>
      <c r="K12" s="187"/>
      <c r="L12" s="43"/>
      <c r="N12" s="95" t="s">
        <v>35</v>
      </c>
      <c r="O12" s="96" t="s">
        <v>36</v>
      </c>
      <c r="R12" s="96" t="s">
        <v>37</v>
      </c>
      <c r="T12" s="97"/>
      <c r="U12" s="42"/>
    </row>
    <row r="13" spans="2:27" x14ac:dyDescent="0.2">
      <c r="D13" s="32" t="s">
        <v>61</v>
      </c>
      <c r="E13" s="32" t="s">
        <v>8</v>
      </c>
      <c r="F13" s="38"/>
      <c r="G13" s="90">
        <f>HLOOKUP(E13,BVD!$C$3:$N$4,2,1)</f>
        <v>1</v>
      </c>
      <c r="H13" s="84">
        <f>IF(D13=0,0,(VLOOKUP(D13,BVD!$C$5:$N$33,3+G13)))</f>
        <v>455.86</v>
      </c>
      <c r="I13" s="85">
        <f t="shared" si="0"/>
        <v>0</v>
      </c>
      <c r="K13" s="187"/>
      <c r="L13" s="43"/>
      <c r="N13" s="91" t="s">
        <v>97</v>
      </c>
      <c r="O13" s="92" t="s">
        <v>38</v>
      </c>
      <c r="P13" s="93"/>
      <c r="Q13" s="93"/>
      <c r="R13" s="92" t="s">
        <v>39</v>
      </c>
      <c r="S13" s="93"/>
      <c r="T13" s="94"/>
      <c r="U13" s="42"/>
    </row>
    <row r="14" spans="2:27" x14ac:dyDescent="0.2">
      <c r="D14" s="32" t="s">
        <v>84</v>
      </c>
      <c r="E14" s="32" t="s">
        <v>8</v>
      </c>
      <c r="F14" s="38"/>
      <c r="G14" s="90">
        <f>HLOOKUP(E14,BVD!$C$3:$N$4,2,1)</f>
        <v>1</v>
      </c>
      <c r="H14" s="84">
        <f>IF(D14=0,0,(VLOOKUP(D14,BVD!$C$5:$N$33,3+G14)))</f>
        <v>154.83000000000001</v>
      </c>
      <c r="I14" s="85">
        <f t="shared" si="0"/>
        <v>0</v>
      </c>
      <c r="K14" s="187"/>
      <c r="L14" s="43"/>
      <c r="N14" s="95" t="s">
        <v>40</v>
      </c>
      <c r="O14" s="96" t="s">
        <v>41</v>
      </c>
      <c r="R14" s="96"/>
      <c r="T14" s="97"/>
      <c r="U14" s="42"/>
    </row>
    <row r="15" spans="2:27" x14ac:dyDescent="0.2">
      <c r="D15" s="32"/>
      <c r="E15" s="32"/>
      <c r="F15" s="38"/>
      <c r="G15" s="90" t="e">
        <f>HLOOKUP(E15,BVD!$C$3:$N$4,2,1)</f>
        <v>#N/A</v>
      </c>
      <c r="H15" s="84">
        <f>IF(D15=0,0,(VLOOKUP(D15,BVD!$C$5:$N$33,3+G15)))</f>
        <v>0</v>
      </c>
      <c r="I15" s="85">
        <f t="shared" si="0"/>
        <v>0</v>
      </c>
      <c r="K15" s="43"/>
      <c r="L15" s="43"/>
      <c r="N15" s="91" t="s">
        <v>6</v>
      </c>
      <c r="O15" s="92" t="s">
        <v>42</v>
      </c>
      <c r="P15" s="93"/>
      <c r="Q15" s="93"/>
      <c r="R15" s="92" t="s">
        <v>43</v>
      </c>
      <c r="S15" s="93"/>
      <c r="T15" s="94"/>
      <c r="U15" s="42"/>
    </row>
    <row r="16" spans="2:27" x14ac:dyDescent="0.2">
      <c r="D16" s="32"/>
      <c r="E16" s="32"/>
      <c r="F16" s="38"/>
      <c r="G16" s="90" t="e">
        <f>HLOOKUP(E16,BVD!$C$3:$N$4,2,1)</f>
        <v>#N/A</v>
      </c>
      <c r="H16" s="84">
        <f>IF(D16=0,0,(VLOOKUP(D16,BVD!$C$5:$N$33,3+G16)))</f>
        <v>0</v>
      </c>
      <c r="I16" s="85">
        <f t="shared" si="0"/>
        <v>0</v>
      </c>
      <c r="K16" s="43"/>
      <c r="L16" s="43"/>
      <c r="N16" s="95" t="s">
        <v>44</v>
      </c>
      <c r="O16" s="96" t="s">
        <v>45</v>
      </c>
      <c r="R16" s="96" t="s">
        <v>46</v>
      </c>
      <c r="T16" s="97"/>
      <c r="U16" s="42"/>
    </row>
    <row r="17" spans="4:23" x14ac:dyDescent="0.2">
      <c r="D17" s="32"/>
      <c r="E17" s="32"/>
      <c r="F17" s="38"/>
      <c r="G17" s="90" t="e">
        <f>HLOOKUP(E17,BVD!$C$3:$N$4,2,1)</f>
        <v>#N/A</v>
      </c>
      <c r="H17" s="84">
        <f>IF(D17=0,0,(VLOOKUP(D17,BVD!$C$5:$N$33,3+G17)))</f>
        <v>0</v>
      </c>
      <c r="I17" s="85">
        <f t="shared" si="0"/>
        <v>0</v>
      </c>
      <c r="K17" s="43"/>
      <c r="L17" s="43"/>
      <c r="N17" s="91" t="s">
        <v>47</v>
      </c>
      <c r="O17" s="92" t="s">
        <v>48</v>
      </c>
      <c r="P17" s="93"/>
      <c r="Q17" s="93"/>
      <c r="R17" s="92" t="s">
        <v>49</v>
      </c>
      <c r="S17" s="93"/>
      <c r="T17" s="94"/>
      <c r="U17" s="42"/>
    </row>
    <row r="18" spans="4:23" x14ac:dyDescent="0.2">
      <c r="D18" s="32"/>
      <c r="E18" s="32"/>
      <c r="F18" s="38"/>
      <c r="G18" s="90" t="e">
        <f>HLOOKUP(E18,BVD!$C$3:$N$4,2,1)</f>
        <v>#N/A</v>
      </c>
      <c r="H18" s="84">
        <f>IF(D18=0,0,(VLOOKUP(D18,BVD!$C$5:$N$33,3+G18)))</f>
        <v>0</v>
      </c>
      <c r="I18" s="85">
        <f t="shared" si="0"/>
        <v>0</v>
      </c>
      <c r="K18" s="43"/>
      <c r="L18" s="43"/>
      <c r="N18" s="95" t="s">
        <v>50</v>
      </c>
      <c r="O18" s="96" t="s">
        <v>51</v>
      </c>
      <c r="R18" s="96" t="s">
        <v>49</v>
      </c>
      <c r="T18" s="97"/>
      <c r="U18" s="42"/>
    </row>
    <row r="19" spans="4:23" x14ac:dyDescent="0.2">
      <c r="D19" s="32"/>
      <c r="E19" s="32"/>
      <c r="F19" s="38"/>
      <c r="G19" s="90" t="e">
        <f>HLOOKUP(E19,BVD!$C$3:$N$4,2,1)</f>
        <v>#N/A</v>
      </c>
      <c r="H19" s="84">
        <f>IF(D19=0,0,(VLOOKUP(D19,BVD!$C$5:$N$33,3+G19)))</f>
        <v>0</v>
      </c>
      <c r="I19" s="85">
        <f t="shared" si="0"/>
        <v>0</v>
      </c>
      <c r="K19" s="43"/>
      <c r="L19" s="43"/>
      <c r="N19" s="91" t="s">
        <v>52</v>
      </c>
      <c r="O19" s="92" t="s">
        <v>53</v>
      </c>
      <c r="P19" s="93"/>
      <c r="Q19" s="93"/>
      <c r="R19" s="92"/>
      <c r="S19" s="93"/>
      <c r="T19" s="94"/>
      <c r="U19" s="42"/>
    </row>
    <row r="20" spans="4:23" x14ac:dyDescent="0.2">
      <c r="D20" s="32"/>
      <c r="E20" s="32"/>
      <c r="F20" s="38"/>
      <c r="G20" s="90" t="e">
        <f>HLOOKUP(E20,BVD!$C$3:$N$4,2,1)</f>
        <v>#N/A</v>
      </c>
      <c r="H20" s="84">
        <f>IF(D20=0,0,(VLOOKUP(D20,BVD!$C$5:$N$33,3+G20)))</f>
        <v>0</v>
      </c>
      <c r="I20" s="85">
        <f t="shared" si="0"/>
        <v>0</v>
      </c>
      <c r="K20" s="43"/>
      <c r="L20" s="43"/>
      <c r="N20" s="95" t="s">
        <v>54</v>
      </c>
      <c r="O20" s="96" t="s">
        <v>55</v>
      </c>
      <c r="R20" s="96"/>
      <c r="T20" s="97"/>
      <c r="U20" s="42"/>
    </row>
    <row r="21" spans="4:23" x14ac:dyDescent="0.2">
      <c r="D21" s="32"/>
      <c r="E21" s="32"/>
      <c r="F21" s="38"/>
      <c r="G21" s="90" t="e">
        <f>HLOOKUP(E21,BVD!$C$3:$N$4,2,1)</f>
        <v>#N/A</v>
      </c>
      <c r="H21" s="84">
        <f>IF(D21=0,0,(VLOOKUP(D21,BVD!$C$5:$N$33,3+G21)))</f>
        <v>0</v>
      </c>
      <c r="I21" s="85">
        <f t="shared" si="0"/>
        <v>0</v>
      </c>
      <c r="K21" s="43"/>
      <c r="L21" s="43"/>
      <c r="N21" s="91" t="s">
        <v>56</v>
      </c>
      <c r="O21" s="92" t="s">
        <v>57</v>
      </c>
      <c r="P21" s="93"/>
      <c r="Q21" s="93"/>
      <c r="R21" s="92"/>
      <c r="S21" s="93"/>
      <c r="T21" s="94"/>
      <c r="U21" s="42"/>
    </row>
    <row r="22" spans="4:23" x14ac:dyDescent="0.2">
      <c r="D22" s="32"/>
      <c r="E22" s="32"/>
      <c r="F22" s="38"/>
      <c r="G22" s="90" t="e">
        <f>HLOOKUP(E22,BVD!$C$3:$N$4,2,1)</f>
        <v>#N/A</v>
      </c>
      <c r="H22" s="84">
        <f>IF(D22=0,0,(VLOOKUP(D22,BVD!$C$5:$N$33,3+G22)))</f>
        <v>0</v>
      </c>
      <c r="I22" s="85">
        <f t="shared" si="0"/>
        <v>0</v>
      </c>
      <c r="K22" s="43"/>
      <c r="L22" s="43"/>
      <c r="N22" s="95" t="s">
        <v>58</v>
      </c>
      <c r="O22" s="96" t="s">
        <v>59</v>
      </c>
      <c r="R22" s="96" t="s">
        <v>60</v>
      </c>
      <c r="T22" s="97"/>
      <c r="U22" s="42"/>
    </row>
    <row r="23" spans="4:23" x14ac:dyDescent="0.2">
      <c r="D23" s="32"/>
      <c r="E23" s="32"/>
      <c r="F23" s="38"/>
      <c r="G23" s="90" t="e">
        <f>HLOOKUP(E23,BVD!$C$3:$N$4,2,1)</f>
        <v>#N/A</v>
      </c>
      <c r="H23" s="84">
        <f>IF(D23=0,0,(VLOOKUP(D23,BVD!$C$5:$N$33,3+G23)))</f>
        <v>0</v>
      </c>
      <c r="I23" s="85">
        <f t="shared" si="0"/>
        <v>0</v>
      </c>
      <c r="K23" s="43"/>
      <c r="L23" s="43"/>
      <c r="N23" s="91" t="s">
        <v>61</v>
      </c>
      <c r="O23" s="92" t="s">
        <v>62</v>
      </c>
      <c r="P23" s="93"/>
      <c r="Q23" s="93"/>
      <c r="R23" s="92" t="s">
        <v>63</v>
      </c>
      <c r="S23" s="93"/>
      <c r="T23" s="94"/>
      <c r="U23" s="42"/>
    </row>
    <row r="24" spans="4:23" x14ac:dyDescent="0.2">
      <c r="D24" s="32"/>
      <c r="E24" s="32"/>
      <c r="F24" s="38"/>
      <c r="G24" s="90" t="e">
        <f>HLOOKUP(E24,BVD!$C$3:$N$4,2,1)</f>
        <v>#N/A</v>
      </c>
      <c r="H24" s="84">
        <f>IF(D24=0,0,(VLOOKUP(D24,BVD!$C$5:$N$33,3+G24)))</f>
        <v>0</v>
      </c>
      <c r="I24" s="85">
        <f t="shared" si="0"/>
        <v>0</v>
      </c>
      <c r="K24" s="43"/>
      <c r="L24" s="43"/>
      <c r="N24" s="95" t="s">
        <v>98</v>
      </c>
      <c r="O24" s="96" t="s">
        <v>64</v>
      </c>
      <c r="R24" s="96" t="s">
        <v>65</v>
      </c>
      <c r="T24" s="97"/>
      <c r="U24" s="42"/>
      <c r="W24" s="169"/>
    </row>
    <row r="25" spans="4:23" x14ac:dyDescent="0.2">
      <c r="D25" s="32"/>
      <c r="E25" s="32"/>
      <c r="F25" s="38"/>
      <c r="G25" s="90" t="e">
        <f>HLOOKUP(E25,BVD!$C$3:$N$4,2,1)</f>
        <v>#N/A</v>
      </c>
      <c r="H25" s="84">
        <f>IF(D25=0,0,(VLOOKUP(D25,BVD!$C$5:$N$33,3+G25)))</f>
        <v>0</v>
      </c>
      <c r="I25" s="85">
        <f t="shared" ref="I25:I35" si="1">H25*F25</f>
        <v>0</v>
      </c>
      <c r="K25" s="43"/>
      <c r="L25" s="43"/>
      <c r="N25" s="91" t="s">
        <v>66</v>
      </c>
      <c r="O25" s="92" t="s">
        <v>67</v>
      </c>
      <c r="P25" s="93"/>
      <c r="Q25" s="93"/>
      <c r="R25" s="92" t="s">
        <v>68</v>
      </c>
      <c r="S25" s="93"/>
      <c r="T25" s="94"/>
      <c r="U25" s="42"/>
      <c r="W25" s="169"/>
    </row>
    <row r="26" spans="4:23" x14ac:dyDescent="0.2">
      <c r="D26" s="32"/>
      <c r="E26" s="32"/>
      <c r="F26" s="38"/>
      <c r="G26" s="90" t="e">
        <f>HLOOKUP(E26,BVD!$C$3:$N$4,2,1)</f>
        <v>#N/A</v>
      </c>
      <c r="H26" s="84">
        <f>IF(D26=0,0,(VLOOKUP(D26,BVD!$C$5:$N$33,3+G26)))</f>
        <v>0</v>
      </c>
      <c r="I26" s="85">
        <f t="shared" si="1"/>
        <v>0</v>
      </c>
      <c r="K26" s="43"/>
      <c r="L26" s="43"/>
      <c r="N26" s="95" t="s">
        <v>69</v>
      </c>
      <c r="O26" s="96" t="s">
        <v>70</v>
      </c>
      <c r="R26" s="96"/>
      <c r="T26" s="97"/>
      <c r="U26" s="42"/>
      <c r="W26" s="169"/>
    </row>
    <row r="27" spans="4:23" x14ac:dyDescent="0.2">
      <c r="D27" s="32"/>
      <c r="E27" s="32"/>
      <c r="F27" s="38"/>
      <c r="G27" s="90" t="e">
        <f>HLOOKUP(E27,BVD!$C$3:$N$4,2,1)</f>
        <v>#N/A</v>
      </c>
      <c r="H27" s="84">
        <f>IF(D27=0,0,(VLOOKUP(D27,BVD!$C$5:$N$33,3+G27)))</f>
        <v>0</v>
      </c>
      <c r="I27" s="85">
        <f t="shared" si="1"/>
        <v>0</v>
      </c>
      <c r="K27" s="43"/>
      <c r="L27" s="43"/>
      <c r="N27" s="91" t="s">
        <v>71</v>
      </c>
      <c r="O27" s="92" t="s">
        <v>72</v>
      </c>
      <c r="P27" s="93"/>
      <c r="Q27" s="93"/>
      <c r="R27" s="92" t="s">
        <v>73</v>
      </c>
      <c r="S27" s="93"/>
      <c r="T27" s="94"/>
      <c r="U27" s="42"/>
    </row>
    <row r="28" spans="4:23" x14ac:dyDescent="0.2">
      <c r="D28" s="32"/>
      <c r="E28" s="32"/>
      <c r="F28" s="38"/>
      <c r="G28" s="90" t="e">
        <f>HLOOKUP(E28,BVD!$C$3:$N$4,2,1)</f>
        <v>#N/A</v>
      </c>
      <c r="H28" s="84">
        <f>IF(D28=0,0,(VLOOKUP(D28,BVD!$C$5:$N$33,3+G28)))</f>
        <v>0</v>
      </c>
      <c r="I28" s="85">
        <f t="shared" si="1"/>
        <v>0</v>
      </c>
      <c r="K28" s="43"/>
      <c r="L28" s="43"/>
      <c r="N28" s="95" t="s">
        <v>19</v>
      </c>
      <c r="O28" s="96" t="s">
        <v>74</v>
      </c>
      <c r="R28" s="96" t="s">
        <v>75</v>
      </c>
      <c r="T28" s="97"/>
      <c r="U28" s="42"/>
    </row>
    <row r="29" spans="4:23" ht="11.25" customHeight="1" x14ac:dyDescent="0.2">
      <c r="D29" s="32"/>
      <c r="E29" s="32"/>
      <c r="F29" s="38"/>
      <c r="G29" s="90" t="e">
        <f>HLOOKUP(E29,BVD!$C$3:$N$4,2,1)</f>
        <v>#N/A</v>
      </c>
      <c r="H29" s="84">
        <f>IF(D29=0,0,(VLOOKUP(D29,BVD!$C$5:$N$33,3+G29)))</f>
        <v>0</v>
      </c>
      <c r="I29" s="85">
        <f t="shared" si="1"/>
        <v>0</v>
      </c>
      <c r="K29" s="43"/>
      <c r="L29" s="43"/>
      <c r="N29" s="91" t="s">
        <v>20</v>
      </c>
      <c r="O29" s="92" t="s">
        <v>76</v>
      </c>
      <c r="P29" s="93"/>
      <c r="Q29" s="93"/>
      <c r="R29" s="92" t="s">
        <v>77</v>
      </c>
      <c r="S29" s="93"/>
      <c r="T29" s="94"/>
      <c r="U29" s="42"/>
    </row>
    <row r="30" spans="4:23" ht="11.25" customHeight="1" x14ac:dyDescent="0.2">
      <c r="D30" s="32"/>
      <c r="E30" s="32"/>
      <c r="F30" s="38"/>
      <c r="G30" s="90" t="e">
        <f>HLOOKUP(E30,BVD!$C$3:$N$4,2,1)</f>
        <v>#N/A</v>
      </c>
      <c r="H30" s="84">
        <f>IF(D30=0,0,(VLOOKUP(D30,BVD!$C$5:$N$33,3+G30)))</f>
        <v>0</v>
      </c>
      <c r="I30" s="85">
        <f t="shared" si="1"/>
        <v>0</v>
      </c>
      <c r="K30" s="50"/>
      <c r="L30" s="50"/>
      <c r="N30" s="95" t="s">
        <v>21</v>
      </c>
      <c r="O30" s="96" t="s">
        <v>78</v>
      </c>
      <c r="R30" s="96" t="s">
        <v>79</v>
      </c>
      <c r="T30" s="97"/>
      <c r="U30" s="42"/>
    </row>
    <row r="31" spans="4:23" ht="11.25" customHeight="1" x14ac:dyDescent="0.2">
      <c r="D31" s="32"/>
      <c r="E31" s="32"/>
      <c r="F31" s="38"/>
      <c r="G31" s="90" t="e">
        <f>HLOOKUP(E31,BVD!$C$3:$N$4,2,1)</f>
        <v>#N/A</v>
      </c>
      <c r="H31" s="84">
        <f>IF(D31=0,0,(VLOOKUP(D31,BVD!$C$5:$N$33,3+G31)))</f>
        <v>0</v>
      </c>
      <c r="I31" s="85">
        <f t="shared" si="1"/>
        <v>0</v>
      </c>
      <c r="K31" s="50"/>
      <c r="L31" s="50"/>
      <c r="N31" s="91" t="s">
        <v>22</v>
      </c>
      <c r="O31" s="92" t="s">
        <v>80</v>
      </c>
      <c r="P31" s="93"/>
      <c r="Q31" s="93"/>
      <c r="R31" s="92"/>
      <c r="S31" s="93"/>
      <c r="T31" s="94"/>
      <c r="U31" s="42"/>
    </row>
    <row r="32" spans="4:23" ht="11.25" customHeight="1" x14ac:dyDescent="0.2">
      <c r="D32" s="32"/>
      <c r="E32" s="32"/>
      <c r="F32" s="38"/>
      <c r="G32" s="90" t="e">
        <f>HLOOKUP(E32,BVD!$C$3:$N$4,2,1)</f>
        <v>#N/A</v>
      </c>
      <c r="H32" s="84">
        <f>IF(D32=0,0,(VLOOKUP(D32,BVD!$C$5:$N$33,3+G32)))</f>
        <v>0</v>
      </c>
      <c r="I32" s="85">
        <f t="shared" si="1"/>
        <v>0</v>
      </c>
      <c r="K32" s="50"/>
      <c r="L32" s="50"/>
      <c r="N32" s="95" t="s">
        <v>81</v>
      </c>
      <c r="O32" s="96" t="s">
        <v>82</v>
      </c>
      <c r="R32" s="96" t="s">
        <v>83</v>
      </c>
      <c r="T32" s="97"/>
      <c r="U32" s="42"/>
    </row>
    <row r="33" spans="1:25" ht="11.25" customHeight="1" x14ac:dyDescent="0.2">
      <c r="D33" s="32"/>
      <c r="E33" s="32"/>
      <c r="F33" s="38"/>
      <c r="G33" s="90" t="e">
        <f>HLOOKUP(E33,BVD!$C$3:$N$4,2,1)</f>
        <v>#N/A</v>
      </c>
      <c r="H33" s="84">
        <f>IF(D33=0,0,(VLOOKUP(D33,BVD!$C$5:$N$33,3+G33)))</f>
        <v>0</v>
      </c>
      <c r="I33" s="85">
        <f t="shared" si="1"/>
        <v>0</v>
      </c>
      <c r="K33" s="50"/>
      <c r="L33" s="50"/>
      <c r="N33" s="91" t="s">
        <v>84</v>
      </c>
      <c r="O33" s="92" t="s">
        <v>85</v>
      </c>
      <c r="P33" s="93"/>
      <c r="Q33" s="93"/>
      <c r="R33" s="92" t="s">
        <v>86</v>
      </c>
      <c r="S33" s="93"/>
      <c r="T33" s="94"/>
      <c r="U33" s="42"/>
    </row>
    <row r="34" spans="1:25" ht="11.25" customHeight="1" x14ac:dyDescent="0.2">
      <c r="D34" s="32"/>
      <c r="E34" s="32"/>
      <c r="F34" s="38"/>
      <c r="G34" s="90" t="e">
        <f>HLOOKUP(E34,BVD!$C$3:$N$4,2,1)</f>
        <v>#N/A</v>
      </c>
      <c r="H34" s="84">
        <f>IF(D34=0,0,(VLOOKUP(D34,BVD!$C$5:$N$33,3+G34)))</f>
        <v>0</v>
      </c>
      <c r="I34" s="85">
        <f t="shared" si="1"/>
        <v>0</v>
      </c>
      <c r="K34" s="50"/>
      <c r="L34" s="50"/>
      <c r="N34" s="95" t="s">
        <v>23</v>
      </c>
      <c r="O34" s="96" t="s">
        <v>87</v>
      </c>
      <c r="R34" s="96" t="s">
        <v>88</v>
      </c>
      <c r="T34" s="97"/>
      <c r="U34" s="42"/>
    </row>
    <row r="35" spans="1:25" ht="12.75" customHeight="1" thickBot="1" x14ac:dyDescent="0.25">
      <c r="D35" s="33"/>
      <c r="E35" s="33"/>
      <c r="F35" s="40"/>
      <c r="G35" s="98" t="e">
        <f>HLOOKUP(E35,BVD!$C$3:$N$4,2,1)</f>
        <v>#N/A</v>
      </c>
      <c r="H35" s="84">
        <f>IF(D35=0,0,(VLOOKUP(D35,BVD!$C$5:$N$33,3+G35)))</f>
        <v>0</v>
      </c>
      <c r="I35" s="85">
        <f t="shared" si="1"/>
        <v>0</v>
      </c>
      <c r="K35" s="50"/>
      <c r="L35" s="50"/>
      <c r="N35" s="99" t="s">
        <v>95</v>
      </c>
      <c r="O35" s="100" t="s">
        <v>100</v>
      </c>
      <c r="P35" s="101"/>
      <c r="Q35" s="101"/>
      <c r="R35" s="100" t="s">
        <v>100</v>
      </c>
      <c r="S35" s="101"/>
      <c r="T35" s="102"/>
      <c r="U35" s="42"/>
    </row>
    <row r="36" spans="1:25" ht="21" customHeight="1" thickTop="1" x14ac:dyDescent="0.25">
      <c r="C36" s="60"/>
      <c r="D36" s="223" t="s">
        <v>113</v>
      </c>
      <c r="E36" s="145"/>
      <c r="F36" s="145"/>
      <c r="G36" s="208"/>
      <c r="H36" s="209"/>
      <c r="I36" s="103">
        <f>SUM(I8:I35)</f>
        <v>0</v>
      </c>
      <c r="J36" s="60"/>
      <c r="K36" s="51"/>
      <c r="L36" s="51"/>
      <c r="M36" s="42"/>
      <c r="N36" s="42"/>
      <c r="O36" s="42"/>
      <c r="P36" s="42"/>
      <c r="Q36" s="42"/>
      <c r="R36" s="42"/>
      <c r="S36" s="42"/>
      <c r="T36" s="42"/>
      <c r="U36" s="42"/>
    </row>
    <row r="37" spans="1:25" ht="15" customHeight="1" thickBot="1" x14ac:dyDescent="0.25">
      <c r="C37" s="60"/>
      <c r="D37" s="60"/>
      <c r="F37" s="61"/>
      <c r="G37" s="60"/>
      <c r="H37" s="104"/>
      <c r="I37" s="105"/>
      <c r="J37" s="60"/>
      <c r="K37" s="51"/>
      <c r="L37" s="51"/>
      <c r="M37" s="42"/>
      <c r="N37" s="42"/>
      <c r="O37" s="42"/>
      <c r="P37" s="42"/>
      <c r="Q37" s="42"/>
      <c r="R37" s="42"/>
      <c r="S37" s="42"/>
      <c r="T37" s="42"/>
      <c r="U37" s="42"/>
    </row>
    <row r="38" spans="1:25" ht="15.75" customHeight="1" thickTop="1" thickBot="1" x14ac:dyDescent="0.35">
      <c r="B38" s="237" t="s">
        <v>139</v>
      </c>
      <c r="C38" s="238"/>
      <c r="D38" s="238"/>
      <c r="E38" s="238"/>
      <c r="F38" s="238"/>
      <c r="G38" s="238"/>
      <c r="H38" s="239"/>
      <c r="I38" s="36">
        <v>0</v>
      </c>
      <c r="J38" s="60"/>
      <c r="K38" s="52"/>
      <c r="L38" s="53"/>
      <c r="M38" s="46"/>
      <c r="N38" s="42"/>
      <c r="O38" s="54"/>
      <c r="P38" s="54"/>
      <c r="Q38" s="54"/>
      <c r="R38" s="54"/>
      <c r="S38" s="54"/>
      <c r="T38" s="42"/>
      <c r="U38" s="42"/>
    </row>
    <row r="39" spans="1:25" ht="47.25" customHeight="1" thickTop="1" thickBot="1" x14ac:dyDescent="0.3">
      <c r="B39" s="106"/>
      <c r="C39" s="63"/>
      <c r="D39" s="231" t="s">
        <v>133</v>
      </c>
      <c r="E39" s="232"/>
      <c r="F39" s="232"/>
      <c r="G39" s="232"/>
      <c r="H39" s="232"/>
      <c r="I39" s="107"/>
      <c r="J39" s="60"/>
      <c r="K39" s="53"/>
      <c r="L39" s="53"/>
      <c r="M39" s="63"/>
      <c r="N39" s="20" t="s">
        <v>120</v>
      </c>
      <c r="P39" s="42"/>
      <c r="Q39" s="42"/>
      <c r="R39" s="42"/>
      <c r="S39" s="42"/>
      <c r="T39" s="42"/>
      <c r="U39" s="42"/>
    </row>
    <row r="40" spans="1:25" ht="13.8" thickBot="1" x14ac:dyDescent="0.3">
      <c r="I40" s="108"/>
      <c r="K40" s="53"/>
      <c r="L40" s="53"/>
      <c r="N40" s="79" t="s">
        <v>121</v>
      </c>
      <c r="O40" s="240" t="s">
        <v>122</v>
      </c>
      <c r="P40" s="241"/>
      <c r="Q40" s="241"/>
      <c r="R40" s="241"/>
      <c r="S40" s="241"/>
      <c r="T40" s="242"/>
      <c r="U40" s="42"/>
    </row>
    <row r="41" spans="1:25" s="63" customFormat="1" ht="12" x14ac:dyDescent="0.25">
      <c r="D41" s="233" t="s">
        <v>104</v>
      </c>
      <c r="E41" s="234"/>
      <c r="F41" s="234"/>
      <c r="G41" s="109"/>
      <c r="H41" s="110" t="s">
        <v>103</v>
      </c>
      <c r="I41" s="111">
        <f>I36+I38</f>
        <v>0</v>
      </c>
      <c r="K41" s="46"/>
      <c r="L41" s="46"/>
      <c r="N41" s="86" t="s">
        <v>123</v>
      </c>
      <c r="O41" s="87" t="s">
        <v>124</v>
      </c>
      <c r="P41" s="88"/>
      <c r="Q41" s="88"/>
      <c r="R41" s="87"/>
      <c r="S41" s="88"/>
      <c r="T41" s="89"/>
      <c r="U41" s="46"/>
      <c r="V41" s="46"/>
      <c r="W41" s="46"/>
      <c r="X41" s="46"/>
      <c r="Y41" s="46"/>
    </row>
    <row r="42" spans="1:25" ht="15" customHeight="1" x14ac:dyDescent="0.25">
      <c r="A42" s="63"/>
      <c r="B42" s="63"/>
      <c r="C42" s="63"/>
      <c r="D42" s="166"/>
      <c r="E42" s="167"/>
      <c r="F42" s="167"/>
      <c r="G42" s="63"/>
      <c r="H42" s="104"/>
      <c r="I42" s="105"/>
      <c r="J42" s="63"/>
      <c r="K42" s="46"/>
      <c r="L42" s="46"/>
      <c r="N42" s="235" t="s">
        <v>125</v>
      </c>
      <c r="O42" s="170" t="s">
        <v>169</v>
      </c>
      <c r="P42" s="216"/>
      <c r="Q42" s="216"/>
      <c r="R42" s="216"/>
      <c r="S42" s="216"/>
      <c r="T42" s="218"/>
      <c r="U42" s="42"/>
    </row>
    <row r="43" spans="1:25" ht="16.2" thickBot="1" x14ac:dyDescent="0.35">
      <c r="A43" s="63"/>
      <c r="B43" s="148" t="s">
        <v>152</v>
      </c>
      <c r="C43"/>
      <c r="D43"/>
      <c r="E43"/>
      <c r="F43"/>
      <c r="G43" s="181"/>
      <c r="H43" s="112"/>
      <c r="I43" s="105"/>
      <c r="J43" s="63"/>
      <c r="K43" s="46"/>
      <c r="L43" s="46"/>
      <c r="M43" s="63"/>
      <c r="N43" s="236"/>
      <c r="O43" s="217" t="s">
        <v>170</v>
      </c>
      <c r="P43" s="216"/>
      <c r="Q43" s="216"/>
      <c r="R43" s="216"/>
      <c r="S43" s="216"/>
      <c r="T43" s="218"/>
      <c r="U43" s="42"/>
    </row>
    <row r="44" spans="1:25" ht="11.4" customHeight="1" thickTop="1" thickBot="1" x14ac:dyDescent="0.25">
      <c r="A44" s="63"/>
      <c r="B44" s="63"/>
      <c r="C44" s="63"/>
      <c r="D44" s="248" t="s">
        <v>153</v>
      </c>
      <c r="E44" s="249"/>
      <c r="F44" s="249"/>
      <c r="G44" s="249"/>
      <c r="H44" s="249"/>
      <c r="I44" s="183"/>
      <c r="J44" s="63"/>
      <c r="K44" s="46"/>
      <c r="L44" s="46"/>
      <c r="M44" s="63"/>
      <c r="N44" s="225" t="s">
        <v>126</v>
      </c>
      <c r="P44" s="204"/>
      <c r="Q44" s="204"/>
      <c r="R44" s="204"/>
      <c r="S44" s="204"/>
      <c r="T44" s="205"/>
      <c r="U44" s="42"/>
    </row>
    <row r="45" spans="1:25" ht="34.5" customHeight="1" thickTop="1" x14ac:dyDescent="0.2">
      <c r="A45" s="63"/>
      <c r="B45" s="63"/>
      <c r="C45" s="63"/>
      <c r="D45" s="249"/>
      <c r="E45" s="249"/>
      <c r="F45" s="249"/>
      <c r="G45" s="249"/>
      <c r="H45" s="249"/>
      <c r="I45" s="105"/>
      <c r="J45" s="63"/>
      <c r="K45" s="46"/>
      <c r="L45" s="46"/>
      <c r="N45" s="226"/>
      <c r="O45" s="219" t="s">
        <v>127</v>
      </c>
      <c r="P45" s="204"/>
      <c r="Q45" s="204"/>
      <c r="R45" s="204"/>
      <c r="S45" s="204"/>
      <c r="T45" s="205"/>
      <c r="U45" s="42"/>
    </row>
    <row r="46" spans="1:25" ht="12.75" customHeight="1" x14ac:dyDescent="0.25">
      <c r="A46" s="63"/>
      <c r="B46" s="63"/>
      <c r="C46" s="63"/>
      <c r="D46" s="265" t="s">
        <v>154</v>
      </c>
      <c r="E46" s="266"/>
      <c r="F46" s="266"/>
      <c r="G46" s="63"/>
      <c r="H46" s="104"/>
      <c r="I46" s="184">
        <f>+IF(I44&gt;3,(I44-3)*0.005+1,1)</f>
        <v>1</v>
      </c>
      <c r="J46" s="63"/>
      <c r="K46" s="46"/>
      <c r="L46" s="46"/>
      <c r="N46" s="115"/>
      <c r="O46" s="221" t="s">
        <v>129</v>
      </c>
      <c r="P46" s="206"/>
      <c r="Q46" s="206"/>
      <c r="R46" s="206"/>
      <c r="S46" s="206"/>
      <c r="T46" s="97"/>
      <c r="U46" s="42"/>
    </row>
    <row r="47" spans="1:25" ht="12" customHeight="1" thickBot="1" x14ac:dyDescent="0.3">
      <c r="A47" s="63"/>
      <c r="B47" s="63"/>
      <c r="C47" s="63"/>
      <c r="D47" s="185"/>
      <c r="E47" s="186"/>
      <c r="F47" s="186"/>
      <c r="G47" s="63"/>
      <c r="H47" s="104"/>
      <c r="I47" s="184"/>
      <c r="J47" s="63"/>
      <c r="K47" s="46"/>
      <c r="L47" s="46"/>
      <c r="N47" s="116"/>
      <c r="O47" s="220"/>
      <c r="P47" s="207"/>
      <c r="Q47" s="207"/>
      <c r="R47" s="207"/>
      <c r="S47" s="207"/>
      <c r="T47" s="117"/>
      <c r="U47" s="42"/>
    </row>
    <row r="48" spans="1:25" ht="13.2" x14ac:dyDescent="0.25">
      <c r="A48" s="63"/>
      <c r="B48" s="63"/>
      <c r="C48" s="63"/>
      <c r="D48" s="265" t="s">
        <v>104</v>
      </c>
      <c r="E48" s="266"/>
      <c r="F48" s="266"/>
      <c r="G48" s="109"/>
      <c r="H48" s="110" t="s">
        <v>103</v>
      </c>
      <c r="I48" s="111">
        <f>(I36*I46)+I38</f>
        <v>0</v>
      </c>
      <c r="J48" s="63"/>
      <c r="K48" s="46"/>
      <c r="L48" s="46"/>
      <c r="M48" s="42"/>
      <c r="N48" s="42"/>
      <c r="O48" s="55"/>
      <c r="P48" s="55"/>
      <c r="Q48" s="55"/>
      <c r="R48" s="55"/>
      <c r="S48" s="55"/>
      <c r="T48" s="42"/>
      <c r="U48" s="42"/>
    </row>
    <row r="49" spans="1:28" ht="13.2" x14ac:dyDescent="0.25">
      <c r="A49" s="63"/>
      <c r="B49" s="63"/>
      <c r="C49" s="63"/>
      <c r="D49" s="185"/>
      <c r="E49" s="186"/>
      <c r="F49" s="186"/>
      <c r="G49" s="63"/>
      <c r="H49" s="104"/>
      <c r="I49" s="105"/>
      <c r="J49" s="63"/>
      <c r="K49" s="46"/>
      <c r="L49" s="46"/>
      <c r="M49" s="42"/>
      <c r="N49" s="42"/>
      <c r="O49" s="55"/>
      <c r="P49" s="55"/>
      <c r="Q49" s="55"/>
      <c r="R49" s="55"/>
      <c r="S49" s="55"/>
      <c r="T49" s="42"/>
      <c r="U49" s="42"/>
    </row>
    <row r="50" spans="1:28" ht="12" x14ac:dyDescent="0.25">
      <c r="B50" s="63"/>
      <c r="C50" s="63"/>
      <c r="D50" s="166"/>
      <c r="E50" s="167"/>
      <c r="F50" s="167"/>
      <c r="G50" s="63"/>
      <c r="H50" s="104"/>
      <c r="I50" s="105"/>
      <c r="J50" s="63"/>
      <c r="K50" s="46"/>
      <c r="L50" s="46"/>
      <c r="M50" s="42"/>
      <c r="N50" s="42"/>
      <c r="O50" s="42"/>
      <c r="P50" s="42"/>
      <c r="Q50" s="42"/>
      <c r="R50" s="42"/>
      <c r="S50" s="42"/>
      <c r="T50" s="42"/>
      <c r="U50" s="42"/>
    </row>
    <row r="51" spans="1:28" ht="16.2" thickBot="1" x14ac:dyDescent="0.35">
      <c r="B51" s="148" t="s">
        <v>155</v>
      </c>
      <c r="C51"/>
      <c r="D51"/>
      <c r="E51"/>
      <c r="F51"/>
      <c r="G51" s="60"/>
      <c r="H51" s="112"/>
      <c r="I51" s="105"/>
      <c r="J51" s="63"/>
      <c r="K51" s="46"/>
      <c r="L51" s="46"/>
      <c r="M51" s="42"/>
      <c r="N51" s="42"/>
      <c r="O51" s="42"/>
      <c r="P51" s="42"/>
      <c r="Q51" s="42"/>
      <c r="R51" s="42"/>
      <c r="S51" s="42"/>
      <c r="T51" s="42"/>
      <c r="U51" s="42"/>
    </row>
    <row r="52" spans="1:28" ht="11.4" thickTop="1" thickBot="1" x14ac:dyDescent="0.25">
      <c r="B52" s="63"/>
      <c r="C52" s="63"/>
      <c r="D52" s="248" t="s">
        <v>146</v>
      </c>
      <c r="E52" s="249"/>
      <c r="F52" s="249"/>
      <c r="G52" s="249"/>
      <c r="H52" s="249"/>
      <c r="I52" s="168" t="s">
        <v>142</v>
      </c>
      <c r="J52" s="63"/>
      <c r="K52" s="46"/>
      <c r="L52" s="46"/>
      <c r="M52" s="42"/>
      <c r="N52" s="42"/>
      <c r="O52" s="56"/>
      <c r="P52" s="42"/>
      <c r="Q52" s="42"/>
      <c r="R52" s="42"/>
      <c r="S52" s="42"/>
      <c r="T52" s="42"/>
      <c r="U52" s="42"/>
    </row>
    <row r="53" spans="1:28" ht="30" customHeight="1" thickTop="1" x14ac:dyDescent="0.2">
      <c r="B53" s="63"/>
      <c r="C53" s="63"/>
      <c r="D53" s="249"/>
      <c r="E53" s="249"/>
      <c r="F53" s="249"/>
      <c r="G53" s="249"/>
      <c r="H53" s="249"/>
      <c r="I53" s="105"/>
      <c r="J53" s="63"/>
      <c r="K53" s="46"/>
      <c r="L53" s="46"/>
      <c r="M53" s="42"/>
      <c r="N53" s="42"/>
      <c r="O53" s="42"/>
      <c r="P53" s="42"/>
      <c r="Q53" s="42"/>
      <c r="R53" s="42"/>
      <c r="S53" s="42"/>
      <c r="T53" s="42"/>
      <c r="U53" s="42"/>
    </row>
    <row r="54" spans="1:28" ht="12" customHeight="1" x14ac:dyDescent="0.25">
      <c r="B54" s="63"/>
      <c r="C54" s="63"/>
      <c r="D54" s="166"/>
      <c r="E54" s="167"/>
      <c r="F54" s="167"/>
      <c r="G54" s="63"/>
      <c r="H54" s="104"/>
      <c r="I54" s="105"/>
      <c r="J54" s="63"/>
      <c r="K54" s="46"/>
      <c r="L54" s="46"/>
      <c r="M54" s="42"/>
      <c r="N54" s="42"/>
      <c r="O54" s="42"/>
      <c r="P54" s="42"/>
      <c r="Q54" s="42"/>
      <c r="R54" s="42"/>
      <c r="S54" s="42"/>
      <c r="T54" s="42"/>
      <c r="U54" s="42"/>
    </row>
    <row r="55" spans="1:28" ht="11.25" customHeight="1" thickBot="1" x14ac:dyDescent="0.25">
      <c r="C55" s="60"/>
      <c r="D55" s="60"/>
      <c r="E55" s="60"/>
      <c r="F55" s="60"/>
      <c r="G55" s="60"/>
      <c r="I55" s="108"/>
      <c r="J55" s="60"/>
      <c r="K55" s="42"/>
      <c r="L55" s="42"/>
      <c r="M55" s="42"/>
      <c r="N55" s="42"/>
      <c r="O55" s="42"/>
      <c r="P55" s="42"/>
      <c r="Q55" s="42"/>
      <c r="R55" s="42"/>
      <c r="S55" s="42"/>
      <c r="T55" s="42"/>
      <c r="U55" s="42"/>
    </row>
    <row r="56" spans="1:28" ht="16.8" thickTop="1" thickBot="1" x14ac:dyDescent="0.35">
      <c r="B56" s="148" t="s">
        <v>156</v>
      </c>
      <c r="C56"/>
      <c r="D56"/>
      <c r="E56"/>
      <c r="F56"/>
      <c r="G56" s="60"/>
      <c r="H56" s="112"/>
      <c r="I56" s="35">
        <v>20</v>
      </c>
      <c r="J56" s="60"/>
      <c r="K56" s="213" t="str">
        <f>+IF(AND(I52="Commercial",I56&lt;&gt;0),"Error","")</f>
        <v/>
      </c>
      <c r="L56" s="46"/>
      <c r="M56" s="42"/>
      <c r="N56" s="42"/>
      <c r="O56" s="42"/>
      <c r="P56" s="42"/>
      <c r="Q56" s="42"/>
      <c r="R56" s="42"/>
      <c r="S56" s="42"/>
      <c r="T56" s="42"/>
      <c r="U56" s="42"/>
    </row>
    <row r="57" spans="1:28" ht="55.8" customHeight="1" thickTop="1" x14ac:dyDescent="0.25">
      <c r="B57" s="20"/>
      <c r="C57" s="63"/>
      <c r="D57" s="248" t="s">
        <v>118</v>
      </c>
      <c r="E57" s="249"/>
      <c r="F57" s="249"/>
      <c r="G57" s="249"/>
      <c r="H57" s="249"/>
      <c r="I57" s="113"/>
      <c r="J57" s="60"/>
      <c r="K57" s="214" t="str">
        <f>+IF(AND(I52="Commercial",I56&lt;&gt;0),"Note: For State Surcharge purposes commercial buildings do not have residential units. If your building has both a commercial portion and residential units, please set the building type in Step 3 as Mixed-Use.","")</f>
        <v/>
      </c>
      <c r="L57" s="46"/>
      <c r="M57" s="42"/>
      <c r="N57" s="42"/>
      <c r="O57" s="42"/>
      <c r="P57" s="42"/>
      <c r="Q57" s="42"/>
      <c r="R57" s="42"/>
      <c r="S57" s="42"/>
      <c r="T57" s="42"/>
      <c r="U57" s="42"/>
    </row>
    <row r="58" spans="1:28" ht="11.25" customHeight="1" x14ac:dyDescent="0.2">
      <c r="C58" s="60"/>
      <c r="D58" s="60"/>
      <c r="E58" s="60"/>
      <c r="F58" s="60"/>
      <c r="G58" s="60"/>
      <c r="H58" s="60"/>
      <c r="I58" s="114"/>
      <c r="J58" s="60"/>
      <c r="K58" s="42"/>
      <c r="L58" s="42"/>
      <c r="M58" s="56"/>
      <c r="N58" s="42"/>
      <c r="O58" s="42"/>
      <c r="P58" s="42"/>
      <c r="Q58" s="42"/>
      <c r="R58" s="42"/>
      <c r="S58" s="42"/>
      <c r="T58" s="42"/>
      <c r="U58" s="42"/>
    </row>
    <row r="59" spans="1:28" x14ac:dyDescent="0.2">
      <c r="C59" s="60"/>
      <c r="D59" s="60"/>
      <c r="E59" s="60"/>
      <c r="F59" s="60"/>
      <c r="G59" s="60"/>
      <c r="H59" s="60"/>
      <c r="I59" s="114"/>
      <c r="J59" s="60"/>
      <c r="K59" s="42"/>
      <c r="L59" s="42"/>
      <c r="M59" s="42"/>
      <c r="N59" s="42"/>
      <c r="O59" s="42"/>
      <c r="P59" s="42"/>
      <c r="Q59" s="42"/>
      <c r="R59" s="42"/>
      <c r="S59" s="42"/>
      <c r="T59" s="42"/>
      <c r="U59" s="42"/>
    </row>
    <row r="60" spans="1:28" ht="15.6" x14ac:dyDescent="0.3">
      <c r="B60" s="251" t="s">
        <v>157</v>
      </c>
      <c r="C60" s="251"/>
      <c r="D60" s="251"/>
      <c r="E60" s="251"/>
      <c r="F60" s="251"/>
      <c r="G60" s="60"/>
      <c r="H60" s="60"/>
      <c r="I60" s="114"/>
      <c r="M60" s="46"/>
      <c r="N60" s="42"/>
      <c r="O60" s="42"/>
      <c r="P60" s="42"/>
      <c r="Q60" s="42"/>
      <c r="R60" s="43"/>
      <c r="S60" s="43"/>
      <c r="T60" s="45"/>
      <c r="U60" s="45"/>
      <c r="V60" s="45"/>
      <c r="W60" s="45"/>
      <c r="X60" s="45"/>
      <c r="Y60" s="45"/>
      <c r="Z60" s="136"/>
      <c r="AA60" s="136"/>
      <c r="AB60" s="136"/>
    </row>
    <row r="61" spans="1:28" x14ac:dyDescent="0.2">
      <c r="C61" s="60"/>
      <c r="D61" s="118" t="s">
        <v>111</v>
      </c>
      <c r="E61" s="119"/>
      <c r="F61" s="120"/>
      <c r="G61" s="121"/>
      <c r="H61" s="182" t="s">
        <v>103</v>
      </c>
      <c r="I61" s="147">
        <f>+I48</f>
        <v>0</v>
      </c>
      <c r="J61" s="60"/>
      <c r="K61" s="247" t="s">
        <v>112</v>
      </c>
      <c r="L61" s="247"/>
      <c r="M61" s="42"/>
      <c r="N61" s="42"/>
      <c r="O61" s="42"/>
      <c r="P61" s="42"/>
      <c r="Q61" s="42"/>
      <c r="R61" s="43"/>
      <c r="S61" s="43"/>
      <c r="T61" s="43"/>
      <c r="U61" s="43"/>
      <c r="V61" s="43"/>
      <c r="W61" s="43"/>
      <c r="X61" s="43"/>
      <c r="Y61" s="43"/>
      <c r="Z61" s="61"/>
      <c r="AA61" s="61"/>
      <c r="AB61" s="61"/>
    </row>
    <row r="62" spans="1:28" x14ac:dyDescent="0.2">
      <c r="C62" s="60"/>
      <c r="D62" s="122"/>
      <c r="E62" s="60"/>
      <c r="F62" s="60"/>
      <c r="G62" s="60"/>
      <c r="H62" s="123"/>
      <c r="I62" s="124"/>
      <c r="J62" s="60"/>
      <c r="K62" s="60"/>
      <c r="L62" s="60"/>
      <c r="M62" s="42"/>
      <c r="N62" s="42"/>
      <c r="O62" s="42"/>
      <c r="P62" s="42"/>
      <c r="Q62" s="42"/>
      <c r="R62" s="43"/>
      <c r="S62" s="42"/>
      <c r="T62" s="45"/>
      <c r="U62" s="45"/>
      <c r="V62" s="45"/>
      <c r="W62" s="45"/>
      <c r="X62" s="45"/>
      <c r="Y62" s="45"/>
      <c r="Z62" s="136"/>
      <c r="AA62" s="136"/>
      <c r="AB62" s="136"/>
    </row>
    <row r="63" spans="1:28" x14ac:dyDescent="0.2">
      <c r="C63" s="60"/>
      <c r="D63" s="118" t="s">
        <v>134</v>
      </c>
      <c r="E63" s="121"/>
      <c r="F63" s="121"/>
      <c r="G63" s="121"/>
      <c r="H63" s="182" t="s">
        <v>103</v>
      </c>
      <c r="I63" s="125">
        <f>IF(I61=0,0,IF((MINA('Table D-1'!I7:I57)&lt;'Table D-1'!$D$7),'Table D-1'!$D$7,MINA('Table D-1'!I7:I57)))</f>
        <v>0</v>
      </c>
      <c r="J63" s="60"/>
      <c r="K63" s="257" t="s">
        <v>145</v>
      </c>
      <c r="L63" s="257"/>
      <c r="M63" s="42"/>
      <c r="N63" s="42"/>
      <c r="O63" s="42"/>
      <c r="P63" s="42"/>
      <c r="Q63" s="42"/>
      <c r="R63" s="43"/>
      <c r="S63" s="56"/>
      <c r="T63" s="57"/>
      <c r="U63" s="57"/>
      <c r="V63" s="57"/>
      <c r="W63" s="57"/>
      <c r="X63" s="57"/>
      <c r="Y63" s="57"/>
      <c r="Z63" s="142"/>
      <c r="AA63" s="142"/>
      <c r="AB63" s="142"/>
    </row>
    <row r="64" spans="1:28" ht="10.8" thickBot="1" x14ac:dyDescent="0.25">
      <c r="C64" s="60"/>
      <c r="D64" s="122"/>
      <c r="E64" s="60"/>
      <c r="F64" s="60"/>
      <c r="G64" s="60"/>
      <c r="H64" s="60"/>
      <c r="I64" s="203">
        <f>I63*2</f>
        <v>0</v>
      </c>
      <c r="J64" s="60"/>
      <c r="K64" s="60"/>
      <c r="L64" s="60"/>
      <c r="M64" s="42"/>
      <c r="N64" s="42"/>
      <c r="O64" s="42"/>
      <c r="P64" s="42"/>
      <c r="Q64" s="42"/>
      <c r="R64" s="43"/>
      <c r="S64" s="56"/>
      <c r="T64" s="57"/>
      <c r="U64" s="57"/>
      <c r="V64" s="57"/>
      <c r="W64" s="57"/>
      <c r="X64" s="57"/>
      <c r="Y64" s="57"/>
      <c r="Z64" s="142"/>
      <c r="AA64" s="142"/>
      <c r="AB64" s="142"/>
    </row>
    <row r="65" spans="1:28" ht="12.75" customHeight="1" x14ac:dyDescent="0.25">
      <c r="C65" s="60"/>
      <c r="D65" s="149"/>
      <c r="E65" s="150"/>
      <c r="F65" s="260" t="s">
        <v>109</v>
      </c>
      <c r="G65" s="260"/>
      <c r="H65" s="261"/>
      <c r="I65" s="151">
        <f>1*I63</f>
        <v>0</v>
      </c>
      <c r="J65" s="152"/>
      <c r="K65" s="252" t="s">
        <v>135</v>
      </c>
      <c r="L65" s="253"/>
      <c r="M65" s="42"/>
      <c r="N65" s="42"/>
      <c r="O65" s="42"/>
      <c r="P65" s="42"/>
      <c r="Q65" s="42"/>
      <c r="R65" s="43"/>
      <c r="S65" s="56"/>
      <c r="T65" s="57"/>
      <c r="U65" s="57"/>
      <c r="V65" s="57"/>
      <c r="W65" s="57"/>
      <c r="X65" s="57"/>
      <c r="Y65" s="57"/>
      <c r="Z65" s="142"/>
      <c r="AA65" s="142"/>
      <c r="AB65" s="142"/>
    </row>
    <row r="66" spans="1:28" ht="28.5" customHeight="1" x14ac:dyDescent="0.2">
      <c r="C66" s="60"/>
      <c r="D66" s="153"/>
      <c r="E66" s="60"/>
      <c r="F66" s="254" t="s">
        <v>110</v>
      </c>
      <c r="G66" s="254"/>
      <c r="H66" s="255"/>
      <c r="I66" s="196">
        <f>IF(I63=0,0,IF((0.5*I63)&lt;'Table D-1'!$D$7,'Table D-1'!$D$7,(0.5*I63)))</f>
        <v>0</v>
      </c>
      <c r="J66" s="60"/>
      <c r="K66" s="256" t="s">
        <v>136</v>
      </c>
      <c r="L66" s="258"/>
      <c r="M66" s="42"/>
      <c r="N66" s="42"/>
      <c r="O66" s="42"/>
      <c r="P66" s="42"/>
      <c r="Q66" s="42"/>
      <c r="R66" s="43"/>
      <c r="S66" s="56"/>
      <c r="T66" s="57"/>
      <c r="U66" s="57"/>
      <c r="V66" s="57"/>
      <c r="W66" s="57"/>
      <c r="X66" s="57"/>
      <c r="Y66" s="57"/>
      <c r="Z66" s="142"/>
      <c r="AA66" s="142"/>
      <c r="AB66" s="142"/>
    </row>
    <row r="67" spans="1:28" ht="28.5" customHeight="1" x14ac:dyDescent="0.3">
      <c r="C67" s="60"/>
      <c r="D67" s="153"/>
      <c r="E67" s="210" t="s">
        <v>114</v>
      </c>
      <c r="F67" s="210"/>
      <c r="G67" s="148"/>
      <c r="H67" s="112" t="s">
        <v>103</v>
      </c>
      <c r="I67" s="212">
        <f>SUM(I65:I66)</f>
        <v>0</v>
      </c>
      <c r="J67" s="60"/>
      <c r="K67" s="256" t="s">
        <v>99</v>
      </c>
      <c r="L67" s="258"/>
      <c r="M67" s="42"/>
      <c r="N67" s="42"/>
      <c r="O67" s="42"/>
      <c r="P67" s="42"/>
      <c r="Q67" s="42"/>
      <c r="R67" s="43"/>
      <c r="S67" s="56"/>
      <c r="T67" s="57"/>
      <c r="U67" s="57"/>
      <c r="V67" s="57"/>
      <c r="W67" s="57"/>
      <c r="X67" s="57"/>
      <c r="Y67" s="57"/>
      <c r="Z67" s="142"/>
      <c r="AA67" s="142"/>
      <c r="AB67" s="142"/>
    </row>
    <row r="68" spans="1:28" ht="28.5" customHeight="1" x14ac:dyDescent="0.2">
      <c r="C68" s="60"/>
      <c r="D68" s="153"/>
      <c r="E68" s="60"/>
      <c r="F68" s="123"/>
      <c r="G68" s="123"/>
      <c r="H68" s="197" t="s">
        <v>162</v>
      </c>
      <c r="I68" s="132">
        <f>I67*0.05</f>
        <v>0</v>
      </c>
      <c r="J68" s="60"/>
      <c r="K68" s="257" t="s">
        <v>161</v>
      </c>
      <c r="L68" s="258"/>
      <c r="M68" s="42"/>
      <c r="N68" s="42"/>
      <c r="O68" s="42"/>
      <c r="P68" s="42"/>
      <c r="Q68" s="42"/>
      <c r="R68" s="43"/>
      <c r="S68" s="56"/>
      <c r="T68" s="57"/>
      <c r="U68" s="57"/>
      <c r="V68" s="57"/>
      <c r="W68" s="57"/>
      <c r="X68" s="57"/>
      <c r="Y68" s="57"/>
      <c r="Z68" s="142"/>
      <c r="AA68" s="142"/>
      <c r="AB68" s="142"/>
    </row>
    <row r="69" spans="1:28" ht="28.5" customHeight="1" thickBot="1" x14ac:dyDescent="0.3">
      <c r="C69" s="60"/>
      <c r="D69" s="154"/>
      <c r="E69" s="259" t="s">
        <v>160</v>
      </c>
      <c r="F69" s="259"/>
      <c r="G69" s="200"/>
      <c r="H69" s="201"/>
      <c r="I69" s="202">
        <f>SUM(I67:I68)</f>
        <v>0</v>
      </c>
      <c r="J69" s="155"/>
      <c r="K69" s="155"/>
      <c r="L69" s="117"/>
      <c r="M69" s="42"/>
      <c r="N69" s="42"/>
      <c r="O69" s="42"/>
      <c r="P69" s="42"/>
      <c r="Q69" s="42"/>
      <c r="R69" s="43"/>
      <c r="S69" s="56"/>
      <c r="T69" s="57"/>
      <c r="U69" s="57"/>
      <c r="V69" s="57"/>
      <c r="W69" s="57"/>
      <c r="X69" s="57"/>
      <c r="Y69" s="57"/>
      <c r="Z69" s="142"/>
      <c r="AA69" s="142"/>
      <c r="AB69" s="142"/>
    </row>
    <row r="70" spans="1:28" ht="12.75" customHeight="1" x14ac:dyDescent="0.2">
      <c r="C70" s="60"/>
      <c r="D70" s="60"/>
      <c r="E70" s="60"/>
      <c r="F70" s="60"/>
      <c r="G70" s="60"/>
      <c r="H70" s="129"/>
      <c r="I70" s="130"/>
      <c r="J70" s="60"/>
      <c r="K70" s="60"/>
      <c r="L70" s="60"/>
      <c r="M70" s="42"/>
      <c r="N70" s="42"/>
      <c r="O70" s="42"/>
      <c r="P70" s="42"/>
      <c r="Q70" s="42"/>
      <c r="R70" s="43"/>
      <c r="S70" s="56"/>
      <c r="T70" s="57"/>
      <c r="U70" s="57"/>
      <c r="V70" s="57"/>
      <c r="W70" s="57"/>
      <c r="X70" s="57"/>
      <c r="Y70" s="57"/>
      <c r="Z70" s="142"/>
      <c r="AA70" s="142"/>
      <c r="AB70" s="142"/>
    </row>
    <row r="71" spans="1:28" ht="13.2" x14ac:dyDescent="0.25">
      <c r="C71" s="60"/>
      <c r="D71" s="60"/>
      <c r="E71" s="144" t="s">
        <v>101</v>
      </c>
      <c r="F71" s="145"/>
      <c r="G71" s="127"/>
      <c r="H71" s="143" t="s">
        <v>138</v>
      </c>
      <c r="I71" s="146">
        <f>ROUNDDOWN((I63-I66),2)</f>
        <v>0</v>
      </c>
      <c r="J71" s="60"/>
      <c r="K71" s="256" t="s">
        <v>136</v>
      </c>
      <c r="L71" s="256"/>
      <c r="M71" s="42"/>
      <c r="N71" s="42"/>
      <c r="O71" s="42"/>
      <c r="P71" s="42"/>
      <c r="Q71" s="42"/>
      <c r="R71" s="43"/>
      <c r="S71" s="56"/>
      <c r="T71" s="57"/>
      <c r="U71" s="57"/>
      <c r="V71" s="57"/>
      <c r="W71" s="57"/>
      <c r="X71" s="57"/>
      <c r="Y71" s="57"/>
      <c r="Z71" s="142"/>
      <c r="AA71" s="142"/>
      <c r="AB71" s="142"/>
    </row>
    <row r="72" spans="1:28" ht="13.2" x14ac:dyDescent="0.25">
      <c r="C72" s="60"/>
      <c r="D72" s="60"/>
      <c r="E72" s="198"/>
      <c r="F72" s="145"/>
      <c r="G72" s="127"/>
      <c r="H72" s="143" t="s">
        <v>163</v>
      </c>
      <c r="I72" s="146">
        <f>I71*0.05</f>
        <v>0</v>
      </c>
      <c r="J72" s="60"/>
      <c r="K72" s="181" t="s">
        <v>161</v>
      </c>
      <c r="L72" s="60"/>
      <c r="M72" s="42"/>
      <c r="N72" s="42"/>
      <c r="O72" s="42"/>
      <c r="P72" s="42"/>
      <c r="Q72" s="42"/>
      <c r="R72" s="43"/>
      <c r="S72" s="56"/>
      <c r="T72" s="57"/>
      <c r="U72" s="57"/>
      <c r="V72" s="57"/>
      <c r="W72" s="57"/>
      <c r="X72" s="57"/>
      <c r="Y72" s="57"/>
      <c r="Z72" s="142"/>
      <c r="AA72" s="142"/>
      <c r="AB72" s="142"/>
    </row>
    <row r="73" spans="1:28" x14ac:dyDescent="0.2">
      <c r="C73" s="60"/>
      <c r="D73" s="60"/>
      <c r="E73" s="60"/>
      <c r="G73" s="224"/>
      <c r="H73" s="224" t="s">
        <v>105</v>
      </c>
      <c r="I73" s="128">
        <f>IF(I61=0,0,VLOOKUP($I$52,BVD!$R$5:$S$7,2,FALSE)+IF(I56=0,0,(I56-1)*2))</f>
        <v>0</v>
      </c>
      <c r="J73" s="60"/>
      <c r="K73" s="60"/>
      <c r="L73" s="60"/>
      <c r="M73" s="42"/>
      <c r="N73" s="188"/>
      <c r="O73" s="42"/>
      <c r="P73" s="42"/>
      <c r="Q73" s="42"/>
      <c r="R73" s="43"/>
      <c r="S73" s="56"/>
      <c r="T73" s="57"/>
      <c r="U73" s="57"/>
      <c r="V73" s="57"/>
      <c r="W73" s="57"/>
      <c r="X73" s="57"/>
      <c r="Y73" s="57"/>
      <c r="Z73" s="142"/>
      <c r="AA73" s="142"/>
      <c r="AB73" s="142"/>
    </row>
    <row r="74" spans="1:28" ht="10.050000000000001" customHeight="1" x14ac:dyDescent="0.2">
      <c r="C74" s="60"/>
      <c r="D74" s="60"/>
      <c r="E74" s="60"/>
      <c r="F74" s="60"/>
      <c r="G74" s="60"/>
      <c r="H74" s="131"/>
      <c r="I74" s="132"/>
      <c r="J74" s="60"/>
      <c r="K74" s="194"/>
      <c r="L74" s="194"/>
      <c r="M74" s="42"/>
      <c r="N74" s="42"/>
      <c r="O74" s="42"/>
      <c r="P74" s="42"/>
      <c r="Q74" s="42"/>
      <c r="R74" s="43"/>
      <c r="S74" s="56"/>
      <c r="T74" s="57"/>
      <c r="U74" s="57"/>
      <c r="V74" s="57"/>
      <c r="W74" s="57"/>
      <c r="X74" s="57"/>
      <c r="Y74" s="57"/>
      <c r="Z74" s="142"/>
      <c r="AA74" s="142"/>
      <c r="AB74" s="142"/>
    </row>
    <row r="75" spans="1:28" ht="24" x14ac:dyDescent="0.25">
      <c r="C75" s="60"/>
      <c r="D75" s="60"/>
      <c r="E75" s="199" t="s">
        <v>158</v>
      </c>
      <c r="F75" s="133"/>
      <c r="G75" s="133"/>
      <c r="H75" s="126" t="s">
        <v>103</v>
      </c>
      <c r="I75" s="134">
        <f>SUM(I71:I73)</f>
        <v>0</v>
      </c>
      <c r="J75" s="60"/>
      <c r="K75" s="194" t="s">
        <v>130</v>
      </c>
      <c r="L75" s="194"/>
      <c r="M75" s="42"/>
      <c r="N75" s="42"/>
      <c r="O75" s="42"/>
      <c r="P75" s="42"/>
      <c r="Q75" s="42"/>
      <c r="R75" s="43"/>
      <c r="S75" s="56"/>
      <c r="T75" s="57"/>
      <c r="U75" s="57"/>
      <c r="V75" s="57"/>
      <c r="W75" s="57"/>
      <c r="X75" s="57"/>
      <c r="Y75" s="57"/>
      <c r="Z75" s="142"/>
      <c r="AA75" s="142"/>
      <c r="AB75" s="142"/>
    </row>
    <row r="76" spans="1:28" ht="12" thickBot="1" x14ac:dyDescent="0.25">
      <c r="A76" s="42"/>
      <c r="C76" s="60"/>
      <c r="D76" s="60"/>
      <c r="E76" s="60"/>
      <c r="F76" s="135"/>
      <c r="G76" s="135"/>
      <c r="H76" s="135"/>
      <c r="I76" s="114"/>
      <c r="J76" s="60"/>
      <c r="K76" s="194"/>
      <c r="L76" s="194"/>
      <c r="M76" s="42"/>
      <c r="N76" s="42"/>
      <c r="O76" s="42"/>
      <c r="P76" s="42"/>
      <c r="Q76" s="42"/>
      <c r="R76" s="43"/>
      <c r="S76" s="56"/>
      <c r="T76" s="57"/>
      <c r="U76" s="57"/>
      <c r="V76" s="57"/>
      <c r="W76" s="57"/>
      <c r="X76" s="57"/>
      <c r="Y76" s="57"/>
      <c r="Z76" s="142"/>
      <c r="AA76" s="142"/>
      <c r="AB76" s="142"/>
    </row>
    <row r="77" spans="1:28" ht="27.75" customHeight="1" thickTop="1" thickBot="1" x14ac:dyDescent="0.3">
      <c r="A77" s="42"/>
      <c r="C77" s="60"/>
      <c r="D77" s="60"/>
      <c r="E77" s="263" t="s">
        <v>140</v>
      </c>
      <c r="F77" s="263"/>
      <c r="G77" s="263"/>
      <c r="H77" s="267"/>
      <c r="I77" s="41">
        <v>0</v>
      </c>
      <c r="J77" s="60"/>
      <c r="K77" s="250" t="s">
        <v>137</v>
      </c>
      <c r="L77" s="250"/>
      <c r="M77" s="42"/>
      <c r="N77" s="42"/>
      <c r="O77" s="42"/>
      <c r="P77" s="42"/>
      <c r="Q77" s="42"/>
      <c r="R77" s="43"/>
      <c r="S77" s="56"/>
      <c r="T77" s="57"/>
      <c r="U77" s="57"/>
      <c r="V77" s="57"/>
      <c r="W77" s="57"/>
      <c r="X77" s="57"/>
      <c r="Y77" s="57"/>
      <c r="Z77" s="142"/>
      <c r="AA77" s="142"/>
      <c r="AB77" s="61"/>
    </row>
    <row r="78" spans="1:28" ht="10.8" thickTop="1" x14ac:dyDescent="0.2">
      <c r="A78" s="42"/>
      <c r="C78" s="60"/>
      <c r="D78" s="60"/>
      <c r="E78" s="60"/>
      <c r="F78" s="60"/>
      <c r="G78" s="60"/>
      <c r="H78" s="104"/>
      <c r="I78" s="137"/>
      <c r="J78" s="60"/>
      <c r="K78" s="250"/>
      <c r="L78" s="250"/>
      <c r="M78" s="42"/>
      <c r="N78" s="42"/>
      <c r="O78" s="42"/>
      <c r="P78" s="42"/>
      <c r="Q78" s="42"/>
      <c r="R78" s="43"/>
      <c r="S78" s="56"/>
      <c r="T78" s="57"/>
      <c r="U78" s="57"/>
      <c r="V78" s="57"/>
      <c r="W78" s="57"/>
      <c r="X78" s="57"/>
      <c r="Y78" s="57"/>
      <c r="Z78" s="142"/>
      <c r="AA78" s="142"/>
      <c r="AB78" s="142"/>
    </row>
    <row r="79" spans="1:28" ht="12" x14ac:dyDescent="0.25">
      <c r="A79" s="42"/>
      <c r="C79" s="60"/>
      <c r="D79" s="60"/>
      <c r="E79" s="263" t="s">
        <v>102</v>
      </c>
      <c r="F79" s="263"/>
      <c r="G79" s="263"/>
      <c r="H79" s="264"/>
      <c r="I79" s="134">
        <f>I69+I75+I77</f>
        <v>0</v>
      </c>
      <c r="J79" s="60"/>
      <c r="K79" s="181" t="s">
        <v>159</v>
      </c>
      <c r="L79" s="60"/>
      <c r="M79" s="42"/>
      <c r="N79" s="42"/>
      <c r="O79" s="42"/>
      <c r="P79" s="42"/>
      <c r="Q79" s="42"/>
      <c r="R79" s="43"/>
      <c r="S79" s="56"/>
      <c r="T79" s="57"/>
      <c r="U79" s="57"/>
      <c r="V79" s="57"/>
      <c r="W79" s="57"/>
      <c r="X79" s="57"/>
      <c r="Y79" s="57"/>
      <c r="Z79" s="142"/>
      <c r="AA79" s="142"/>
      <c r="AB79" s="142"/>
    </row>
    <row r="80" spans="1:28" ht="12" x14ac:dyDescent="0.25">
      <c r="A80" s="42"/>
      <c r="C80" s="60"/>
      <c r="D80" s="60"/>
      <c r="E80" s="138"/>
      <c r="F80" s="139"/>
      <c r="G80" s="139"/>
      <c r="H80" s="190"/>
      <c r="I80" s="140"/>
      <c r="J80" s="42"/>
      <c r="K80" s="42"/>
      <c r="L80" s="42"/>
      <c r="M80" s="42"/>
      <c r="N80" s="42"/>
      <c r="O80" s="42"/>
      <c r="P80" s="42"/>
      <c r="Q80" s="42"/>
      <c r="R80" s="43"/>
      <c r="S80" s="56"/>
      <c r="T80" s="57"/>
      <c r="U80" s="57"/>
      <c r="V80" s="57"/>
      <c r="W80" s="57"/>
      <c r="X80" s="57"/>
      <c r="Y80" s="57"/>
      <c r="Z80" s="142"/>
      <c r="AA80" s="142"/>
      <c r="AB80" s="142"/>
    </row>
    <row r="81" spans="1:28" ht="37.5" customHeight="1" x14ac:dyDescent="0.2">
      <c r="A81" s="42"/>
      <c r="C81" s="60"/>
      <c r="D81" s="262" t="s">
        <v>168</v>
      </c>
      <c r="E81" s="262"/>
      <c r="F81" s="262"/>
      <c r="G81" s="262"/>
      <c r="H81" s="262"/>
      <c r="I81" s="262"/>
      <c r="J81" s="42"/>
      <c r="K81" s="42"/>
      <c r="L81" s="42"/>
      <c r="M81" s="42"/>
      <c r="N81" s="42"/>
      <c r="O81" s="42"/>
      <c r="P81" s="42"/>
      <c r="Q81" s="42"/>
      <c r="R81" s="43"/>
      <c r="S81" s="56"/>
      <c r="T81" s="57"/>
      <c r="U81" s="57"/>
      <c r="V81" s="57"/>
      <c r="W81" s="57"/>
      <c r="X81" s="57"/>
      <c r="Y81" s="43"/>
      <c r="Z81" s="142"/>
      <c r="AA81" s="142"/>
      <c r="AB81" s="61"/>
    </row>
    <row r="82" spans="1:28" x14ac:dyDescent="0.2">
      <c r="A82" s="42"/>
      <c r="B82" s="42"/>
      <c r="C82" s="42"/>
      <c r="D82" s="58"/>
      <c r="E82" s="58"/>
      <c r="F82" s="58"/>
      <c r="G82" s="58"/>
      <c r="H82" s="58"/>
      <c r="I82" s="58"/>
      <c r="J82" s="42"/>
      <c r="K82" s="42"/>
      <c r="L82" s="42"/>
      <c r="M82" s="42"/>
      <c r="N82" s="42"/>
      <c r="O82" s="42"/>
      <c r="P82" s="42"/>
      <c r="Q82" s="42"/>
      <c r="R82" s="43"/>
      <c r="S82" s="56"/>
      <c r="T82" s="57"/>
      <c r="U82" s="57"/>
      <c r="V82" s="57"/>
      <c r="W82" s="57"/>
      <c r="X82" s="57"/>
      <c r="Y82" s="43"/>
      <c r="Z82" s="142"/>
      <c r="AA82" s="142"/>
      <c r="AB82" s="61"/>
    </row>
    <row r="83" spans="1:28" x14ac:dyDescent="0.2">
      <c r="A83" s="42"/>
      <c r="B83" s="42"/>
      <c r="C83" s="43"/>
      <c r="D83" s="58"/>
      <c r="E83" s="58"/>
      <c r="F83" s="58"/>
      <c r="G83" s="58"/>
      <c r="H83" s="58"/>
      <c r="I83" s="58"/>
      <c r="J83" s="43"/>
      <c r="K83" s="43"/>
      <c r="L83" s="43"/>
      <c r="M83" s="42"/>
      <c r="N83" s="42"/>
      <c r="O83" s="42"/>
      <c r="P83" s="42"/>
      <c r="Q83" s="42"/>
      <c r="R83" s="43"/>
      <c r="S83" s="56"/>
      <c r="T83" s="57"/>
      <c r="U83" s="57"/>
      <c r="V83" s="57"/>
      <c r="W83" s="57"/>
      <c r="X83" s="57"/>
      <c r="Y83" s="57"/>
      <c r="Z83" s="142"/>
      <c r="AA83" s="142"/>
      <c r="AB83" s="142"/>
    </row>
    <row r="84" spans="1:28" x14ac:dyDescent="0.2">
      <c r="A84" s="42"/>
      <c r="B84" s="42"/>
      <c r="C84" s="43"/>
      <c r="D84" s="59"/>
      <c r="E84" s="59"/>
      <c r="F84" s="59"/>
      <c r="G84" s="59"/>
      <c r="H84" s="59"/>
      <c r="I84" s="59"/>
      <c r="J84" s="43"/>
      <c r="K84" s="43"/>
      <c r="L84" s="43"/>
      <c r="M84" s="42"/>
      <c r="N84" s="42"/>
      <c r="O84" s="42"/>
      <c r="P84" s="42"/>
      <c r="Q84" s="42"/>
      <c r="R84" s="43"/>
      <c r="S84" s="56"/>
      <c r="T84" s="57"/>
      <c r="U84" s="57"/>
      <c r="V84" s="57"/>
      <c r="W84" s="57"/>
      <c r="X84" s="57"/>
      <c r="Y84" s="57"/>
      <c r="Z84" s="142"/>
      <c r="AA84" s="142"/>
      <c r="AB84" s="142"/>
    </row>
    <row r="85" spans="1:28" x14ac:dyDescent="0.2">
      <c r="A85" s="42"/>
      <c r="B85" s="42"/>
      <c r="C85" s="43"/>
      <c r="D85" s="59"/>
      <c r="E85" s="59"/>
      <c r="F85" s="59"/>
      <c r="G85" s="59"/>
      <c r="H85" s="59"/>
      <c r="I85" s="59"/>
      <c r="J85" s="43"/>
      <c r="K85" s="43"/>
      <c r="L85" s="43"/>
      <c r="M85" s="42"/>
      <c r="N85" s="42"/>
      <c r="O85" s="42"/>
      <c r="P85" s="42"/>
      <c r="Q85" s="42"/>
      <c r="R85" s="43"/>
      <c r="S85" s="56"/>
      <c r="T85" s="57"/>
      <c r="U85" s="57"/>
      <c r="V85" s="57"/>
      <c r="W85" s="57"/>
      <c r="X85" s="57"/>
      <c r="Y85" s="57"/>
      <c r="Z85" s="142"/>
      <c r="AA85" s="142"/>
      <c r="AB85" s="142"/>
    </row>
    <row r="86" spans="1:28" x14ac:dyDescent="0.2">
      <c r="A86" s="42"/>
      <c r="B86" s="42"/>
      <c r="C86" s="43"/>
      <c r="D86" s="43"/>
      <c r="E86" s="43"/>
      <c r="F86" s="44"/>
      <c r="G86" s="43"/>
      <c r="H86" s="43"/>
      <c r="I86" s="43"/>
      <c r="J86" s="43"/>
      <c r="K86" s="43"/>
      <c r="L86" s="43"/>
      <c r="M86" s="42"/>
      <c r="N86" s="42"/>
      <c r="O86" s="42"/>
      <c r="P86" s="42"/>
      <c r="Q86" s="42"/>
      <c r="R86" s="43"/>
      <c r="S86" s="56"/>
      <c r="T86" s="57"/>
      <c r="U86" s="57"/>
      <c r="V86" s="57"/>
      <c r="W86" s="57"/>
      <c r="X86" s="57"/>
      <c r="Y86" s="57"/>
      <c r="Z86" s="142"/>
      <c r="AA86" s="142"/>
      <c r="AB86" s="142"/>
    </row>
    <row r="87" spans="1:28" x14ac:dyDescent="0.2">
      <c r="A87" s="42"/>
      <c r="B87" s="42"/>
      <c r="C87" s="43"/>
      <c r="D87" s="43"/>
      <c r="E87" s="43"/>
      <c r="F87" s="44"/>
      <c r="G87" s="43"/>
      <c r="H87" s="43"/>
      <c r="I87" s="43"/>
      <c r="J87" s="43"/>
      <c r="K87" s="43"/>
      <c r="L87" s="43"/>
      <c r="M87" s="42"/>
      <c r="N87" s="42"/>
      <c r="O87" s="42"/>
      <c r="P87" s="42"/>
      <c r="Q87" s="42"/>
      <c r="R87" s="43"/>
      <c r="S87" s="56"/>
      <c r="T87" s="57"/>
      <c r="U87" s="57"/>
      <c r="V87" s="57"/>
      <c r="W87" s="57"/>
      <c r="X87" s="57"/>
      <c r="Y87" s="57"/>
      <c r="Z87" s="142"/>
      <c r="AA87" s="142"/>
      <c r="AB87" s="142"/>
    </row>
    <row r="88" spans="1:28" x14ac:dyDescent="0.2">
      <c r="A88" s="42"/>
      <c r="B88" s="42"/>
      <c r="C88" s="43"/>
      <c r="D88" s="43"/>
      <c r="E88" s="43"/>
      <c r="F88" s="44"/>
      <c r="G88" s="43"/>
      <c r="H88" s="43"/>
      <c r="I88" s="43"/>
      <c r="J88" s="43"/>
      <c r="K88" s="43"/>
      <c r="L88" s="43"/>
      <c r="M88" s="42"/>
      <c r="N88" s="42"/>
      <c r="O88" s="42"/>
      <c r="P88" s="42"/>
      <c r="Q88" s="42"/>
      <c r="R88" s="43"/>
      <c r="S88" s="56"/>
      <c r="T88" s="57"/>
      <c r="U88" s="57"/>
      <c r="V88" s="57"/>
      <c r="W88" s="57"/>
      <c r="X88" s="57"/>
      <c r="Y88" s="57"/>
      <c r="Z88" s="142"/>
      <c r="AA88" s="142"/>
      <c r="AB88" s="142"/>
    </row>
    <row r="89" spans="1:28" x14ac:dyDescent="0.2">
      <c r="A89" s="42"/>
      <c r="B89" s="42"/>
      <c r="C89" s="43"/>
      <c r="D89" s="43"/>
      <c r="E89" s="43"/>
      <c r="F89" s="44"/>
      <c r="G89" s="43"/>
      <c r="H89" s="43"/>
      <c r="I89" s="43"/>
      <c r="J89" s="43"/>
      <c r="K89" s="43"/>
      <c r="L89" s="43"/>
      <c r="R89" s="61"/>
      <c r="S89" s="141"/>
      <c r="T89" s="142"/>
      <c r="U89" s="142"/>
      <c r="V89" s="57"/>
      <c r="W89" s="57"/>
      <c r="X89" s="57"/>
      <c r="Y89" s="57"/>
      <c r="Z89" s="142"/>
      <c r="AA89" s="142"/>
      <c r="AB89" s="142"/>
    </row>
    <row r="90" spans="1:28" x14ac:dyDescent="0.2">
      <c r="A90" s="42"/>
      <c r="B90" s="42"/>
      <c r="C90" s="43"/>
      <c r="D90" s="43"/>
      <c r="E90" s="43"/>
      <c r="F90" s="44"/>
      <c r="G90" s="43"/>
      <c r="H90" s="43"/>
      <c r="I90" s="43"/>
      <c r="J90" s="43"/>
      <c r="K90" s="43"/>
      <c r="L90" s="43"/>
      <c r="R90" s="61"/>
      <c r="S90" s="141"/>
      <c r="T90" s="142"/>
      <c r="U90" s="142"/>
      <c r="V90" s="57"/>
      <c r="W90" s="57"/>
      <c r="X90" s="57"/>
      <c r="Y90" s="57"/>
      <c r="Z90" s="142"/>
      <c r="AA90" s="142"/>
      <c r="AB90" s="142"/>
    </row>
    <row r="91" spans="1:28" x14ac:dyDescent="0.2">
      <c r="A91" s="42"/>
      <c r="B91" s="42"/>
      <c r="C91" s="43"/>
      <c r="D91" s="43"/>
      <c r="E91" s="43"/>
      <c r="F91" s="44"/>
      <c r="G91" s="43"/>
      <c r="H91" s="43"/>
      <c r="I91" s="43"/>
      <c r="J91" s="43"/>
      <c r="K91" s="43"/>
      <c r="L91" s="43"/>
      <c r="R91" s="61"/>
      <c r="S91" s="141"/>
      <c r="T91" s="142"/>
      <c r="U91" s="142"/>
      <c r="V91" s="57"/>
      <c r="W91" s="57"/>
      <c r="X91" s="57"/>
      <c r="Y91" s="57"/>
      <c r="Z91" s="142"/>
      <c r="AA91" s="142"/>
      <c r="AB91" s="142"/>
    </row>
    <row r="92" spans="1:28" x14ac:dyDescent="0.2">
      <c r="A92" s="42"/>
      <c r="B92" s="42"/>
      <c r="C92" s="43"/>
      <c r="D92" s="43"/>
      <c r="E92" s="43"/>
      <c r="F92" s="44"/>
      <c r="G92" s="43"/>
      <c r="H92" s="43"/>
      <c r="I92" s="43"/>
      <c r="J92" s="43"/>
      <c r="K92" s="43"/>
      <c r="L92" s="43"/>
      <c r="R92" s="61"/>
      <c r="S92" s="141"/>
      <c r="T92" s="142"/>
      <c r="U92" s="142"/>
      <c r="V92" s="57"/>
      <c r="W92" s="57"/>
      <c r="X92" s="57"/>
      <c r="Y92" s="57"/>
      <c r="Z92" s="142"/>
      <c r="AA92" s="142"/>
      <c r="AB92" s="142"/>
    </row>
    <row r="93" spans="1:28" x14ac:dyDescent="0.2">
      <c r="A93" s="42"/>
      <c r="B93" s="42"/>
      <c r="C93" s="43"/>
      <c r="D93" s="43"/>
      <c r="E93" s="43"/>
      <c r="F93" s="44"/>
      <c r="G93" s="43"/>
      <c r="H93" s="43"/>
      <c r="I93" s="43"/>
      <c r="J93" s="43"/>
      <c r="K93" s="43"/>
      <c r="L93" s="43"/>
      <c r="R93" s="61"/>
      <c r="S93" s="141"/>
      <c r="T93" s="142"/>
      <c r="U93" s="142"/>
      <c r="V93" s="57"/>
      <c r="W93" s="57"/>
      <c r="X93" s="57"/>
      <c r="Y93" s="57"/>
      <c r="Z93" s="142"/>
      <c r="AA93" s="142"/>
      <c r="AB93" s="142"/>
    </row>
    <row r="94" spans="1:28" x14ac:dyDescent="0.2">
      <c r="A94" s="42"/>
      <c r="B94" s="42"/>
      <c r="C94" s="43"/>
      <c r="D94" s="43"/>
      <c r="E94" s="43"/>
      <c r="F94" s="44"/>
      <c r="G94" s="43"/>
      <c r="H94" s="43"/>
      <c r="I94" s="43"/>
      <c r="J94" s="43"/>
      <c r="K94" s="43"/>
      <c r="L94" s="43"/>
      <c r="S94" s="141"/>
      <c r="T94" s="61"/>
      <c r="U94" s="61"/>
      <c r="V94" s="43"/>
      <c r="W94" s="43"/>
      <c r="X94" s="43"/>
      <c r="Y94" s="43"/>
      <c r="Z94" s="61"/>
      <c r="AA94" s="61"/>
      <c r="AB94" s="61"/>
    </row>
    <row r="95" spans="1:28" x14ac:dyDescent="0.2">
      <c r="A95" s="42"/>
      <c r="B95" s="42"/>
      <c r="C95" s="43"/>
      <c r="D95" s="43"/>
      <c r="E95" s="43"/>
      <c r="F95" s="44"/>
      <c r="G95" s="43"/>
      <c r="H95" s="43"/>
      <c r="I95" s="43"/>
      <c r="J95" s="43"/>
      <c r="K95" s="43"/>
      <c r="L95" s="43"/>
      <c r="S95" s="141"/>
      <c r="T95" s="61"/>
      <c r="U95" s="61"/>
      <c r="V95" s="43"/>
      <c r="W95" s="43"/>
      <c r="X95" s="43"/>
      <c r="Y95" s="43"/>
      <c r="Z95" s="61"/>
      <c r="AA95" s="61"/>
      <c r="AB95" s="61"/>
    </row>
    <row r="96" spans="1:28" x14ac:dyDescent="0.2">
      <c r="A96" s="42"/>
      <c r="B96" s="42"/>
      <c r="C96" s="43"/>
      <c r="D96" s="43"/>
      <c r="E96" s="43"/>
      <c r="F96" s="44"/>
      <c r="G96" s="43"/>
      <c r="H96" s="43"/>
      <c r="I96" s="43"/>
      <c r="J96" s="43"/>
      <c r="K96" s="43"/>
      <c r="L96" s="43"/>
      <c r="S96" s="141"/>
      <c r="T96" s="61"/>
      <c r="U96" s="61"/>
      <c r="V96" s="43"/>
      <c r="W96" s="43"/>
      <c r="X96" s="43"/>
      <c r="Y96" s="43"/>
      <c r="Z96" s="61"/>
      <c r="AA96" s="61"/>
      <c r="AB96" s="61"/>
    </row>
    <row r="97" spans="2:28" x14ac:dyDescent="0.2">
      <c r="B97" s="42"/>
      <c r="C97" s="43"/>
      <c r="D97" s="43"/>
      <c r="E97" s="43"/>
      <c r="F97" s="44"/>
      <c r="G97" s="43"/>
      <c r="H97" s="43"/>
      <c r="I97" s="43"/>
      <c r="J97" s="43"/>
      <c r="K97" s="43"/>
      <c r="L97" s="43"/>
      <c r="S97" s="141"/>
      <c r="T97" s="61"/>
      <c r="U97" s="61"/>
      <c r="V97" s="43"/>
      <c r="W97" s="43"/>
      <c r="X97" s="43"/>
      <c r="Y97" s="43"/>
      <c r="Z97" s="61"/>
      <c r="AA97" s="61"/>
      <c r="AB97" s="61"/>
    </row>
    <row r="98" spans="2:28" x14ac:dyDescent="0.2">
      <c r="B98" s="42"/>
      <c r="C98" s="43"/>
      <c r="D98" s="43"/>
      <c r="E98" s="43"/>
      <c r="F98" s="44"/>
      <c r="G98" s="43"/>
      <c r="H98" s="43"/>
      <c r="I98" s="43"/>
      <c r="J98" s="43"/>
      <c r="K98" s="43"/>
      <c r="L98" s="43"/>
    </row>
    <row r="99" spans="2:28" x14ac:dyDescent="0.2">
      <c r="B99" s="42"/>
      <c r="C99" s="43"/>
      <c r="D99" s="43"/>
      <c r="E99" s="43"/>
      <c r="F99" s="44"/>
      <c r="G99" s="43"/>
      <c r="H99" s="43"/>
      <c r="I99" s="43"/>
      <c r="J99" s="43"/>
      <c r="K99" s="43"/>
      <c r="L99" s="43"/>
    </row>
    <row r="100" spans="2:28" x14ac:dyDescent="0.2">
      <c r="B100" s="42"/>
      <c r="C100" s="43"/>
      <c r="D100" s="43"/>
      <c r="E100" s="43"/>
      <c r="F100" s="44"/>
      <c r="G100" s="43"/>
      <c r="H100" s="43"/>
      <c r="I100" s="43"/>
      <c r="J100" s="43"/>
      <c r="K100" s="43"/>
      <c r="L100" s="43"/>
    </row>
    <row r="101" spans="2:28" x14ac:dyDescent="0.2">
      <c r="B101" s="42"/>
      <c r="C101" s="43"/>
      <c r="D101" s="43"/>
      <c r="E101" s="43"/>
      <c r="F101" s="44"/>
      <c r="G101" s="43"/>
      <c r="H101" s="43"/>
      <c r="I101" s="43"/>
      <c r="J101" s="43"/>
      <c r="K101" s="43"/>
      <c r="L101" s="43"/>
    </row>
    <row r="102" spans="2:28" x14ac:dyDescent="0.2">
      <c r="B102" s="42"/>
      <c r="C102" s="43"/>
      <c r="D102" s="43"/>
      <c r="E102" s="43"/>
      <c r="F102" s="44"/>
      <c r="G102" s="43"/>
      <c r="H102" s="43"/>
      <c r="I102" s="43"/>
      <c r="J102" s="43"/>
      <c r="K102" s="43"/>
      <c r="L102" s="43"/>
    </row>
  </sheetData>
  <sheetProtection selectLockedCells="1"/>
  <mergeCells count="30">
    <mergeCell ref="D81:I81"/>
    <mergeCell ref="E79:H79"/>
    <mergeCell ref="D44:H45"/>
    <mergeCell ref="D46:F46"/>
    <mergeCell ref="D48:F48"/>
    <mergeCell ref="E77:H77"/>
    <mergeCell ref="K61:L61"/>
    <mergeCell ref="D52:H53"/>
    <mergeCell ref="K77:L78"/>
    <mergeCell ref="B60:F60"/>
    <mergeCell ref="D57:H57"/>
    <mergeCell ref="K65:L65"/>
    <mergeCell ref="F66:H66"/>
    <mergeCell ref="K71:L71"/>
    <mergeCell ref="K63:L63"/>
    <mergeCell ref="K66:L66"/>
    <mergeCell ref="K67:L67"/>
    <mergeCell ref="E69:F69"/>
    <mergeCell ref="K68:L68"/>
    <mergeCell ref="F65:H65"/>
    <mergeCell ref="N44:N45"/>
    <mergeCell ref="B2:I2"/>
    <mergeCell ref="R5:T5"/>
    <mergeCell ref="D39:H39"/>
    <mergeCell ref="D41:F41"/>
    <mergeCell ref="N42:N43"/>
    <mergeCell ref="B38:H38"/>
    <mergeCell ref="O40:T40"/>
    <mergeCell ref="R6:T6"/>
    <mergeCell ref="B5:H5"/>
  </mergeCells>
  <phoneticPr fontId="3" type="noConversion"/>
  <conditionalFormatting sqref="I56">
    <cfRule type="expression" dxfId="0" priority="1" stopIfTrue="1">
      <formula>"and($I$44=""Commercial"",$I$48&lt;&gt;0)"</formula>
    </cfRule>
  </conditionalFormatting>
  <dataValidations count="4">
    <dataValidation type="list" showInputMessage="1" showErrorMessage="1" promptTitle="Construction Type Per SBC" sqref="E8:E35" xr:uid="{00000000-0002-0000-0000-000000000000}">
      <formula1>ConstType</formula1>
    </dataValidation>
    <dataValidation type="list" showInputMessage="1" showErrorMessage="1" promptTitle="Occupancy Per SBC" sqref="D8:D35" xr:uid="{00000000-0002-0000-0000-000001000000}">
      <formula1>OccupancyGroup</formula1>
    </dataValidation>
    <dataValidation type="custom" allowBlank="1" showInputMessage="1" showErrorMessage="1" error="Note: For State Surcharge purposes commercial buildings do not have residential units. If your building has both a commercial portion and residential units, please set the building type in Step 3 as Mixed-Use." sqref="I56" xr:uid="{00000000-0002-0000-0000-000002000000}">
      <formula1>K56&lt;&gt;"Error"</formula1>
    </dataValidation>
    <dataValidation type="list" allowBlank="1" showInputMessage="1" showErrorMessage="1" sqref="I52" xr:uid="{00000000-0002-0000-0000-000003000000}">
      <formula1>$V$8:$V$10</formula1>
    </dataValidation>
  </dataValidations>
  <hyperlinks>
    <hyperlink ref="O46:S47" r:id="rId1" display="http://www.seattle.gov/sdci/codes/codes-we-enforce-(a-z)/building-code" xr:uid="{00000000-0004-0000-0000-000000000000}"/>
  </hyperlinks>
  <printOptions horizontalCentered="1" verticalCentered="1"/>
  <pageMargins left="0" right="0" top="0.5" bottom="0.3" header="0" footer="0"/>
  <pageSetup orientation="portrait" r:id="rId2"/>
  <headerFooter alignWithMargins="0">
    <oddHeader>&amp;L&amp;G &amp;"Arial,Bold"City of Seattle - Department of Planning and Development</oddHeader>
    <oddFooter>&amp;L&amp;8&amp;F&amp;C&amp;8&amp;P of &amp;N&amp;R&amp;8&amp;D</oddFooter>
  </headerFooter>
  <drawing r:id="rId3"/>
  <legacyDrawing r:id="rId4"/>
  <legacyDrawingHF r:id="rId5"/>
  <picture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C1:X104"/>
  <sheetViews>
    <sheetView topLeftCell="A9" zoomScale="95" zoomScaleNormal="95" workbookViewId="0">
      <selection activeCell="R30" sqref="R30"/>
    </sheetView>
  </sheetViews>
  <sheetFormatPr defaultRowHeight="13.2" x14ac:dyDescent="0.25"/>
  <cols>
    <col min="4" max="4" width="28.77734375" customWidth="1"/>
    <col min="5" max="5" width="19.5546875" customWidth="1"/>
    <col min="6" max="6" width="11.21875" bestFit="1" customWidth="1"/>
    <col min="7" max="14" width="10" bestFit="1" customWidth="1"/>
  </cols>
  <sheetData>
    <row r="1" spans="3:19" ht="27" customHeight="1" x14ac:dyDescent="0.3">
      <c r="C1" s="3">
        <v>2024</v>
      </c>
      <c r="D1" s="3" t="s">
        <v>106</v>
      </c>
      <c r="F1" s="268" t="s">
        <v>165</v>
      </c>
      <c r="G1" s="238"/>
      <c r="H1" s="238"/>
      <c r="I1" s="238"/>
      <c r="J1" s="238"/>
      <c r="K1" s="238"/>
      <c r="L1" s="238"/>
      <c r="M1" s="238"/>
      <c r="N1" s="238"/>
    </row>
    <row r="2" spans="3:19" ht="13.8" thickBot="1" x14ac:dyDescent="0.3"/>
    <row r="3" spans="3:19" ht="13.8" thickBot="1" x14ac:dyDescent="0.3">
      <c r="C3" s="4"/>
      <c r="D3" s="5"/>
      <c r="E3" s="5"/>
      <c r="F3" s="6" t="s">
        <v>8</v>
      </c>
      <c r="G3" s="7" t="s">
        <v>9</v>
      </c>
      <c r="H3" s="7" t="s">
        <v>10</v>
      </c>
      <c r="I3" s="7" t="s">
        <v>11</v>
      </c>
      <c r="J3" s="7" t="s">
        <v>13</v>
      </c>
      <c r="K3" s="7" t="s">
        <v>14</v>
      </c>
      <c r="L3" s="7" t="s">
        <v>15</v>
      </c>
      <c r="M3" s="7" t="s">
        <v>16</v>
      </c>
      <c r="N3" s="8" t="s">
        <v>17</v>
      </c>
    </row>
    <row r="4" spans="3:19" ht="13.8" thickBot="1" x14ac:dyDescent="0.3">
      <c r="C4" s="15">
        <v>0</v>
      </c>
      <c r="D4" s="16"/>
      <c r="E4" s="16"/>
      <c r="F4" s="17">
        <v>1</v>
      </c>
      <c r="G4" s="18">
        <v>2</v>
      </c>
      <c r="H4" s="18">
        <v>3</v>
      </c>
      <c r="I4" s="18">
        <v>4</v>
      </c>
      <c r="J4" s="18">
        <v>5</v>
      </c>
      <c r="K4" s="18">
        <v>6</v>
      </c>
      <c r="L4" s="18">
        <v>7</v>
      </c>
      <c r="M4" s="18">
        <v>8</v>
      </c>
      <c r="N4" s="19">
        <v>9</v>
      </c>
    </row>
    <row r="5" spans="3:19" ht="13.8" thickBot="1" x14ac:dyDescent="0.3">
      <c r="C5" s="9"/>
      <c r="D5" s="10" t="s">
        <v>25</v>
      </c>
      <c r="E5" s="11" t="s">
        <v>24</v>
      </c>
      <c r="F5" s="156" t="s">
        <v>8</v>
      </c>
      <c r="G5" s="12" t="s">
        <v>9</v>
      </c>
      <c r="H5" s="12" t="s">
        <v>10</v>
      </c>
      <c r="I5" s="12" t="s">
        <v>11</v>
      </c>
      <c r="J5" s="12" t="s">
        <v>13</v>
      </c>
      <c r="K5" s="12" t="s">
        <v>14</v>
      </c>
      <c r="L5" s="12" t="s">
        <v>15</v>
      </c>
      <c r="M5" s="12" t="s">
        <v>16</v>
      </c>
      <c r="N5" s="13" t="s">
        <v>17</v>
      </c>
      <c r="R5" s="165" t="s">
        <v>142</v>
      </c>
      <c r="S5">
        <v>6.5</v>
      </c>
    </row>
    <row r="6" spans="3:19" ht="13.8" thickBot="1" x14ac:dyDescent="0.3">
      <c r="C6" s="4" t="s">
        <v>26</v>
      </c>
      <c r="D6" s="14" t="s">
        <v>27</v>
      </c>
      <c r="E6" s="14" t="s">
        <v>28</v>
      </c>
      <c r="F6" s="192">
        <v>352.69</v>
      </c>
      <c r="G6" s="192">
        <v>340.81</v>
      </c>
      <c r="H6" s="192">
        <v>332.79</v>
      </c>
      <c r="I6" s="192">
        <v>320.17</v>
      </c>
      <c r="J6" s="192">
        <v>301.22000000000003</v>
      </c>
      <c r="K6" s="192">
        <v>291.89999999999998</v>
      </c>
      <c r="L6" s="192">
        <v>310.39999999999998</v>
      </c>
      <c r="M6" s="192">
        <v>279.32</v>
      </c>
      <c r="N6" s="192">
        <v>270.43</v>
      </c>
      <c r="R6" s="165" t="s">
        <v>143</v>
      </c>
      <c r="S6">
        <v>25</v>
      </c>
    </row>
    <row r="7" spans="3:19" ht="13.8" thickBot="1" x14ac:dyDescent="0.3">
      <c r="C7" s="4" t="s">
        <v>94</v>
      </c>
      <c r="D7" s="14" t="s">
        <v>30</v>
      </c>
      <c r="E7" s="14" t="s">
        <v>28</v>
      </c>
      <c r="F7" s="192">
        <v>322.76</v>
      </c>
      <c r="G7" s="192">
        <v>310.88</v>
      </c>
      <c r="H7" s="192">
        <v>302.86</v>
      </c>
      <c r="I7" s="192">
        <v>290.24</v>
      </c>
      <c r="J7" s="192">
        <v>271.29000000000002</v>
      </c>
      <c r="K7" s="192">
        <v>261.97000000000003</v>
      </c>
      <c r="L7" s="192">
        <v>280.47000000000003</v>
      </c>
      <c r="M7" s="192">
        <v>249.39</v>
      </c>
      <c r="N7" s="192">
        <v>240.5</v>
      </c>
      <c r="R7" s="165" t="s">
        <v>144</v>
      </c>
      <c r="S7">
        <v>31.5</v>
      </c>
    </row>
    <row r="8" spans="3:19" ht="13.8" thickBot="1" x14ac:dyDescent="0.3">
      <c r="C8" s="4" t="s">
        <v>31</v>
      </c>
      <c r="D8" s="14" t="s">
        <v>32</v>
      </c>
      <c r="E8" s="14"/>
      <c r="F8" s="192">
        <v>283.43</v>
      </c>
      <c r="G8" s="192">
        <v>275.02</v>
      </c>
      <c r="H8" s="192">
        <v>267.2</v>
      </c>
      <c r="I8" s="192">
        <v>258.14</v>
      </c>
      <c r="J8" s="192">
        <v>242.09</v>
      </c>
      <c r="K8" s="192">
        <v>235.19</v>
      </c>
      <c r="L8" s="192">
        <v>248.87</v>
      </c>
      <c r="M8" s="192">
        <v>220.05</v>
      </c>
      <c r="N8" s="192">
        <v>212.93</v>
      </c>
    </row>
    <row r="9" spans="3:19" ht="24" thickBot="1" x14ac:dyDescent="0.3">
      <c r="C9" s="4" t="s">
        <v>96</v>
      </c>
      <c r="D9" s="14" t="s">
        <v>33</v>
      </c>
      <c r="E9" s="14" t="s">
        <v>34</v>
      </c>
      <c r="F9" s="192">
        <v>282.38</v>
      </c>
      <c r="G9" s="192">
        <v>273.97000000000003</v>
      </c>
      <c r="H9" s="192">
        <v>265.10000000000002</v>
      </c>
      <c r="I9" s="192">
        <v>257.08999999999997</v>
      </c>
      <c r="J9" s="192">
        <v>239.99</v>
      </c>
      <c r="K9" s="192">
        <v>234.14</v>
      </c>
      <c r="L9" s="192">
        <v>247.82</v>
      </c>
      <c r="M9" s="192">
        <v>217.95</v>
      </c>
      <c r="N9" s="192">
        <v>211.88</v>
      </c>
    </row>
    <row r="10" spans="3:19" ht="13.8" thickBot="1" x14ac:dyDescent="0.3">
      <c r="C10" s="4" t="s">
        <v>35</v>
      </c>
      <c r="D10" s="14" t="s">
        <v>36</v>
      </c>
      <c r="E10" s="14" t="s">
        <v>37</v>
      </c>
      <c r="F10" s="192">
        <v>327.47000000000003</v>
      </c>
      <c r="G10" s="192">
        <v>315.58999999999997</v>
      </c>
      <c r="H10" s="192">
        <v>307.57</v>
      </c>
      <c r="I10" s="192">
        <v>294.95999999999998</v>
      </c>
      <c r="J10" s="192">
        <v>276.47000000000003</v>
      </c>
      <c r="K10" s="192">
        <v>267.16000000000003</v>
      </c>
      <c r="L10" s="192">
        <v>285.18</v>
      </c>
      <c r="M10" s="192">
        <v>254.57</v>
      </c>
      <c r="N10" s="192">
        <v>245.68</v>
      </c>
    </row>
    <row r="11" spans="3:19" ht="24" thickBot="1" x14ac:dyDescent="0.3">
      <c r="C11" s="4" t="s">
        <v>97</v>
      </c>
      <c r="D11" s="14" t="s">
        <v>38</v>
      </c>
      <c r="E11" s="14" t="s">
        <v>39</v>
      </c>
      <c r="F11" s="192">
        <v>279.37</v>
      </c>
      <c r="G11" s="192">
        <v>267.5</v>
      </c>
      <c r="H11" s="192">
        <v>258.43</v>
      </c>
      <c r="I11" s="192">
        <v>246.86</v>
      </c>
      <c r="J11" s="192">
        <v>227.14</v>
      </c>
      <c r="K11" s="192">
        <v>218.88</v>
      </c>
      <c r="L11" s="192">
        <v>237.08</v>
      </c>
      <c r="M11" s="192">
        <v>205.25</v>
      </c>
      <c r="N11" s="192">
        <v>197.41</v>
      </c>
    </row>
    <row r="12" spans="3:19" ht="13.8" thickBot="1" x14ac:dyDescent="0.3">
      <c r="C12" s="4" t="s">
        <v>40</v>
      </c>
      <c r="D12" s="14" t="s">
        <v>41</v>
      </c>
      <c r="E12" s="14"/>
      <c r="F12" s="192">
        <v>321.70999999999998</v>
      </c>
      <c r="G12" s="192">
        <v>309.83</v>
      </c>
      <c r="H12" s="192">
        <v>300.76</v>
      </c>
      <c r="I12" s="192">
        <v>289.19</v>
      </c>
      <c r="J12" s="192">
        <v>269.19</v>
      </c>
      <c r="K12" s="192">
        <v>260.92</v>
      </c>
      <c r="L12" s="192">
        <v>279.42</v>
      </c>
      <c r="M12" s="192">
        <v>247.29</v>
      </c>
      <c r="N12" s="192">
        <v>239.45</v>
      </c>
    </row>
    <row r="13" spans="3:19" ht="24" thickBot="1" x14ac:dyDescent="0.3">
      <c r="C13" s="4" t="s">
        <v>6</v>
      </c>
      <c r="D13" s="14" t="s">
        <v>42</v>
      </c>
      <c r="E13" s="14" t="s">
        <v>43</v>
      </c>
      <c r="F13" s="192">
        <v>273.72000000000003</v>
      </c>
      <c r="G13" s="192">
        <v>263.69</v>
      </c>
      <c r="H13" s="192">
        <v>253.95</v>
      </c>
      <c r="I13" s="192">
        <v>243.24</v>
      </c>
      <c r="J13" s="192">
        <v>221.54</v>
      </c>
      <c r="K13" s="192">
        <v>212.86</v>
      </c>
      <c r="L13" s="192">
        <v>233.69</v>
      </c>
      <c r="M13" s="192">
        <v>195.52</v>
      </c>
      <c r="N13" s="192">
        <v>186.7</v>
      </c>
    </row>
    <row r="14" spans="3:19" ht="13.8" thickBot="1" x14ac:dyDescent="0.3">
      <c r="C14" s="4" t="s">
        <v>44</v>
      </c>
      <c r="D14" s="14" t="s">
        <v>45</v>
      </c>
      <c r="E14" s="14" t="s">
        <v>46</v>
      </c>
      <c r="F14" s="192">
        <v>287.13</v>
      </c>
      <c r="G14" s="192">
        <v>277.16000000000003</v>
      </c>
      <c r="H14" s="192">
        <v>268.39999999999998</v>
      </c>
      <c r="I14" s="192">
        <v>257.29000000000002</v>
      </c>
      <c r="J14" s="192">
        <v>240.12</v>
      </c>
      <c r="K14" s="192">
        <v>227.85</v>
      </c>
      <c r="L14" s="192">
        <v>248.44</v>
      </c>
      <c r="M14" s="192">
        <v>210.38</v>
      </c>
      <c r="N14" s="192">
        <v>203.63</v>
      </c>
    </row>
    <row r="15" spans="3:19" ht="24" thickBot="1" x14ac:dyDescent="0.3">
      <c r="C15" s="4" t="s">
        <v>47</v>
      </c>
      <c r="D15" s="14" t="s">
        <v>48</v>
      </c>
      <c r="E15" s="14" t="s">
        <v>49</v>
      </c>
      <c r="F15" s="192">
        <v>168.21</v>
      </c>
      <c r="G15" s="192">
        <v>160.41999999999999</v>
      </c>
      <c r="H15" s="192">
        <v>150.51</v>
      </c>
      <c r="I15" s="192">
        <v>145.57</v>
      </c>
      <c r="J15" s="192">
        <v>129.72999999999999</v>
      </c>
      <c r="K15" s="192">
        <v>123.28</v>
      </c>
      <c r="L15" s="192">
        <v>139.11000000000001</v>
      </c>
      <c r="M15" s="192">
        <v>107.56</v>
      </c>
      <c r="N15" s="192">
        <v>100.73</v>
      </c>
    </row>
    <row r="16" spans="3:19" ht="13.8" thickBot="1" x14ac:dyDescent="0.3">
      <c r="C16" s="4" t="s">
        <v>50</v>
      </c>
      <c r="D16" s="14" t="s">
        <v>51</v>
      </c>
      <c r="E16" s="14" t="s">
        <v>49</v>
      </c>
      <c r="F16" s="192">
        <v>167.16</v>
      </c>
      <c r="G16" s="192">
        <v>159.37</v>
      </c>
      <c r="H16" s="192">
        <v>150.51</v>
      </c>
      <c r="I16" s="192">
        <v>144.52000000000001</v>
      </c>
      <c r="J16" s="192">
        <v>129.72999999999999</v>
      </c>
      <c r="K16" s="192">
        <v>122.23</v>
      </c>
      <c r="L16" s="192">
        <v>138.06</v>
      </c>
      <c r="M16" s="192">
        <v>107.56</v>
      </c>
      <c r="N16" s="192">
        <v>99.68</v>
      </c>
    </row>
    <row r="17" spans="3:14" ht="13.8" thickBot="1" x14ac:dyDescent="0.3">
      <c r="C17" s="4" t="s">
        <v>52</v>
      </c>
      <c r="D17" s="14" t="s">
        <v>53</v>
      </c>
      <c r="E17" s="14"/>
      <c r="F17" s="192">
        <v>156.93</v>
      </c>
      <c r="G17" s="192">
        <v>149.13999999999999</v>
      </c>
      <c r="H17" s="192">
        <v>140.28</v>
      </c>
      <c r="I17" s="192">
        <v>134.29</v>
      </c>
      <c r="J17" s="192">
        <v>119.82</v>
      </c>
      <c r="K17" s="192">
        <v>112.32</v>
      </c>
      <c r="L17" s="192">
        <v>127.82</v>
      </c>
      <c r="M17" s="192">
        <v>97.65</v>
      </c>
      <c r="N17" s="193" t="s">
        <v>141</v>
      </c>
    </row>
    <row r="18" spans="3:14" ht="13.8" thickBot="1" x14ac:dyDescent="0.3">
      <c r="C18" s="4" t="s">
        <v>54</v>
      </c>
      <c r="D18" s="14" t="s">
        <v>55</v>
      </c>
      <c r="E18" s="14"/>
      <c r="F18" s="192">
        <v>156.93</v>
      </c>
      <c r="G18" s="192">
        <v>149.13999999999999</v>
      </c>
      <c r="H18" s="192">
        <v>140.28</v>
      </c>
      <c r="I18" s="192">
        <v>134.29</v>
      </c>
      <c r="J18" s="192">
        <v>119.82</v>
      </c>
      <c r="K18" s="192">
        <v>112.32</v>
      </c>
      <c r="L18" s="192">
        <v>127.82</v>
      </c>
      <c r="M18" s="192">
        <v>97.65</v>
      </c>
      <c r="N18" s="192">
        <v>89.77</v>
      </c>
    </row>
    <row r="19" spans="3:14" ht="13.8" thickBot="1" x14ac:dyDescent="0.3">
      <c r="C19" s="4" t="s">
        <v>56</v>
      </c>
      <c r="D19" s="14" t="s">
        <v>57</v>
      </c>
      <c r="E19" s="14"/>
      <c r="F19" s="192">
        <v>273.72000000000003</v>
      </c>
      <c r="G19" s="192">
        <v>263.69</v>
      </c>
      <c r="H19" s="192">
        <v>253.95</v>
      </c>
      <c r="I19" s="192">
        <v>243.24</v>
      </c>
      <c r="J19" s="192">
        <v>221.54</v>
      </c>
      <c r="K19" s="192">
        <v>212.86</v>
      </c>
      <c r="L19" s="192">
        <v>233.69</v>
      </c>
      <c r="M19" s="192">
        <v>195.52</v>
      </c>
      <c r="N19" s="192">
        <v>186.7</v>
      </c>
    </row>
    <row r="20" spans="3:14" ht="24" thickBot="1" x14ac:dyDescent="0.3">
      <c r="C20" s="4" t="s">
        <v>58</v>
      </c>
      <c r="D20" s="14" t="s">
        <v>59</v>
      </c>
      <c r="E20" s="14" t="s">
        <v>60</v>
      </c>
      <c r="F20" s="192">
        <v>275.33</v>
      </c>
      <c r="G20" s="192">
        <v>265.60000000000002</v>
      </c>
      <c r="H20" s="192">
        <v>256.52999999999997</v>
      </c>
      <c r="I20" s="192">
        <v>247.46</v>
      </c>
      <c r="J20" s="192">
        <v>226.19</v>
      </c>
      <c r="K20" s="192">
        <v>219.94</v>
      </c>
      <c r="L20" s="192">
        <v>247.5</v>
      </c>
      <c r="M20" s="192">
        <v>203.51</v>
      </c>
      <c r="N20" s="192">
        <v>197.12</v>
      </c>
    </row>
    <row r="21" spans="3:14" ht="13.8" thickBot="1" x14ac:dyDescent="0.3">
      <c r="C21" s="4" t="s">
        <v>61</v>
      </c>
      <c r="D21" s="14" t="s">
        <v>62</v>
      </c>
      <c r="E21" s="14" t="s">
        <v>63</v>
      </c>
      <c r="F21" s="192">
        <v>455.86</v>
      </c>
      <c r="G21" s="192">
        <v>445.82</v>
      </c>
      <c r="H21" s="192">
        <v>436.09</v>
      </c>
      <c r="I21" s="192">
        <v>425.37</v>
      </c>
      <c r="J21" s="192">
        <v>402.52</v>
      </c>
      <c r="K21" s="193" t="s">
        <v>141</v>
      </c>
      <c r="L21" s="192">
        <v>415.82</v>
      </c>
      <c r="M21" s="192">
        <v>376.5</v>
      </c>
      <c r="N21" s="193" t="s">
        <v>141</v>
      </c>
    </row>
    <row r="22" spans="3:14" ht="13.8" thickBot="1" x14ac:dyDescent="0.3">
      <c r="C22" s="4" t="s">
        <v>98</v>
      </c>
      <c r="D22" s="14" t="s">
        <v>64</v>
      </c>
      <c r="E22" s="14" t="s">
        <v>65</v>
      </c>
      <c r="F22" s="192">
        <v>317.11</v>
      </c>
      <c r="G22" s="192">
        <v>307.07</v>
      </c>
      <c r="H22" s="192">
        <v>297.33999999999997</v>
      </c>
      <c r="I22" s="192">
        <v>286.62</v>
      </c>
      <c r="J22" s="192">
        <v>266.52</v>
      </c>
      <c r="K22" s="193" t="s">
        <v>141</v>
      </c>
      <c r="L22" s="192">
        <v>277.07</v>
      </c>
      <c r="M22" s="192">
        <v>240.5</v>
      </c>
      <c r="N22" s="193" t="s">
        <v>141</v>
      </c>
    </row>
    <row r="23" spans="3:14" ht="13.8" thickBot="1" x14ac:dyDescent="0.3">
      <c r="C23" s="4" t="s">
        <v>66</v>
      </c>
      <c r="D23" s="14" t="s">
        <v>67</v>
      </c>
      <c r="E23" s="14" t="s">
        <v>68</v>
      </c>
      <c r="F23" s="192">
        <v>310.64999999999998</v>
      </c>
      <c r="G23" s="192">
        <v>300.62</v>
      </c>
      <c r="H23" s="192">
        <v>290.89</v>
      </c>
      <c r="I23" s="192">
        <v>280.17</v>
      </c>
      <c r="J23" s="192">
        <v>260.35000000000002</v>
      </c>
      <c r="K23" s="192">
        <v>250.62</v>
      </c>
      <c r="L23" s="192">
        <v>270.62</v>
      </c>
      <c r="M23" s="192">
        <v>234.33</v>
      </c>
      <c r="N23" s="192">
        <v>223.41</v>
      </c>
    </row>
    <row r="24" spans="3:14" ht="13.8" thickBot="1" x14ac:dyDescent="0.3">
      <c r="C24" s="4" t="s">
        <v>69</v>
      </c>
      <c r="D24" s="14" t="s">
        <v>70</v>
      </c>
      <c r="E24" s="14"/>
      <c r="F24" s="192">
        <v>275.33</v>
      </c>
      <c r="G24" s="192">
        <v>265.60000000000002</v>
      </c>
      <c r="H24" s="192">
        <v>256.52999999999997</v>
      </c>
      <c r="I24" s="192">
        <v>247.46</v>
      </c>
      <c r="J24" s="192">
        <v>226.19</v>
      </c>
      <c r="K24" s="192">
        <v>219.94</v>
      </c>
      <c r="L24" s="192">
        <v>247.5</v>
      </c>
      <c r="M24" s="192">
        <v>203.51</v>
      </c>
      <c r="N24" s="192">
        <v>197.12</v>
      </c>
    </row>
    <row r="25" spans="3:14" ht="24" thickBot="1" x14ac:dyDescent="0.3">
      <c r="C25" s="4" t="s">
        <v>71</v>
      </c>
      <c r="D25" s="14" t="s">
        <v>72</v>
      </c>
      <c r="E25" s="14" t="s">
        <v>73</v>
      </c>
      <c r="F25" s="192">
        <v>211.43</v>
      </c>
      <c r="G25" s="192">
        <v>203.03</v>
      </c>
      <c r="H25" s="192">
        <v>194.16</v>
      </c>
      <c r="I25" s="192">
        <v>186.14</v>
      </c>
      <c r="J25" s="192">
        <v>169.81</v>
      </c>
      <c r="K25" s="192">
        <v>163.95</v>
      </c>
      <c r="L25" s="192">
        <v>176.87</v>
      </c>
      <c r="M25" s="192">
        <v>147.77000000000001</v>
      </c>
      <c r="N25" s="192">
        <v>141.69999999999999</v>
      </c>
    </row>
    <row r="26" spans="3:14" ht="13.8" thickBot="1" x14ac:dyDescent="0.3">
      <c r="C26" s="4" t="s">
        <v>19</v>
      </c>
      <c r="D26" s="14" t="s">
        <v>74</v>
      </c>
      <c r="E26" s="14" t="s">
        <v>75</v>
      </c>
      <c r="F26" s="192">
        <v>277.91000000000003</v>
      </c>
      <c r="G26" s="192">
        <v>268.18</v>
      </c>
      <c r="H26" s="192">
        <v>259.11</v>
      </c>
      <c r="I26" s="192">
        <v>250.04</v>
      </c>
      <c r="J26" s="192">
        <v>229.27</v>
      </c>
      <c r="K26" s="192">
        <v>223.02</v>
      </c>
      <c r="L26" s="192">
        <v>250.08</v>
      </c>
      <c r="M26" s="192">
        <v>206.59</v>
      </c>
      <c r="N26" s="192">
        <v>200.2</v>
      </c>
    </row>
    <row r="27" spans="3:14" ht="13.8" thickBot="1" x14ac:dyDescent="0.3">
      <c r="C27" s="4" t="s">
        <v>20</v>
      </c>
      <c r="D27" s="14" t="s">
        <v>76</v>
      </c>
      <c r="E27" s="14" t="s">
        <v>77</v>
      </c>
      <c r="F27" s="192">
        <v>232.39</v>
      </c>
      <c r="G27" s="192">
        <v>222.66</v>
      </c>
      <c r="H27" s="192">
        <v>213.59</v>
      </c>
      <c r="I27" s="192">
        <v>204.52</v>
      </c>
      <c r="J27" s="192">
        <v>184.76</v>
      </c>
      <c r="K27" s="192">
        <v>178.51</v>
      </c>
      <c r="L27" s="192">
        <v>204.56</v>
      </c>
      <c r="M27" s="192">
        <v>162.08000000000001</v>
      </c>
      <c r="N27" s="192">
        <v>155.69</v>
      </c>
    </row>
    <row r="28" spans="3:14" ht="13.8" thickBot="1" x14ac:dyDescent="0.3">
      <c r="C28" s="4" t="s">
        <v>21</v>
      </c>
      <c r="D28" s="14" t="s">
        <v>78</v>
      </c>
      <c r="E28" s="14" t="s">
        <v>79</v>
      </c>
      <c r="F28" s="192">
        <v>220.09</v>
      </c>
      <c r="G28" s="192">
        <v>213.93</v>
      </c>
      <c r="H28" s="192">
        <v>208.88</v>
      </c>
      <c r="I28" s="192">
        <v>204.87</v>
      </c>
      <c r="J28" s="192">
        <v>197.83</v>
      </c>
      <c r="K28" s="192">
        <v>190.52</v>
      </c>
      <c r="L28" s="192">
        <v>201.36</v>
      </c>
      <c r="M28" s="192">
        <v>184.65</v>
      </c>
      <c r="N28" s="192">
        <v>173.95</v>
      </c>
    </row>
    <row r="29" spans="3:14" ht="24" thickBot="1" x14ac:dyDescent="0.3">
      <c r="C29" s="4" t="s">
        <v>22</v>
      </c>
      <c r="D29" s="14" t="s">
        <v>80</v>
      </c>
      <c r="E29" s="14"/>
      <c r="F29" s="192">
        <v>275.33</v>
      </c>
      <c r="G29" s="192">
        <v>265.60000000000002</v>
      </c>
      <c r="H29" s="192">
        <v>256.52999999999997</v>
      </c>
      <c r="I29" s="192">
        <v>247.46</v>
      </c>
      <c r="J29" s="192">
        <v>226.19</v>
      </c>
      <c r="K29" s="192">
        <v>219.94</v>
      </c>
      <c r="L29" s="192">
        <v>247.5</v>
      </c>
      <c r="M29" s="192">
        <v>203.51</v>
      </c>
      <c r="N29" s="192">
        <v>197.12</v>
      </c>
    </row>
    <row r="30" spans="3:14" ht="35.4" thickBot="1" x14ac:dyDescent="0.3">
      <c r="C30" s="4" t="s">
        <v>81</v>
      </c>
      <c r="D30" s="14" t="s">
        <v>82</v>
      </c>
      <c r="E30" s="14" t="s">
        <v>83</v>
      </c>
      <c r="F30" s="192">
        <v>155.88</v>
      </c>
      <c r="G30" s="192">
        <v>148.09</v>
      </c>
      <c r="H30" s="192">
        <v>138.18</v>
      </c>
      <c r="I30" s="192">
        <v>133.24</v>
      </c>
      <c r="J30" s="192">
        <v>117.72</v>
      </c>
      <c r="K30" s="192">
        <v>111.27</v>
      </c>
      <c r="L30" s="192">
        <v>126.77</v>
      </c>
      <c r="M30" s="192">
        <v>95.55</v>
      </c>
      <c r="N30" s="192">
        <v>88.72</v>
      </c>
    </row>
    <row r="31" spans="3:14" ht="24" thickBot="1" x14ac:dyDescent="0.3">
      <c r="C31" s="4" t="s">
        <v>84</v>
      </c>
      <c r="D31" s="14" t="s">
        <v>85</v>
      </c>
      <c r="E31" s="14" t="s">
        <v>86</v>
      </c>
      <c r="F31" s="192">
        <v>154.83000000000001</v>
      </c>
      <c r="G31" s="192">
        <v>147.04</v>
      </c>
      <c r="H31" s="192">
        <v>138.18</v>
      </c>
      <c r="I31" s="192">
        <v>132.19</v>
      </c>
      <c r="J31" s="192">
        <v>117.72</v>
      </c>
      <c r="K31" s="192">
        <v>110.22</v>
      </c>
      <c r="L31" s="192">
        <v>125.72</v>
      </c>
      <c r="M31" s="192">
        <v>95.55</v>
      </c>
      <c r="N31" s="192">
        <v>87.67</v>
      </c>
    </row>
    <row r="32" spans="3:14" ht="24" thickBot="1" x14ac:dyDescent="0.3">
      <c r="C32" s="4" t="s">
        <v>23</v>
      </c>
      <c r="D32" s="14" t="s">
        <v>87</v>
      </c>
      <c r="E32" s="14" t="s">
        <v>88</v>
      </c>
      <c r="F32" s="192">
        <v>119.79</v>
      </c>
      <c r="G32" s="192">
        <v>112.73</v>
      </c>
      <c r="H32" s="192">
        <v>104.88</v>
      </c>
      <c r="I32" s="192">
        <v>100.38</v>
      </c>
      <c r="J32" s="192">
        <v>89.39</v>
      </c>
      <c r="K32" s="192">
        <v>83.51</v>
      </c>
      <c r="L32" s="192">
        <v>95.54</v>
      </c>
      <c r="M32" s="192">
        <v>70.760000000000005</v>
      </c>
      <c r="N32" s="192">
        <v>67.39</v>
      </c>
    </row>
    <row r="33" spans="3:24" ht="35.4" thickBot="1" x14ac:dyDescent="0.3">
      <c r="C33" s="4" t="s">
        <v>95</v>
      </c>
      <c r="D33" s="14" t="s">
        <v>29</v>
      </c>
      <c r="E33" s="14" t="s">
        <v>89</v>
      </c>
      <c r="F33" s="192">
        <v>59.9</v>
      </c>
      <c r="G33" s="192">
        <v>56.37</v>
      </c>
      <c r="H33" s="192">
        <v>52.44</v>
      </c>
      <c r="I33" s="192">
        <v>50.19</v>
      </c>
      <c r="J33" s="192">
        <v>44.69</v>
      </c>
      <c r="K33" s="192">
        <v>41.76</v>
      </c>
      <c r="L33" s="192">
        <v>47.77</v>
      </c>
      <c r="M33" s="192">
        <v>35.380000000000003</v>
      </c>
      <c r="N33" s="192">
        <v>33.700000000000003</v>
      </c>
    </row>
    <row r="34" spans="3:24" x14ac:dyDescent="0.25">
      <c r="C34" s="20" t="s">
        <v>90</v>
      </c>
      <c r="D34" s="2"/>
      <c r="E34" s="2"/>
      <c r="F34" s="1"/>
      <c r="G34" s="1"/>
      <c r="H34" s="1"/>
      <c r="I34" s="1"/>
      <c r="J34" s="1"/>
      <c r="K34" s="1"/>
      <c r="L34" s="1"/>
      <c r="M34" s="1"/>
      <c r="N34" s="1"/>
    </row>
    <row r="35" spans="3:24" x14ac:dyDescent="0.25">
      <c r="C35" t="s">
        <v>91</v>
      </c>
      <c r="D35" s="2"/>
      <c r="E35" s="2"/>
      <c r="F35" s="1"/>
      <c r="G35" s="1"/>
      <c r="H35" s="1"/>
      <c r="I35" s="1"/>
      <c r="J35" s="1"/>
      <c r="K35" s="1"/>
      <c r="L35" s="1"/>
      <c r="M35" s="1"/>
      <c r="N35" s="1"/>
    </row>
    <row r="36" spans="3:24" x14ac:dyDescent="0.25">
      <c r="C36" t="s">
        <v>92</v>
      </c>
      <c r="D36" s="2"/>
      <c r="E36" s="2"/>
      <c r="F36" s="1"/>
      <c r="G36" s="1"/>
      <c r="H36" s="1"/>
      <c r="I36" s="1"/>
      <c r="J36" s="1"/>
      <c r="K36" s="1"/>
      <c r="L36" s="1"/>
      <c r="M36" s="1"/>
      <c r="N36" s="1"/>
    </row>
    <row r="37" spans="3:24" x14ac:dyDescent="0.25">
      <c r="C37" t="s">
        <v>93</v>
      </c>
      <c r="D37" s="2"/>
      <c r="E37" s="2"/>
      <c r="F37" s="1"/>
      <c r="G37" s="1"/>
      <c r="H37" s="1"/>
      <c r="I37" s="1"/>
      <c r="J37" s="1"/>
      <c r="K37" s="1"/>
      <c r="L37" s="1"/>
      <c r="M37" s="1"/>
      <c r="N37" s="1"/>
    </row>
    <row r="40" spans="3:24" ht="13.8" thickBot="1" x14ac:dyDescent="0.3">
      <c r="E40" s="164"/>
      <c r="F40" s="192">
        <v>352.69</v>
      </c>
      <c r="G40" s="192">
        <v>340.81</v>
      </c>
      <c r="H40" s="192">
        <v>332.79</v>
      </c>
      <c r="I40" s="192">
        <v>320.17</v>
      </c>
      <c r="J40" s="192">
        <v>301.22000000000003</v>
      </c>
      <c r="K40" s="192">
        <v>291.89999999999998</v>
      </c>
      <c r="L40" s="192">
        <v>310.39999999999998</v>
      </c>
      <c r="M40" s="192">
        <v>279.32</v>
      </c>
      <c r="N40" s="192">
        <v>270.43</v>
      </c>
      <c r="P40" s="192">
        <v>352.68912000000006</v>
      </c>
      <c r="Q40" s="192">
        <v>340.81152000000009</v>
      </c>
      <c r="R40" s="192">
        <v>332.79120000000012</v>
      </c>
      <c r="S40" s="192">
        <v>320.17272000000008</v>
      </c>
      <c r="T40" s="192">
        <v>301.21560000000011</v>
      </c>
      <c r="U40" s="192">
        <v>291.90168000000006</v>
      </c>
      <c r="V40" s="192">
        <v>310.40015999999997</v>
      </c>
      <c r="W40" s="192">
        <v>279.31847999999997</v>
      </c>
      <c r="X40" s="192">
        <v>270.42791999999997</v>
      </c>
    </row>
    <row r="41" spans="3:24" ht="13.8" thickBot="1" x14ac:dyDescent="0.3">
      <c r="E41" s="164"/>
      <c r="F41" s="192">
        <v>322.76</v>
      </c>
      <c r="G41" s="192">
        <v>310.88</v>
      </c>
      <c r="H41" s="192">
        <v>302.86</v>
      </c>
      <c r="I41" s="192">
        <v>290.24</v>
      </c>
      <c r="J41" s="192">
        <v>271.29000000000002</v>
      </c>
      <c r="K41" s="192">
        <v>261.97000000000003</v>
      </c>
      <c r="L41" s="192">
        <v>280.47000000000003</v>
      </c>
      <c r="M41" s="192">
        <v>249.39</v>
      </c>
      <c r="N41" s="192">
        <v>240.5</v>
      </c>
      <c r="P41" s="192">
        <v>322.75992000000008</v>
      </c>
      <c r="Q41" s="192">
        <v>310.88232000000011</v>
      </c>
      <c r="R41" s="192">
        <v>302.86200000000008</v>
      </c>
      <c r="S41" s="192">
        <v>290.2435200000001</v>
      </c>
      <c r="T41" s="192">
        <v>271.28640000000007</v>
      </c>
      <c r="U41" s="192">
        <v>261.97248000000002</v>
      </c>
      <c r="V41" s="192">
        <v>280.47096000000005</v>
      </c>
      <c r="W41" s="192">
        <v>249.38928000000001</v>
      </c>
      <c r="X41" s="192">
        <v>240.49871999999999</v>
      </c>
    </row>
    <row r="42" spans="3:24" ht="13.8" thickBot="1" x14ac:dyDescent="0.3">
      <c r="E42" s="164"/>
      <c r="F42" s="192">
        <v>283.43</v>
      </c>
      <c r="G42" s="192">
        <v>275.02</v>
      </c>
      <c r="H42" s="192">
        <v>267.2</v>
      </c>
      <c r="I42" s="192">
        <v>258.14</v>
      </c>
      <c r="J42" s="192">
        <v>242.09</v>
      </c>
      <c r="K42" s="192">
        <v>235.19</v>
      </c>
      <c r="L42" s="192">
        <v>248.87</v>
      </c>
      <c r="M42" s="192">
        <v>220.05</v>
      </c>
      <c r="N42" s="192">
        <v>212.93</v>
      </c>
      <c r="P42" s="192">
        <v>283.43196</v>
      </c>
      <c r="Q42" s="192">
        <v>275.02356000000003</v>
      </c>
      <c r="R42" s="192">
        <v>267.20483999999999</v>
      </c>
      <c r="S42" s="192">
        <v>258.14124000000004</v>
      </c>
      <c r="T42" s="192">
        <v>242.08884</v>
      </c>
      <c r="U42" s="192">
        <v>235.1874</v>
      </c>
      <c r="V42" s="192">
        <v>248.87016</v>
      </c>
      <c r="W42" s="192">
        <v>220.05228</v>
      </c>
      <c r="X42" s="192">
        <v>212.93244000000001</v>
      </c>
    </row>
    <row r="43" spans="3:24" ht="13.8" thickBot="1" x14ac:dyDescent="0.3">
      <c r="E43" s="164"/>
      <c r="F43" s="192">
        <v>282.38</v>
      </c>
      <c r="G43" s="192">
        <v>273.97000000000003</v>
      </c>
      <c r="H43" s="192">
        <v>265.10000000000002</v>
      </c>
      <c r="I43" s="192">
        <v>257.08999999999997</v>
      </c>
      <c r="J43" s="192">
        <v>239.99</v>
      </c>
      <c r="K43" s="192">
        <v>234.14</v>
      </c>
      <c r="L43" s="192">
        <v>247.82</v>
      </c>
      <c r="M43" s="192">
        <v>217.95</v>
      </c>
      <c r="N43" s="192">
        <v>211.88</v>
      </c>
      <c r="P43" s="192">
        <v>282.38196000000005</v>
      </c>
      <c r="Q43" s="192">
        <v>273.97356000000002</v>
      </c>
      <c r="R43" s="192">
        <v>265.10484000000002</v>
      </c>
      <c r="S43" s="192">
        <v>257.09124000000003</v>
      </c>
      <c r="T43" s="192">
        <v>239.98884000000001</v>
      </c>
      <c r="U43" s="192">
        <v>234.13740000000001</v>
      </c>
      <c r="V43" s="192">
        <v>247.82015999999999</v>
      </c>
      <c r="W43" s="192">
        <v>217.95228</v>
      </c>
      <c r="X43" s="192">
        <v>211.88244</v>
      </c>
    </row>
    <row r="44" spans="3:24" ht="13.8" thickBot="1" x14ac:dyDescent="0.3">
      <c r="E44" s="164"/>
      <c r="F44" s="192">
        <v>327.47000000000003</v>
      </c>
      <c r="G44" s="192">
        <v>315.58999999999997</v>
      </c>
      <c r="H44" s="192">
        <v>307.57</v>
      </c>
      <c r="I44" s="192">
        <v>294.95999999999998</v>
      </c>
      <c r="J44" s="192">
        <v>276.47000000000003</v>
      </c>
      <c r="K44" s="192">
        <v>267.16000000000003</v>
      </c>
      <c r="L44" s="192">
        <v>285.18</v>
      </c>
      <c r="M44" s="192">
        <v>254.57</v>
      </c>
      <c r="N44" s="192">
        <v>245.68</v>
      </c>
      <c r="P44" s="192">
        <v>327.47232000000002</v>
      </c>
      <c r="Q44" s="192">
        <v>315.59472000000005</v>
      </c>
      <c r="R44" s="192">
        <v>307.57440000000003</v>
      </c>
      <c r="S44" s="192">
        <v>294.95592000000005</v>
      </c>
      <c r="T44" s="192">
        <v>276.46920000000011</v>
      </c>
      <c r="U44" s="192">
        <v>267.15528</v>
      </c>
      <c r="V44" s="192">
        <v>285.18336000000005</v>
      </c>
      <c r="W44" s="192">
        <v>254.57208000000003</v>
      </c>
      <c r="X44" s="192">
        <v>245.68152000000003</v>
      </c>
    </row>
    <row r="45" spans="3:24" ht="13.8" thickBot="1" x14ac:dyDescent="0.3">
      <c r="E45" s="164"/>
      <c r="F45" s="192">
        <v>279.37</v>
      </c>
      <c r="G45" s="192">
        <v>267.5</v>
      </c>
      <c r="H45" s="192">
        <v>258.43</v>
      </c>
      <c r="I45" s="192">
        <v>246.86</v>
      </c>
      <c r="J45" s="192">
        <v>227.14</v>
      </c>
      <c r="K45" s="192">
        <v>218.88</v>
      </c>
      <c r="L45" s="192">
        <v>237.08</v>
      </c>
      <c r="M45" s="192">
        <v>205.25</v>
      </c>
      <c r="N45" s="192">
        <v>197.41</v>
      </c>
      <c r="P45" s="192">
        <v>279.37392</v>
      </c>
      <c r="Q45" s="192">
        <v>267.49632000000003</v>
      </c>
      <c r="R45" s="192">
        <v>258.42599999999999</v>
      </c>
      <c r="S45" s="192">
        <v>246.85752000000005</v>
      </c>
      <c r="T45" s="192">
        <v>227.14440000000005</v>
      </c>
      <c r="U45" s="192">
        <v>218.88048000000003</v>
      </c>
      <c r="V45" s="192">
        <v>237.08496</v>
      </c>
      <c r="W45" s="192">
        <v>205.24727999999999</v>
      </c>
      <c r="X45" s="192">
        <v>197.40672000000004</v>
      </c>
    </row>
    <row r="46" spans="3:24" ht="13.8" thickBot="1" x14ac:dyDescent="0.3">
      <c r="E46" s="164"/>
      <c r="F46" s="192">
        <v>321.70999999999998</v>
      </c>
      <c r="G46" s="192">
        <v>309.83</v>
      </c>
      <c r="H46" s="192">
        <v>300.76</v>
      </c>
      <c r="I46" s="192">
        <v>289.19</v>
      </c>
      <c r="J46" s="192">
        <v>269.19</v>
      </c>
      <c r="K46" s="192">
        <v>260.92</v>
      </c>
      <c r="L46" s="192">
        <v>279.42</v>
      </c>
      <c r="M46" s="192">
        <v>247.29</v>
      </c>
      <c r="N46" s="192">
        <v>239.45</v>
      </c>
      <c r="P46" s="192">
        <v>321.70992000000007</v>
      </c>
      <c r="Q46" s="192">
        <v>309.8323200000001</v>
      </c>
      <c r="R46" s="192">
        <v>300.76200000000006</v>
      </c>
      <c r="S46" s="192">
        <v>289.19352000000009</v>
      </c>
      <c r="T46" s="192">
        <v>269.18640000000005</v>
      </c>
      <c r="U46" s="192">
        <v>260.92248000000006</v>
      </c>
      <c r="V46" s="192">
        <v>279.42096000000004</v>
      </c>
      <c r="W46" s="192">
        <v>247.28928000000002</v>
      </c>
      <c r="X46" s="192">
        <v>239.44871999999998</v>
      </c>
    </row>
    <row r="47" spans="3:24" ht="13.8" thickBot="1" x14ac:dyDescent="0.3">
      <c r="E47" s="164"/>
      <c r="F47" s="192">
        <v>273.72000000000003</v>
      </c>
      <c r="G47" s="192">
        <v>263.69</v>
      </c>
      <c r="H47" s="192">
        <v>253.95</v>
      </c>
      <c r="I47" s="192">
        <v>243.24</v>
      </c>
      <c r="J47" s="192">
        <v>221.54</v>
      </c>
      <c r="K47" s="192">
        <v>212.86</v>
      </c>
      <c r="L47" s="192">
        <v>233.69</v>
      </c>
      <c r="M47" s="192">
        <v>195.52</v>
      </c>
      <c r="N47" s="192">
        <v>186.7</v>
      </c>
      <c r="P47" s="192">
        <v>273.72030000000007</v>
      </c>
      <c r="Q47" s="192">
        <v>263.68755000000004</v>
      </c>
      <c r="R47" s="192">
        <v>253.95247500000005</v>
      </c>
      <c r="S47" s="192">
        <v>243.23617500000006</v>
      </c>
      <c r="T47" s="192">
        <v>221.53635</v>
      </c>
      <c r="U47" s="192">
        <v>212.8623</v>
      </c>
      <c r="V47" s="192">
        <v>233.68852500000003</v>
      </c>
      <c r="W47" s="192">
        <v>195.51735000000002</v>
      </c>
      <c r="X47" s="192">
        <v>186.69997500000002</v>
      </c>
    </row>
    <row r="48" spans="3:24" ht="13.8" thickBot="1" x14ac:dyDescent="0.3">
      <c r="E48" s="164"/>
      <c r="F48" s="192">
        <v>287.13</v>
      </c>
      <c r="G48" s="192">
        <v>277.16000000000003</v>
      </c>
      <c r="H48" s="192">
        <v>268.39999999999998</v>
      </c>
      <c r="I48" s="192">
        <v>257.29000000000002</v>
      </c>
      <c r="J48" s="192">
        <v>240.12</v>
      </c>
      <c r="K48" s="192">
        <v>227.85</v>
      </c>
      <c r="L48" s="192">
        <v>248.44</v>
      </c>
      <c r="M48" s="192">
        <v>210.38</v>
      </c>
      <c r="N48" s="192">
        <v>203.63</v>
      </c>
      <c r="P48" s="192">
        <v>287.13299999999998</v>
      </c>
      <c r="Q48" s="192">
        <v>277.15800000000002</v>
      </c>
      <c r="R48" s="192">
        <v>268.39994999999999</v>
      </c>
      <c r="S48" s="192">
        <v>257.2878</v>
      </c>
      <c r="T48" s="192">
        <v>240.120825</v>
      </c>
      <c r="U48" s="192">
        <v>227.85157499999997</v>
      </c>
      <c r="V48" s="192">
        <v>248.43997499999998</v>
      </c>
      <c r="W48" s="192">
        <v>210.37537499999999</v>
      </c>
      <c r="X48" s="192">
        <v>203.63227499999999</v>
      </c>
    </row>
    <row r="49" spans="5:24" ht="13.8" thickBot="1" x14ac:dyDescent="0.3">
      <c r="E49" s="164"/>
      <c r="F49" s="192">
        <v>168.21</v>
      </c>
      <c r="G49" s="192">
        <v>160.41999999999999</v>
      </c>
      <c r="H49" s="192">
        <v>150.51</v>
      </c>
      <c r="I49" s="192">
        <v>145.57</v>
      </c>
      <c r="J49" s="192">
        <v>129.72999999999999</v>
      </c>
      <c r="K49" s="192">
        <v>123.28</v>
      </c>
      <c r="L49" s="192">
        <v>139.11000000000001</v>
      </c>
      <c r="M49" s="192">
        <v>107.56</v>
      </c>
      <c r="N49" s="192">
        <v>100.73</v>
      </c>
      <c r="P49" s="192">
        <v>168.21146999999999</v>
      </c>
      <c r="Q49" s="192">
        <v>160.42046999999997</v>
      </c>
      <c r="R49" s="192">
        <v>150.51098999999999</v>
      </c>
      <c r="S49" s="192">
        <v>145.57304999999999</v>
      </c>
      <c r="T49" s="192">
        <v>129.73128000000003</v>
      </c>
      <c r="U49" s="192">
        <v>123.27966000000002</v>
      </c>
      <c r="V49" s="192">
        <v>139.10651999999999</v>
      </c>
      <c r="W49" s="192">
        <v>107.56032</v>
      </c>
      <c r="X49" s="192">
        <v>100.73028000000002</v>
      </c>
    </row>
    <row r="50" spans="5:24" ht="13.8" thickBot="1" x14ac:dyDescent="0.3">
      <c r="E50" s="164"/>
      <c r="F50" s="192">
        <v>167.16</v>
      </c>
      <c r="G50" s="192">
        <v>159.37</v>
      </c>
      <c r="H50" s="192">
        <v>150.51</v>
      </c>
      <c r="I50" s="192">
        <v>144.52000000000001</v>
      </c>
      <c r="J50" s="192">
        <v>129.72999999999999</v>
      </c>
      <c r="K50" s="192">
        <v>122.23</v>
      </c>
      <c r="L50" s="192">
        <v>138.06</v>
      </c>
      <c r="M50" s="192">
        <v>107.56</v>
      </c>
      <c r="N50" s="192">
        <v>99.68</v>
      </c>
      <c r="P50" s="192">
        <v>167.16146999999998</v>
      </c>
      <c r="Q50" s="192">
        <v>159.37046999999995</v>
      </c>
      <c r="R50" s="192">
        <v>150.51098999999999</v>
      </c>
      <c r="S50" s="192">
        <v>144.52304999999998</v>
      </c>
      <c r="T50" s="192">
        <v>129.73128000000003</v>
      </c>
      <c r="U50" s="192">
        <v>122.22966000000002</v>
      </c>
      <c r="V50" s="192">
        <v>138.05651999999998</v>
      </c>
      <c r="W50" s="192">
        <v>107.56032</v>
      </c>
      <c r="X50" s="192">
        <v>99.68028000000001</v>
      </c>
    </row>
    <row r="51" spans="5:24" ht="13.8" thickBot="1" x14ac:dyDescent="0.3">
      <c r="E51" s="164"/>
      <c r="F51" s="192">
        <v>156.93</v>
      </c>
      <c r="G51" s="192">
        <v>149.13999999999999</v>
      </c>
      <c r="H51" s="192">
        <v>140.28</v>
      </c>
      <c r="I51" s="192">
        <v>134.29</v>
      </c>
      <c r="J51" s="192">
        <v>119.82</v>
      </c>
      <c r="K51" s="192">
        <v>112.32</v>
      </c>
      <c r="L51" s="192">
        <v>127.82</v>
      </c>
      <c r="M51" s="192">
        <v>97.65</v>
      </c>
      <c r="N51" s="193" t="s">
        <v>141</v>
      </c>
      <c r="P51" s="192">
        <v>156.92943</v>
      </c>
      <c r="Q51" s="192">
        <v>149.13843</v>
      </c>
      <c r="R51" s="192">
        <v>140.27895000000004</v>
      </c>
      <c r="S51" s="192">
        <v>134.29101000000006</v>
      </c>
      <c r="T51" s="192">
        <v>119.82201000000001</v>
      </c>
      <c r="U51" s="192">
        <v>112.32039000000002</v>
      </c>
      <c r="V51" s="192">
        <v>127.82448000000001</v>
      </c>
      <c r="W51" s="192">
        <v>97.651050000000026</v>
      </c>
      <c r="X51" s="193" t="s">
        <v>141</v>
      </c>
    </row>
    <row r="52" spans="5:24" ht="13.8" thickBot="1" x14ac:dyDescent="0.3">
      <c r="E52" s="164"/>
      <c r="F52" s="192">
        <v>156.93</v>
      </c>
      <c r="G52" s="192">
        <v>149.13999999999999</v>
      </c>
      <c r="H52" s="192">
        <v>140.28</v>
      </c>
      <c r="I52" s="192">
        <v>134.29</v>
      </c>
      <c r="J52" s="192">
        <v>119.82</v>
      </c>
      <c r="K52" s="192">
        <v>112.32</v>
      </c>
      <c r="L52" s="192">
        <v>127.82</v>
      </c>
      <c r="M52" s="192">
        <v>97.65</v>
      </c>
      <c r="N52" s="192">
        <v>89.77</v>
      </c>
      <c r="P52" s="192">
        <v>156.92943</v>
      </c>
      <c r="Q52" s="192">
        <v>149.13843</v>
      </c>
      <c r="R52" s="192">
        <v>140.27895000000004</v>
      </c>
      <c r="S52" s="192">
        <v>134.29101000000006</v>
      </c>
      <c r="T52" s="192">
        <v>119.82201000000001</v>
      </c>
      <c r="U52" s="192">
        <v>112.32039000000002</v>
      </c>
      <c r="V52" s="192">
        <v>127.82448000000001</v>
      </c>
      <c r="W52" s="192">
        <v>97.651050000000026</v>
      </c>
      <c r="X52" s="192">
        <v>89.771010000000004</v>
      </c>
    </row>
    <row r="53" spans="5:24" ht="13.8" thickBot="1" x14ac:dyDescent="0.3">
      <c r="E53" s="164"/>
      <c r="F53" s="192">
        <v>273.72000000000003</v>
      </c>
      <c r="G53" s="192">
        <v>263.69</v>
      </c>
      <c r="H53" s="192">
        <v>253.95</v>
      </c>
      <c r="I53" s="192">
        <v>243.24</v>
      </c>
      <c r="J53" s="192">
        <v>221.54</v>
      </c>
      <c r="K53" s="192">
        <v>212.86</v>
      </c>
      <c r="L53" s="192">
        <v>233.69</v>
      </c>
      <c r="M53" s="192">
        <v>195.52</v>
      </c>
      <c r="N53" s="192">
        <v>186.7</v>
      </c>
      <c r="P53" s="192">
        <v>273.72030000000007</v>
      </c>
      <c r="Q53" s="192">
        <v>263.68755000000004</v>
      </c>
      <c r="R53" s="192">
        <v>253.95247500000005</v>
      </c>
      <c r="S53" s="192">
        <v>243.23617500000006</v>
      </c>
      <c r="T53" s="192">
        <v>221.53635</v>
      </c>
      <c r="U53" s="192">
        <v>212.8623</v>
      </c>
      <c r="V53" s="192">
        <v>233.68852500000003</v>
      </c>
      <c r="W53" s="192">
        <v>195.51735000000002</v>
      </c>
      <c r="X53" s="192">
        <v>186.69997500000002</v>
      </c>
    </row>
    <row r="54" spans="5:24" ht="13.8" thickBot="1" x14ac:dyDescent="0.3">
      <c r="E54" s="164"/>
      <c r="F54" s="192">
        <v>275.33</v>
      </c>
      <c r="G54" s="192">
        <v>265.60000000000002</v>
      </c>
      <c r="H54" s="192">
        <v>256.52999999999997</v>
      </c>
      <c r="I54" s="192">
        <v>247.46</v>
      </c>
      <c r="J54" s="192">
        <v>226.19</v>
      </c>
      <c r="K54" s="192">
        <v>219.94</v>
      </c>
      <c r="L54" s="192">
        <v>247.5</v>
      </c>
      <c r="M54" s="192">
        <v>203.51</v>
      </c>
      <c r="N54" s="192">
        <v>197.12</v>
      </c>
      <c r="P54" s="192">
        <v>275.32847999999996</v>
      </c>
      <c r="Q54" s="192">
        <v>265.60127999999997</v>
      </c>
      <c r="R54" s="192">
        <v>256.52927999999997</v>
      </c>
      <c r="S54" s="192">
        <v>247.45728</v>
      </c>
      <c r="T54" s="192">
        <v>226.18848</v>
      </c>
      <c r="U54" s="192">
        <v>219.93887999999995</v>
      </c>
      <c r="V54" s="192">
        <v>247.49759999999998</v>
      </c>
      <c r="W54" s="192">
        <v>203.50848000000002</v>
      </c>
      <c r="X54" s="192">
        <v>197.11776</v>
      </c>
    </row>
    <row r="55" spans="5:24" ht="13.8" thickBot="1" x14ac:dyDescent="0.3">
      <c r="E55" s="164"/>
      <c r="F55" s="192">
        <v>455.86</v>
      </c>
      <c r="G55" s="192">
        <v>445.82</v>
      </c>
      <c r="H55" s="192">
        <v>436.09</v>
      </c>
      <c r="I55" s="192">
        <v>425.37</v>
      </c>
      <c r="J55" s="192">
        <v>402.52</v>
      </c>
      <c r="K55" s="193" t="s">
        <v>141</v>
      </c>
      <c r="L55" s="192">
        <v>415.82</v>
      </c>
      <c r="M55" s="192">
        <v>376.5</v>
      </c>
      <c r="N55" s="193" t="s">
        <v>141</v>
      </c>
      <c r="P55" s="192">
        <v>455.85592500000001</v>
      </c>
      <c r="Q55" s="192">
        <v>445.82317500000011</v>
      </c>
      <c r="R55" s="192">
        <v>436.08810000000005</v>
      </c>
      <c r="S55" s="192">
        <v>425.37180000000006</v>
      </c>
      <c r="T55" s="192">
        <v>402.51697500000006</v>
      </c>
      <c r="U55" s="193" t="s">
        <v>141</v>
      </c>
      <c r="V55" s="192">
        <v>415.82415000000003</v>
      </c>
      <c r="W55" s="192">
        <v>376.49797500000005</v>
      </c>
      <c r="X55" s="193" t="s">
        <v>141</v>
      </c>
    </row>
    <row r="56" spans="5:24" ht="13.8" thickBot="1" x14ac:dyDescent="0.3">
      <c r="E56" s="164"/>
      <c r="F56" s="192">
        <v>317.11</v>
      </c>
      <c r="G56" s="192">
        <v>307.07</v>
      </c>
      <c r="H56" s="192">
        <v>297.33999999999997</v>
      </c>
      <c r="I56" s="192">
        <v>286.62</v>
      </c>
      <c r="J56" s="192">
        <v>266.52</v>
      </c>
      <c r="K56" s="193" t="s">
        <v>141</v>
      </c>
      <c r="L56" s="192">
        <v>277.07</v>
      </c>
      <c r="M56" s="192">
        <v>240.5</v>
      </c>
      <c r="N56" s="193" t="s">
        <v>141</v>
      </c>
      <c r="P56" s="192">
        <v>317.10630000000003</v>
      </c>
      <c r="Q56" s="192">
        <v>307.07355000000007</v>
      </c>
      <c r="R56" s="192">
        <v>297.33847500000002</v>
      </c>
      <c r="S56" s="192">
        <v>286.62217500000003</v>
      </c>
      <c r="T56" s="192">
        <v>266.52360000000004</v>
      </c>
      <c r="U56" s="193" t="s">
        <v>141</v>
      </c>
      <c r="V56" s="192">
        <v>277.07452500000005</v>
      </c>
      <c r="W56" s="192">
        <v>240.50460000000004</v>
      </c>
      <c r="X56" s="193" t="s">
        <v>141</v>
      </c>
    </row>
    <row r="57" spans="5:24" ht="13.8" thickBot="1" x14ac:dyDescent="0.3">
      <c r="E57" s="164"/>
      <c r="F57" s="192">
        <v>310.64999999999998</v>
      </c>
      <c r="G57" s="192">
        <v>300.62</v>
      </c>
      <c r="H57" s="192">
        <v>290.89</v>
      </c>
      <c r="I57" s="192">
        <v>280.17</v>
      </c>
      <c r="J57" s="192">
        <v>260.35000000000002</v>
      </c>
      <c r="K57" s="192">
        <v>250.62</v>
      </c>
      <c r="L57" s="192">
        <v>270.62</v>
      </c>
      <c r="M57" s="192">
        <v>234.33</v>
      </c>
      <c r="N57" s="192">
        <v>223.41</v>
      </c>
      <c r="P57" s="192">
        <v>310.65404999999998</v>
      </c>
      <c r="Q57" s="192">
        <v>300.62130000000008</v>
      </c>
      <c r="R57" s="192">
        <v>290.88622499999997</v>
      </c>
      <c r="S57" s="192">
        <v>280.16992500000003</v>
      </c>
      <c r="T57" s="192">
        <v>260.34697499999999</v>
      </c>
      <c r="U57" s="192">
        <v>250.62292500000001</v>
      </c>
      <c r="V57" s="192">
        <v>270.62227500000006</v>
      </c>
      <c r="W57" s="192">
        <v>234.32797500000001</v>
      </c>
      <c r="X57" s="192">
        <v>223.41060000000002</v>
      </c>
    </row>
    <row r="58" spans="5:24" ht="13.8" thickBot="1" x14ac:dyDescent="0.3">
      <c r="E58" s="164"/>
      <c r="F58" s="192">
        <v>275.33</v>
      </c>
      <c r="G58" s="192">
        <v>265.60000000000002</v>
      </c>
      <c r="H58" s="192">
        <v>256.52999999999997</v>
      </c>
      <c r="I58" s="192">
        <v>247.46</v>
      </c>
      <c r="J58" s="192">
        <v>226.19</v>
      </c>
      <c r="K58" s="192">
        <v>219.94</v>
      </c>
      <c r="L58" s="192">
        <v>247.5</v>
      </c>
      <c r="M58" s="192">
        <v>203.51</v>
      </c>
      <c r="N58" s="192">
        <v>197.12</v>
      </c>
      <c r="P58" s="192">
        <v>275.32847999999996</v>
      </c>
      <c r="Q58" s="192">
        <v>265.60127999999997</v>
      </c>
      <c r="R58" s="192">
        <v>256.52927999999997</v>
      </c>
      <c r="S58" s="192">
        <v>247.45728</v>
      </c>
      <c r="T58" s="192">
        <v>226.18848</v>
      </c>
      <c r="U58" s="192">
        <v>219.93887999999995</v>
      </c>
      <c r="V58" s="192">
        <v>247.49759999999998</v>
      </c>
      <c r="W58" s="192">
        <v>203.50848000000002</v>
      </c>
      <c r="X58" s="192">
        <v>197.11776</v>
      </c>
    </row>
    <row r="59" spans="5:24" ht="13.8" thickBot="1" x14ac:dyDescent="0.3">
      <c r="E59" s="164"/>
      <c r="F59" s="192">
        <v>211.43</v>
      </c>
      <c r="G59" s="192">
        <v>203.03</v>
      </c>
      <c r="H59" s="192">
        <v>194.16</v>
      </c>
      <c r="I59" s="192">
        <v>186.14</v>
      </c>
      <c r="J59" s="192">
        <v>169.81</v>
      </c>
      <c r="K59" s="192">
        <v>163.95</v>
      </c>
      <c r="L59" s="192">
        <v>176.87</v>
      </c>
      <c r="M59" s="192">
        <v>147.77000000000001</v>
      </c>
      <c r="N59" s="192">
        <v>141.69999999999999</v>
      </c>
      <c r="P59" s="192">
        <v>211.43472</v>
      </c>
      <c r="Q59" s="192">
        <v>203.02632</v>
      </c>
      <c r="R59" s="192">
        <v>194.1576</v>
      </c>
      <c r="S59" s="192">
        <v>186.14400000000001</v>
      </c>
      <c r="T59" s="192">
        <v>169.80599999999998</v>
      </c>
      <c r="U59" s="192">
        <v>163.95455999999999</v>
      </c>
      <c r="V59" s="192">
        <v>176.87291999999999</v>
      </c>
      <c r="W59" s="192">
        <v>147.76944000000003</v>
      </c>
      <c r="X59" s="192">
        <v>141.69960000000003</v>
      </c>
    </row>
    <row r="60" spans="5:24" ht="13.8" thickBot="1" x14ac:dyDescent="0.3">
      <c r="E60" s="164"/>
      <c r="F60" s="192">
        <v>277.91000000000003</v>
      </c>
      <c r="G60" s="192">
        <v>268.18</v>
      </c>
      <c r="H60" s="192">
        <v>259.11</v>
      </c>
      <c r="I60" s="192">
        <v>250.04</v>
      </c>
      <c r="J60" s="192">
        <v>229.27</v>
      </c>
      <c r="K60" s="192">
        <v>223.02</v>
      </c>
      <c r="L60" s="192">
        <v>250.08</v>
      </c>
      <c r="M60" s="192">
        <v>206.59</v>
      </c>
      <c r="N60" s="192">
        <v>200.2</v>
      </c>
      <c r="P60" s="192">
        <v>277.90727999999996</v>
      </c>
      <c r="Q60" s="192">
        <v>268.18007999999998</v>
      </c>
      <c r="R60" s="192">
        <v>259.10807999999997</v>
      </c>
      <c r="S60" s="192">
        <v>250.03608000000003</v>
      </c>
      <c r="T60" s="192">
        <v>229.27128000000005</v>
      </c>
      <c r="U60" s="192">
        <v>223.02167999999998</v>
      </c>
      <c r="V60" s="192">
        <v>250.07639999999998</v>
      </c>
      <c r="W60" s="192">
        <v>206.59127999999998</v>
      </c>
      <c r="X60" s="192">
        <v>200.20056</v>
      </c>
    </row>
    <row r="61" spans="5:24" ht="13.8" thickBot="1" x14ac:dyDescent="0.3">
      <c r="E61" s="164"/>
      <c r="F61" s="192">
        <v>232.39</v>
      </c>
      <c r="G61" s="192">
        <v>222.66</v>
      </c>
      <c r="H61" s="192">
        <v>213.59</v>
      </c>
      <c r="I61" s="192">
        <v>204.52</v>
      </c>
      <c r="J61" s="192">
        <v>184.76</v>
      </c>
      <c r="K61" s="192">
        <v>178.51</v>
      </c>
      <c r="L61" s="192">
        <v>204.56</v>
      </c>
      <c r="M61" s="192">
        <v>162.08000000000001</v>
      </c>
      <c r="N61" s="192">
        <v>155.69</v>
      </c>
      <c r="P61" s="192">
        <v>232.38767999999999</v>
      </c>
      <c r="Q61" s="192">
        <v>222.66048000000001</v>
      </c>
      <c r="R61" s="192">
        <v>213.58848000000003</v>
      </c>
      <c r="S61" s="192">
        <v>204.51648000000006</v>
      </c>
      <c r="T61" s="192">
        <v>184.75968</v>
      </c>
      <c r="U61" s="192">
        <v>178.51007999999999</v>
      </c>
      <c r="V61" s="192">
        <v>204.55679999999998</v>
      </c>
      <c r="W61" s="192">
        <v>162.07968000000002</v>
      </c>
      <c r="X61" s="192">
        <v>155.68896000000001</v>
      </c>
    </row>
    <row r="62" spans="5:24" ht="13.8" thickBot="1" x14ac:dyDescent="0.3">
      <c r="E62" s="164"/>
      <c r="F62" s="192">
        <v>220.09</v>
      </c>
      <c r="G62" s="192">
        <v>213.93</v>
      </c>
      <c r="H62" s="192">
        <v>208.88</v>
      </c>
      <c r="I62" s="192">
        <v>204.87</v>
      </c>
      <c r="J62" s="192">
        <v>197.83</v>
      </c>
      <c r="K62" s="192">
        <v>190.52</v>
      </c>
      <c r="L62" s="192">
        <v>201.36</v>
      </c>
      <c r="M62" s="192">
        <v>184.65</v>
      </c>
      <c r="N62" s="192">
        <v>173.95</v>
      </c>
      <c r="P62" s="192">
        <v>220.08766500000002</v>
      </c>
      <c r="Q62" s="192">
        <v>213.92574000000002</v>
      </c>
      <c r="R62" s="192">
        <v>208.88416499999997</v>
      </c>
      <c r="S62" s="192">
        <v>204.87127499999997</v>
      </c>
      <c r="T62" s="192">
        <v>197.83344000000002</v>
      </c>
      <c r="U62" s="192">
        <v>190.52060999999998</v>
      </c>
      <c r="V62" s="192">
        <v>201.35745</v>
      </c>
      <c r="W62" s="192">
        <v>184.65404999999998</v>
      </c>
      <c r="X62" s="192">
        <v>173.94961499999999</v>
      </c>
    </row>
    <row r="63" spans="5:24" ht="13.8" thickBot="1" x14ac:dyDescent="0.3">
      <c r="E63" s="164"/>
      <c r="F63" s="192">
        <v>275.33</v>
      </c>
      <c r="G63" s="192">
        <v>265.60000000000002</v>
      </c>
      <c r="H63" s="192">
        <v>256.52999999999997</v>
      </c>
      <c r="I63" s="192">
        <v>247.46</v>
      </c>
      <c r="J63" s="192">
        <v>226.19</v>
      </c>
      <c r="K63" s="192">
        <v>219.94</v>
      </c>
      <c r="L63" s="192">
        <v>247.5</v>
      </c>
      <c r="M63" s="192">
        <v>203.51</v>
      </c>
      <c r="N63" s="192">
        <v>197.12</v>
      </c>
      <c r="P63" s="192">
        <v>275.32847999999996</v>
      </c>
      <c r="Q63" s="192">
        <v>265.60127999999997</v>
      </c>
      <c r="R63" s="192">
        <v>256.52927999999997</v>
      </c>
      <c r="S63" s="192">
        <v>247.45728</v>
      </c>
      <c r="T63" s="192">
        <v>226.18848</v>
      </c>
      <c r="U63" s="192">
        <v>219.93887999999995</v>
      </c>
      <c r="V63" s="192">
        <v>247.49759999999998</v>
      </c>
      <c r="W63" s="192">
        <v>203.50848000000002</v>
      </c>
      <c r="X63" s="192">
        <v>197.11776</v>
      </c>
    </row>
    <row r="64" spans="5:24" ht="13.8" thickBot="1" x14ac:dyDescent="0.3">
      <c r="E64" s="164"/>
      <c r="F64" s="192">
        <v>155.88</v>
      </c>
      <c r="G64" s="192">
        <v>148.09</v>
      </c>
      <c r="H64" s="192">
        <v>138.18</v>
      </c>
      <c r="I64" s="192">
        <v>133.24</v>
      </c>
      <c r="J64" s="192">
        <v>117.72</v>
      </c>
      <c r="K64" s="192">
        <v>111.27</v>
      </c>
      <c r="L64" s="192">
        <v>126.77</v>
      </c>
      <c r="M64" s="192">
        <v>95.55</v>
      </c>
      <c r="N64" s="192">
        <v>88.72</v>
      </c>
      <c r="P64" s="192">
        <v>155.87942999999999</v>
      </c>
      <c r="Q64" s="192">
        <v>148.08842999999999</v>
      </c>
      <c r="R64" s="192">
        <v>138.17895000000001</v>
      </c>
      <c r="S64" s="192">
        <v>133.24101000000005</v>
      </c>
      <c r="T64" s="192">
        <v>117.72201000000001</v>
      </c>
      <c r="U64" s="192">
        <v>111.27039000000002</v>
      </c>
      <c r="V64" s="192">
        <v>126.77448000000001</v>
      </c>
      <c r="W64" s="192">
        <v>95.551050000000018</v>
      </c>
      <c r="X64" s="192">
        <v>88.721010000000007</v>
      </c>
    </row>
    <row r="65" spans="5:24" ht="13.8" thickBot="1" x14ac:dyDescent="0.3">
      <c r="E65" s="164"/>
      <c r="F65" s="192">
        <v>154.83000000000001</v>
      </c>
      <c r="G65" s="192">
        <v>147.04</v>
      </c>
      <c r="H65" s="192">
        <v>138.18</v>
      </c>
      <c r="I65" s="192">
        <v>132.19</v>
      </c>
      <c r="J65" s="192">
        <v>117.72</v>
      </c>
      <c r="K65" s="192">
        <v>110.22</v>
      </c>
      <c r="L65" s="192">
        <v>125.72</v>
      </c>
      <c r="M65" s="192">
        <v>95.55</v>
      </c>
      <c r="N65" s="192">
        <v>87.67</v>
      </c>
      <c r="P65" s="192">
        <v>154.82942999999997</v>
      </c>
      <c r="Q65" s="192">
        <v>147.03843000000001</v>
      </c>
      <c r="R65" s="192">
        <v>138.17895000000001</v>
      </c>
      <c r="S65" s="192">
        <v>132.19101000000003</v>
      </c>
      <c r="T65" s="192">
        <v>117.72201000000001</v>
      </c>
      <c r="U65" s="192">
        <v>110.22039000000002</v>
      </c>
      <c r="V65" s="192">
        <v>125.72448</v>
      </c>
      <c r="W65" s="192">
        <v>95.551050000000018</v>
      </c>
      <c r="X65" s="192">
        <v>87.67101000000001</v>
      </c>
    </row>
    <row r="66" spans="5:24" ht="13.8" thickBot="1" x14ac:dyDescent="0.3">
      <c r="E66" s="164"/>
      <c r="F66" s="192">
        <v>119.79</v>
      </c>
      <c r="G66" s="192">
        <v>112.73</v>
      </c>
      <c r="H66" s="192">
        <v>104.88</v>
      </c>
      <c r="I66" s="192">
        <v>100.38</v>
      </c>
      <c r="J66" s="192">
        <v>89.39</v>
      </c>
      <c r="K66" s="192">
        <v>83.51</v>
      </c>
      <c r="L66" s="192">
        <v>95.54</v>
      </c>
      <c r="M66" s="192">
        <v>70.760000000000005</v>
      </c>
      <c r="N66" s="192">
        <v>67.39</v>
      </c>
      <c r="P66" s="192">
        <v>119.79072000000001</v>
      </c>
      <c r="Q66" s="192">
        <v>112.73472000000001</v>
      </c>
      <c r="R66" s="192">
        <v>104.88239999999999</v>
      </c>
      <c r="S66" s="192">
        <v>100.37664000000001</v>
      </c>
      <c r="T66" s="192">
        <v>89.389440000000008</v>
      </c>
      <c r="U66" s="192">
        <v>83.512799999999999</v>
      </c>
      <c r="V66" s="192">
        <v>95.538240000000002</v>
      </c>
      <c r="W66" s="192">
        <v>70.761600000000001</v>
      </c>
      <c r="X66" s="192">
        <v>67.394880000000001</v>
      </c>
    </row>
    <row r="67" spans="5:24" ht="13.8" thickBot="1" x14ac:dyDescent="0.3">
      <c r="E67" s="164"/>
      <c r="F67" s="192">
        <v>59.9</v>
      </c>
      <c r="G67" s="192">
        <v>56.37</v>
      </c>
      <c r="H67" s="192">
        <v>52.44</v>
      </c>
      <c r="I67" s="192">
        <v>50.19</v>
      </c>
      <c r="J67" s="192">
        <v>44.69</v>
      </c>
      <c r="K67" s="192">
        <v>41.76</v>
      </c>
      <c r="L67" s="192">
        <v>47.77</v>
      </c>
      <c r="M67" s="192">
        <v>35.380000000000003</v>
      </c>
      <c r="N67" s="192">
        <v>33.700000000000003</v>
      </c>
      <c r="P67" s="192">
        <v>59.895360000000004</v>
      </c>
      <c r="Q67" s="192">
        <v>56.367360000000005</v>
      </c>
      <c r="R67" s="192">
        <v>52.441199999999995</v>
      </c>
      <c r="S67" s="192">
        <v>50.188320000000004</v>
      </c>
      <c r="T67" s="192">
        <v>44.694720000000004</v>
      </c>
      <c r="U67" s="192">
        <v>41.756399999999999</v>
      </c>
      <c r="V67" s="192">
        <v>47.769120000000001</v>
      </c>
      <c r="W67" s="192">
        <v>35.380800000000001</v>
      </c>
      <c r="X67" s="192">
        <v>33.69744</v>
      </c>
    </row>
    <row r="70" spans="5:24" x14ac:dyDescent="0.25">
      <c r="F70" s="191"/>
      <c r="G70" s="191"/>
      <c r="H70" s="191"/>
      <c r="I70" s="191"/>
      <c r="J70" s="191"/>
      <c r="K70" s="191"/>
      <c r="L70" s="191"/>
      <c r="M70" s="191"/>
      <c r="N70" s="191"/>
    </row>
    <row r="71" spans="5:24" x14ac:dyDescent="0.25">
      <c r="F71" s="191"/>
      <c r="G71" s="191"/>
      <c r="H71" s="191"/>
      <c r="I71" s="191"/>
      <c r="J71" s="191"/>
      <c r="K71" s="191"/>
      <c r="L71" s="191"/>
      <c r="M71" s="191"/>
      <c r="N71" s="191"/>
    </row>
    <row r="72" spans="5:24" x14ac:dyDescent="0.25">
      <c r="F72" s="191"/>
      <c r="G72" s="191"/>
      <c r="H72" s="191"/>
      <c r="I72" s="191"/>
      <c r="J72" s="191"/>
      <c r="K72" s="191"/>
      <c r="L72" s="191"/>
      <c r="M72" s="191"/>
      <c r="N72" s="191"/>
    </row>
    <row r="73" spans="5:24" x14ac:dyDescent="0.25">
      <c r="F73" s="191"/>
      <c r="G73" s="191"/>
      <c r="H73" s="191"/>
      <c r="I73" s="191"/>
      <c r="J73" s="191"/>
      <c r="K73" s="191"/>
      <c r="L73" s="191"/>
      <c r="M73" s="191"/>
      <c r="N73" s="191"/>
    </row>
    <row r="74" spans="5:24" x14ac:dyDescent="0.25">
      <c r="F74" s="191"/>
      <c r="G74" s="191"/>
      <c r="H74" s="191"/>
      <c r="I74" s="191"/>
      <c r="J74" s="191"/>
      <c r="K74" s="191"/>
      <c r="L74" s="191"/>
      <c r="M74" s="191"/>
      <c r="N74" s="191"/>
    </row>
    <row r="75" spans="5:24" x14ac:dyDescent="0.25">
      <c r="F75" s="191"/>
      <c r="G75" s="191"/>
      <c r="H75" s="191"/>
      <c r="I75" s="191"/>
      <c r="J75" s="191"/>
      <c r="K75" s="191"/>
      <c r="L75" s="191"/>
      <c r="M75" s="191"/>
      <c r="N75" s="191"/>
    </row>
    <row r="76" spans="5:24" x14ac:dyDescent="0.25">
      <c r="F76" s="191"/>
      <c r="G76" s="191"/>
      <c r="H76" s="191"/>
      <c r="I76" s="191"/>
      <c r="J76" s="191"/>
      <c r="K76" s="191"/>
      <c r="L76" s="191"/>
      <c r="M76" s="191"/>
      <c r="N76" s="191"/>
    </row>
    <row r="77" spans="5:24" x14ac:dyDescent="0.25">
      <c r="F77" s="191"/>
      <c r="G77" s="191"/>
      <c r="H77" s="191"/>
      <c r="I77" s="191"/>
      <c r="J77" s="191"/>
      <c r="K77" s="191"/>
      <c r="L77" s="191"/>
      <c r="M77" s="191"/>
      <c r="N77" s="191"/>
    </row>
    <row r="78" spans="5:24" x14ac:dyDescent="0.25">
      <c r="F78" s="191"/>
      <c r="G78" s="191"/>
      <c r="H78" s="191"/>
      <c r="I78" s="191"/>
      <c r="J78" s="191"/>
      <c r="K78" s="191"/>
      <c r="L78" s="191"/>
      <c r="M78" s="191"/>
      <c r="N78" s="191"/>
    </row>
    <row r="79" spans="5:24" x14ac:dyDescent="0.25">
      <c r="F79" s="191"/>
      <c r="G79" s="191"/>
      <c r="H79" s="191"/>
      <c r="I79" s="191"/>
      <c r="J79" s="191"/>
      <c r="K79" s="191"/>
      <c r="L79" s="191"/>
      <c r="M79" s="191"/>
      <c r="N79" s="191"/>
    </row>
    <row r="80" spans="5:24" x14ac:dyDescent="0.25">
      <c r="F80" s="191"/>
      <c r="G80" s="191"/>
      <c r="H80" s="191"/>
      <c r="I80" s="191"/>
      <c r="J80" s="191"/>
      <c r="K80" s="191"/>
      <c r="L80" s="191"/>
      <c r="M80" s="191"/>
      <c r="N80" s="191"/>
    </row>
    <row r="81" spans="6:14" x14ac:dyDescent="0.25">
      <c r="F81" s="191"/>
      <c r="G81" s="191"/>
      <c r="H81" s="191"/>
      <c r="I81" s="191"/>
      <c r="J81" s="191"/>
      <c r="K81" s="191"/>
      <c r="L81" s="191"/>
      <c r="M81" s="191"/>
      <c r="N81" s="191"/>
    </row>
    <row r="82" spans="6:14" x14ac:dyDescent="0.25">
      <c r="F82" s="191"/>
      <c r="G82" s="191"/>
      <c r="H82" s="191"/>
      <c r="I82" s="191"/>
      <c r="J82" s="191"/>
      <c r="K82" s="191"/>
      <c r="L82" s="191"/>
      <c r="M82" s="191"/>
      <c r="N82" s="191"/>
    </row>
    <row r="83" spans="6:14" x14ac:dyDescent="0.25">
      <c r="F83" s="191"/>
      <c r="G83" s="191"/>
      <c r="H83" s="191"/>
      <c r="I83" s="191"/>
      <c r="J83" s="191"/>
      <c r="K83" s="191"/>
      <c r="L83" s="191"/>
      <c r="M83" s="191"/>
      <c r="N83" s="191"/>
    </row>
    <row r="84" spans="6:14" x14ac:dyDescent="0.25">
      <c r="F84" s="191"/>
      <c r="G84" s="191"/>
      <c r="H84" s="191"/>
      <c r="I84" s="191"/>
      <c r="J84" s="191"/>
      <c r="K84" s="191"/>
      <c r="L84" s="191"/>
      <c r="M84" s="191"/>
      <c r="N84" s="191"/>
    </row>
    <row r="85" spans="6:14" x14ac:dyDescent="0.25">
      <c r="F85" s="191"/>
      <c r="G85" s="191"/>
      <c r="H85" s="191"/>
      <c r="I85" s="191"/>
      <c r="J85" s="191"/>
      <c r="K85" s="191"/>
      <c r="L85" s="191"/>
      <c r="M85" s="191"/>
      <c r="N85" s="191"/>
    </row>
    <row r="86" spans="6:14" x14ac:dyDescent="0.25">
      <c r="F86" s="191"/>
      <c r="G86" s="191"/>
      <c r="H86" s="191"/>
      <c r="I86" s="191"/>
      <c r="J86" s="191"/>
      <c r="K86" s="191"/>
      <c r="L86" s="191"/>
      <c r="M86" s="191"/>
      <c r="N86" s="191"/>
    </row>
    <row r="87" spans="6:14" x14ac:dyDescent="0.25">
      <c r="F87" s="191"/>
      <c r="G87" s="191"/>
      <c r="H87" s="191"/>
      <c r="I87" s="191"/>
      <c r="J87" s="191"/>
      <c r="K87" s="191"/>
      <c r="L87" s="191"/>
      <c r="M87" s="191"/>
      <c r="N87" s="191"/>
    </row>
    <row r="88" spans="6:14" x14ac:dyDescent="0.25">
      <c r="F88" s="191"/>
      <c r="G88" s="191"/>
      <c r="H88" s="191"/>
      <c r="I88" s="191"/>
      <c r="J88" s="191"/>
      <c r="K88" s="191"/>
      <c r="L88" s="191"/>
      <c r="M88" s="191"/>
      <c r="N88" s="191"/>
    </row>
    <row r="89" spans="6:14" x14ac:dyDescent="0.25">
      <c r="F89" s="191"/>
      <c r="G89" s="191"/>
      <c r="H89" s="191"/>
      <c r="I89" s="191"/>
      <c r="J89" s="191"/>
      <c r="K89" s="191"/>
      <c r="L89" s="191"/>
      <c r="M89" s="191"/>
      <c r="N89" s="191"/>
    </row>
    <row r="90" spans="6:14" x14ac:dyDescent="0.25">
      <c r="F90" s="191"/>
      <c r="G90" s="191"/>
      <c r="H90" s="191"/>
      <c r="I90" s="191"/>
      <c r="J90" s="191"/>
      <c r="K90" s="191"/>
      <c r="L90" s="191"/>
      <c r="M90" s="191"/>
      <c r="N90" s="191"/>
    </row>
    <row r="91" spans="6:14" x14ac:dyDescent="0.25">
      <c r="F91" s="191"/>
      <c r="G91" s="191"/>
      <c r="H91" s="191"/>
      <c r="I91" s="191"/>
      <c r="J91" s="191"/>
      <c r="K91" s="191"/>
      <c r="L91" s="191"/>
      <c r="M91" s="191"/>
      <c r="N91" s="191"/>
    </row>
    <row r="92" spans="6:14" x14ac:dyDescent="0.25">
      <c r="F92" s="191"/>
      <c r="G92" s="191"/>
      <c r="H92" s="191"/>
      <c r="I92" s="191"/>
      <c r="J92" s="191"/>
      <c r="K92" s="191"/>
      <c r="L92" s="191"/>
      <c r="M92" s="191"/>
      <c r="N92" s="191"/>
    </row>
    <row r="93" spans="6:14" x14ac:dyDescent="0.25">
      <c r="F93" s="191"/>
      <c r="G93" s="191"/>
      <c r="H93" s="191"/>
      <c r="I93" s="191"/>
      <c r="J93" s="191"/>
      <c r="K93" s="191"/>
      <c r="L93" s="191"/>
      <c r="M93" s="191"/>
      <c r="N93" s="191"/>
    </row>
    <row r="94" spans="6:14" x14ac:dyDescent="0.25">
      <c r="F94" s="191"/>
      <c r="G94" s="191"/>
      <c r="H94" s="191"/>
      <c r="I94" s="191"/>
      <c r="J94" s="191"/>
      <c r="K94" s="191"/>
      <c r="L94" s="191"/>
      <c r="M94" s="191"/>
      <c r="N94" s="191"/>
    </row>
    <row r="95" spans="6:14" x14ac:dyDescent="0.25">
      <c r="F95" s="191"/>
      <c r="G95" s="191"/>
      <c r="H95" s="191"/>
      <c r="I95" s="191"/>
      <c r="J95" s="191"/>
      <c r="K95" s="191"/>
      <c r="L95" s="191"/>
      <c r="M95" s="191"/>
      <c r="N95" s="191"/>
    </row>
    <row r="96" spans="6:14" x14ac:dyDescent="0.25">
      <c r="F96" s="191"/>
      <c r="G96" s="191"/>
      <c r="H96" s="191"/>
      <c r="I96" s="191"/>
      <c r="J96" s="191"/>
      <c r="K96" s="191"/>
      <c r="L96" s="191"/>
      <c r="M96" s="191"/>
      <c r="N96" s="191"/>
    </row>
    <row r="97" spans="6:14" x14ac:dyDescent="0.25">
      <c r="F97" s="191"/>
      <c r="G97" s="191"/>
      <c r="H97" s="191"/>
      <c r="I97" s="191"/>
      <c r="J97" s="191"/>
      <c r="K97" s="191"/>
      <c r="L97" s="191"/>
      <c r="M97" s="191"/>
      <c r="N97" s="191"/>
    </row>
    <row r="98" spans="6:14" x14ac:dyDescent="0.25">
      <c r="F98" s="191"/>
      <c r="G98" s="191"/>
      <c r="H98" s="191"/>
      <c r="I98" s="191"/>
      <c r="J98" s="191"/>
      <c r="K98" s="191"/>
      <c r="L98" s="191"/>
      <c r="M98" s="191"/>
      <c r="N98" s="191"/>
    </row>
    <row r="99" spans="6:14" x14ac:dyDescent="0.25">
      <c r="F99" s="191"/>
      <c r="G99" s="191"/>
      <c r="H99" s="191"/>
      <c r="I99" s="191"/>
      <c r="J99" s="191"/>
      <c r="K99" s="191"/>
      <c r="L99" s="191"/>
      <c r="M99" s="191"/>
      <c r="N99" s="191"/>
    </row>
    <row r="100" spans="6:14" x14ac:dyDescent="0.25">
      <c r="F100" s="191"/>
      <c r="G100" s="191"/>
      <c r="H100" s="191"/>
      <c r="I100" s="191"/>
      <c r="J100" s="191"/>
      <c r="K100" s="191"/>
      <c r="L100" s="191"/>
      <c r="M100" s="191"/>
      <c r="N100" s="191"/>
    </row>
    <row r="101" spans="6:14" x14ac:dyDescent="0.25">
      <c r="F101" s="191"/>
      <c r="G101" s="191"/>
      <c r="H101" s="191"/>
      <c r="I101" s="191"/>
      <c r="J101" s="191"/>
      <c r="K101" s="191"/>
      <c r="L101" s="191"/>
      <c r="M101" s="191"/>
      <c r="N101" s="191"/>
    </row>
    <row r="102" spans="6:14" x14ac:dyDescent="0.25">
      <c r="F102" s="191"/>
      <c r="G102" s="191"/>
      <c r="H102" s="191"/>
      <c r="I102" s="191"/>
      <c r="J102" s="191"/>
      <c r="K102" s="191"/>
      <c r="L102" s="191"/>
      <c r="M102" s="191"/>
      <c r="N102" s="191"/>
    </row>
    <row r="103" spans="6:14" x14ac:dyDescent="0.25">
      <c r="F103" s="191"/>
      <c r="G103" s="191"/>
      <c r="H103" s="191"/>
      <c r="I103" s="191"/>
      <c r="J103" s="191"/>
      <c r="K103" s="191"/>
      <c r="L103" s="191"/>
      <c r="M103" s="191"/>
      <c r="N103" s="191"/>
    </row>
    <row r="104" spans="6:14" x14ac:dyDescent="0.25">
      <c r="F104" s="191"/>
      <c r="G104" s="191"/>
      <c r="H104" s="191"/>
      <c r="I104" s="191"/>
      <c r="J104" s="191"/>
      <c r="K104" s="191"/>
      <c r="L104" s="191"/>
      <c r="M104" s="191"/>
      <c r="N104" s="191"/>
    </row>
  </sheetData>
  <mergeCells count="1">
    <mergeCell ref="F1:N1"/>
  </mergeCells>
  <phoneticPr fontId="3" type="noConversion"/>
  <pageMargins left="0.7" right="0.7" top="0.75" bottom="0.75" header="0.3" footer="0.3"/>
  <pageSetup scale="7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J57"/>
  <sheetViews>
    <sheetView workbookViewId="0">
      <selection activeCell="M19" sqref="M19"/>
    </sheetView>
  </sheetViews>
  <sheetFormatPr defaultColWidth="9.21875" defaultRowHeight="11.4" x14ac:dyDescent="0.2"/>
  <cols>
    <col min="1" max="1" width="2" style="10" customWidth="1"/>
    <col min="2" max="2" width="2" style="10" bestFit="1" customWidth="1"/>
    <col min="3" max="3" width="16" style="10" bestFit="1" customWidth="1"/>
    <col min="4" max="4" width="12.77734375" style="10" bestFit="1" customWidth="1"/>
    <col min="5" max="5" width="7.77734375" style="10" customWidth="1"/>
    <col min="6" max="6" width="10.21875" style="10" bestFit="1" customWidth="1"/>
    <col min="7" max="7" width="3.21875" style="10" customWidth="1"/>
    <col min="8" max="9" width="18.77734375" style="10" customWidth="1"/>
    <col min="10" max="10" width="11.44140625" style="10" bestFit="1" customWidth="1"/>
    <col min="11" max="16384" width="9.21875" style="10"/>
  </cols>
  <sheetData>
    <row r="1" spans="2:10" ht="29.25" customHeight="1" x14ac:dyDescent="0.25">
      <c r="C1" s="268" t="s">
        <v>167</v>
      </c>
      <c r="D1" s="238"/>
      <c r="E1" s="238"/>
      <c r="F1" s="238"/>
      <c r="G1" s="238"/>
      <c r="H1" s="238"/>
      <c r="I1" s="34"/>
    </row>
    <row r="3" spans="2:10" ht="24" x14ac:dyDescent="0.25">
      <c r="B3" s="21"/>
      <c r="C3" s="22"/>
      <c r="D3" s="23" t="s">
        <v>1</v>
      </c>
      <c r="E3" s="23" t="s">
        <v>5</v>
      </c>
      <c r="F3" s="23" t="s">
        <v>5</v>
      </c>
      <c r="G3" s="21"/>
      <c r="H3" s="157" t="s">
        <v>0</v>
      </c>
      <c r="I3" s="157" t="s">
        <v>166</v>
      </c>
    </row>
    <row r="4" spans="2:10" ht="12" x14ac:dyDescent="0.25">
      <c r="B4" s="21"/>
      <c r="C4" s="22"/>
      <c r="D4" s="23"/>
      <c r="E4" s="23"/>
      <c r="F4" s="23"/>
      <c r="G4" s="21"/>
      <c r="H4" s="157"/>
      <c r="I4" s="157"/>
    </row>
    <row r="5" spans="2:10" ht="12" x14ac:dyDescent="0.25">
      <c r="B5" s="21"/>
      <c r="C5" s="24">
        <v>1</v>
      </c>
      <c r="D5" s="25"/>
      <c r="E5" s="23"/>
      <c r="F5" s="23"/>
      <c r="G5" s="21"/>
      <c r="H5" s="157"/>
      <c r="I5" s="157"/>
    </row>
    <row r="6" spans="2:10" ht="12" x14ac:dyDescent="0.25">
      <c r="B6" s="21"/>
      <c r="C6" s="24">
        <v>1</v>
      </c>
      <c r="D6" s="25"/>
      <c r="E6" s="26">
        <v>100</v>
      </c>
      <c r="F6" s="26">
        <v>1000</v>
      </c>
      <c r="G6" s="21"/>
      <c r="H6" s="157"/>
      <c r="I6" s="157"/>
    </row>
    <row r="7" spans="2:10" ht="12" x14ac:dyDescent="0.25">
      <c r="B7" s="21" t="s">
        <v>2</v>
      </c>
      <c r="C7" s="24">
        <v>1000</v>
      </c>
      <c r="D7" s="27">
        <v>257</v>
      </c>
      <c r="E7" s="28">
        <v>0</v>
      </c>
      <c r="F7" s="23"/>
      <c r="G7" s="21"/>
      <c r="H7" s="158">
        <f>CEILING('Fee Estimator'!$I$61,100)</f>
        <v>0</v>
      </c>
      <c r="I7" s="158">
        <f>IF(H7&lt;C7,(D7+(((H7-C5)/$E$6)*E7)),H7)</f>
        <v>257</v>
      </c>
      <c r="J7" s="195">
        <f>D7+5</f>
        <v>262</v>
      </c>
    </row>
    <row r="8" spans="2:10" ht="12" x14ac:dyDescent="0.25">
      <c r="B8" s="21" t="s">
        <v>3</v>
      </c>
      <c r="C8" s="24">
        <v>1000</v>
      </c>
      <c r="D8" s="27">
        <v>257</v>
      </c>
      <c r="E8" s="28">
        <v>0</v>
      </c>
      <c r="F8" s="23"/>
      <c r="G8" s="21"/>
      <c r="H8" s="158">
        <f>CEILING('Fee Estimator'!$I$61,100)</f>
        <v>0</v>
      </c>
      <c r="I8" s="158">
        <f>IF(H8=C8,(D8+(((H8-C6)/$E$6)*E8)),H8)</f>
        <v>0</v>
      </c>
      <c r="J8" s="195">
        <f t="shared" ref="J8:J57" si="0">D8+5</f>
        <v>262</v>
      </c>
    </row>
    <row r="9" spans="2:10" x14ac:dyDescent="0.2">
      <c r="B9" s="21" t="s">
        <v>2</v>
      </c>
      <c r="C9" s="24">
        <v>25000</v>
      </c>
      <c r="D9" s="27">
        <v>257</v>
      </c>
      <c r="E9" s="28">
        <v>1.25</v>
      </c>
      <c r="F9" s="30"/>
      <c r="G9" s="21"/>
      <c r="H9" s="158">
        <f>CEILING('Fee Estimator'!$I$61,100)</f>
        <v>0</v>
      </c>
      <c r="I9" s="158">
        <f>IF(H9&lt;C9,(D9+(((H9-C7)/$E$6)*E9)),H9)</f>
        <v>244.5</v>
      </c>
      <c r="J9" s="195">
        <f t="shared" si="0"/>
        <v>262</v>
      </c>
    </row>
    <row r="10" spans="2:10" x14ac:dyDescent="0.2">
      <c r="B10" s="21" t="s">
        <v>3</v>
      </c>
      <c r="C10" s="24">
        <v>25000</v>
      </c>
      <c r="D10" s="27">
        <v>257</v>
      </c>
      <c r="E10" s="28">
        <v>1.25</v>
      </c>
      <c r="F10" s="30"/>
      <c r="G10" s="21"/>
      <c r="H10" s="158">
        <f>CEILING('Fee Estimator'!$I$61,100)</f>
        <v>0</v>
      </c>
      <c r="I10" s="158">
        <f>IF(H10=C10,(D10+(((H10-C8)/$E$6)*E10)),H10)</f>
        <v>0</v>
      </c>
      <c r="J10" s="195">
        <f t="shared" si="0"/>
        <v>262</v>
      </c>
    </row>
    <row r="11" spans="2:10" x14ac:dyDescent="0.2">
      <c r="B11" s="21" t="s">
        <v>2</v>
      </c>
      <c r="C11" s="24">
        <v>50000</v>
      </c>
      <c r="D11" s="29">
        <v>557</v>
      </c>
      <c r="E11" s="28">
        <v>1.2</v>
      </c>
      <c r="F11" s="30"/>
      <c r="G11" s="21"/>
      <c r="H11" s="158">
        <f>CEILING('Fee Estimator'!$I$61,100)</f>
        <v>0</v>
      </c>
      <c r="I11" s="158">
        <f>IF(H11&lt;C11,(D11+(((H11-C9)/$E$6)*E11)),H11)</f>
        <v>257</v>
      </c>
      <c r="J11" s="195">
        <f t="shared" si="0"/>
        <v>562</v>
      </c>
    </row>
    <row r="12" spans="2:10" x14ac:dyDescent="0.2">
      <c r="B12" s="21" t="s">
        <v>3</v>
      </c>
      <c r="C12" s="24">
        <v>50000</v>
      </c>
      <c r="D12" s="29">
        <v>557</v>
      </c>
      <c r="E12" s="28">
        <v>1.2</v>
      </c>
      <c r="F12" s="30"/>
      <c r="G12" s="21"/>
      <c r="H12" s="158">
        <f>CEILING('Fee Estimator'!$I$61,100)</f>
        <v>0</v>
      </c>
      <c r="I12" s="158">
        <f>IF(H12=C12,(D12+(((H12-C10)/$E$6)*E12)),H12)</f>
        <v>0</v>
      </c>
      <c r="J12" s="195">
        <f t="shared" si="0"/>
        <v>562</v>
      </c>
    </row>
    <row r="13" spans="2:10" x14ac:dyDescent="0.2">
      <c r="B13" s="21" t="s">
        <v>2</v>
      </c>
      <c r="C13" s="24">
        <v>75000</v>
      </c>
      <c r="D13" s="29">
        <v>857</v>
      </c>
      <c r="E13" s="28">
        <v>1.1499999999999999</v>
      </c>
      <c r="F13" s="30"/>
      <c r="G13" s="21"/>
      <c r="H13" s="158">
        <f>CEILING('Fee Estimator'!$I$61,100)</f>
        <v>0</v>
      </c>
      <c r="I13" s="158">
        <f>IF(H13&lt;C13,(D13+(((H13-C11)/$E$6)*E13)),H13)</f>
        <v>282</v>
      </c>
      <c r="J13" s="195">
        <f t="shared" si="0"/>
        <v>862</v>
      </c>
    </row>
    <row r="14" spans="2:10" x14ac:dyDescent="0.2">
      <c r="B14" s="21" t="s">
        <v>3</v>
      </c>
      <c r="C14" s="24">
        <v>75000</v>
      </c>
      <c r="D14" s="29">
        <v>857</v>
      </c>
      <c r="E14" s="28">
        <v>1.1499999999999999</v>
      </c>
      <c r="F14" s="30"/>
      <c r="G14" s="21"/>
      <c r="H14" s="158">
        <f>CEILING('Fee Estimator'!$I$61,100)</f>
        <v>0</v>
      </c>
      <c r="I14" s="158">
        <f>IF(H14=C14,(D14+(((H14-C12)/$E$6)*E14)),H14)</f>
        <v>0</v>
      </c>
      <c r="J14" s="195">
        <f t="shared" si="0"/>
        <v>862</v>
      </c>
    </row>
    <row r="15" spans="2:10" x14ac:dyDescent="0.2">
      <c r="B15" s="21" t="s">
        <v>2</v>
      </c>
      <c r="C15" s="24">
        <v>100000</v>
      </c>
      <c r="D15" s="29">
        <v>1144.5</v>
      </c>
      <c r="E15" s="28">
        <v>1.1000000000000001</v>
      </c>
      <c r="F15" s="30"/>
      <c r="G15" s="21"/>
      <c r="H15" s="158">
        <f>CEILING('Fee Estimator'!$I$61,100)</f>
        <v>0</v>
      </c>
      <c r="I15" s="158">
        <f>IF(H15&lt;C15,(D15+(((H15-C13)/$E$6)*E15)),H15)</f>
        <v>319.49999999999989</v>
      </c>
      <c r="J15" s="195">
        <f t="shared" si="0"/>
        <v>1149.5</v>
      </c>
    </row>
    <row r="16" spans="2:10" x14ac:dyDescent="0.2">
      <c r="B16" s="21" t="s">
        <v>3</v>
      </c>
      <c r="C16" s="24">
        <f>100000</f>
        <v>100000</v>
      </c>
      <c r="D16" s="29">
        <v>1144.5</v>
      </c>
      <c r="E16" s="28">
        <v>1.1000000000000001</v>
      </c>
      <c r="F16" s="30"/>
      <c r="G16" s="21"/>
      <c r="H16" s="158">
        <f>CEILING('Fee Estimator'!$I$61,100)</f>
        <v>0</v>
      </c>
      <c r="I16" s="158">
        <f>IF(H16=C16,(D16+(((H16-C14)/$E$6)*E16)),H16)</f>
        <v>0</v>
      </c>
      <c r="J16" s="195">
        <f t="shared" si="0"/>
        <v>1149.5</v>
      </c>
    </row>
    <row r="17" spans="2:10" x14ac:dyDescent="0.2">
      <c r="B17" s="159" t="s">
        <v>2</v>
      </c>
      <c r="C17" s="160">
        <v>175000</v>
      </c>
      <c r="D17" s="180">
        <v>1419.5</v>
      </c>
      <c r="E17" s="161"/>
      <c r="F17" s="162">
        <v>5.5</v>
      </c>
      <c r="G17" s="159"/>
      <c r="H17" s="163">
        <f>CEILING('Fee Estimator'!$I$61,1000)</f>
        <v>0</v>
      </c>
      <c r="I17" s="163">
        <f>IF(H17&lt;C17,(D17+(((H17-C15)/$F$6)*F17)),H17)</f>
        <v>869.5</v>
      </c>
      <c r="J17" s="195">
        <f t="shared" si="0"/>
        <v>1424.5</v>
      </c>
    </row>
    <row r="18" spans="2:10" x14ac:dyDescent="0.2">
      <c r="B18" s="21" t="s">
        <v>3</v>
      </c>
      <c r="C18" s="24">
        <v>175000</v>
      </c>
      <c r="D18" s="29">
        <v>1419.5</v>
      </c>
      <c r="E18" s="30"/>
      <c r="F18" s="28">
        <v>5.5</v>
      </c>
      <c r="G18" s="21"/>
      <c r="H18" s="158">
        <f>CEILING('Fee Estimator'!$I$61,1000)</f>
        <v>0</v>
      </c>
      <c r="I18" s="158">
        <f>IF(H18=C18,(D18+(((H18-C16)/$F$6)*F18)),H18)</f>
        <v>0</v>
      </c>
      <c r="J18" s="195">
        <f t="shared" si="0"/>
        <v>1424.5</v>
      </c>
    </row>
    <row r="19" spans="2:10" x14ac:dyDescent="0.2">
      <c r="B19" s="21" t="s">
        <v>2</v>
      </c>
      <c r="C19" s="24">
        <v>250000</v>
      </c>
      <c r="D19" s="27">
        <v>1832</v>
      </c>
      <c r="E19" s="30"/>
      <c r="F19" s="28">
        <v>5.5</v>
      </c>
      <c r="G19" s="21"/>
      <c r="H19" s="158">
        <f>CEILING('Fee Estimator'!$I$61,1000)</f>
        <v>0</v>
      </c>
      <c r="I19" s="158">
        <f>IF(H19&lt;C19,(D19+(((H19-C17)/$F$6)*F19)),H19)</f>
        <v>869.5</v>
      </c>
      <c r="J19" s="195">
        <f t="shared" si="0"/>
        <v>1837</v>
      </c>
    </row>
    <row r="20" spans="2:10" x14ac:dyDescent="0.2">
      <c r="B20" s="21" t="s">
        <v>3</v>
      </c>
      <c r="C20" s="24">
        <v>250000</v>
      </c>
      <c r="D20" s="27">
        <v>1832</v>
      </c>
      <c r="E20" s="30"/>
      <c r="F20" s="28">
        <v>5.5</v>
      </c>
      <c r="G20" s="21"/>
      <c r="H20" s="158">
        <f>CEILING('Fee Estimator'!$I$61,1000)</f>
        <v>0</v>
      </c>
      <c r="I20" s="158">
        <f>IF(H20=C20,(D20+(((H20-C18)/$F$6)*F20)),H20)</f>
        <v>0</v>
      </c>
      <c r="J20" s="195">
        <f t="shared" si="0"/>
        <v>1837</v>
      </c>
    </row>
    <row r="21" spans="2:10" x14ac:dyDescent="0.2">
      <c r="B21" s="21" t="s">
        <v>2</v>
      </c>
      <c r="C21" s="24">
        <v>500000</v>
      </c>
      <c r="D21" s="27">
        <v>2244.5</v>
      </c>
      <c r="E21" s="30"/>
      <c r="F21" s="28">
        <v>5.25</v>
      </c>
      <c r="G21" s="21"/>
      <c r="H21" s="158">
        <f>CEILING('Fee Estimator'!$I$61,1000)</f>
        <v>0</v>
      </c>
      <c r="I21" s="158">
        <f>IF(H21&lt;C21,(D21+(((H21-C19)/$F$6)*F21)),H21)</f>
        <v>932</v>
      </c>
      <c r="J21" s="195">
        <f t="shared" si="0"/>
        <v>2249.5</v>
      </c>
    </row>
    <row r="22" spans="2:10" x14ac:dyDescent="0.2">
      <c r="B22" s="21" t="s">
        <v>3</v>
      </c>
      <c r="C22" s="24">
        <v>500000</v>
      </c>
      <c r="D22" s="27">
        <v>2244.5</v>
      </c>
      <c r="E22" s="30"/>
      <c r="F22" s="28">
        <v>5.25</v>
      </c>
      <c r="G22" s="21"/>
      <c r="H22" s="158">
        <f>CEILING('Fee Estimator'!$I$61,1000)</f>
        <v>0</v>
      </c>
      <c r="I22" s="158">
        <f>IF(H22=C22,(D22+(((H22-C20)/$F$6)*F22)),H22)</f>
        <v>0</v>
      </c>
      <c r="J22" s="195">
        <f t="shared" si="0"/>
        <v>2249.5</v>
      </c>
    </row>
    <row r="23" spans="2:10" x14ac:dyDescent="0.2">
      <c r="B23" s="21" t="s">
        <v>2</v>
      </c>
      <c r="C23" s="24">
        <v>750000</v>
      </c>
      <c r="D23" s="27">
        <v>3557</v>
      </c>
      <c r="E23" s="30"/>
      <c r="F23" s="28">
        <v>5</v>
      </c>
      <c r="G23" s="21"/>
      <c r="H23" s="158">
        <f>CEILING('Fee Estimator'!$I$61,1000)</f>
        <v>0</v>
      </c>
      <c r="I23" s="158">
        <f>IF(H23&lt;C23,(D23+(((H23-C21)/$F$6)*F23)),H23)</f>
        <v>1057</v>
      </c>
      <c r="J23" s="195">
        <f t="shared" si="0"/>
        <v>3562</v>
      </c>
    </row>
    <row r="24" spans="2:10" x14ac:dyDescent="0.2">
      <c r="B24" s="21" t="s">
        <v>3</v>
      </c>
      <c r="C24" s="24">
        <v>750000</v>
      </c>
      <c r="D24" s="27">
        <v>3557</v>
      </c>
      <c r="E24" s="30"/>
      <c r="F24" s="28">
        <v>5</v>
      </c>
      <c r="G24" s="21"/>
      <c r="H24" s="158">
        <f>CEILING('Fee Estimator'!$I$61,1000)</f>
        <v>0</v>
      </c>
      <c r="I24" s="158">
        <f>IF(H24=C24,(D24+(((H24-C22)/$F$6)*F24)),H24)</f>
        <v>0</v>
      </c>
      <c r="J24" s="195">
        <f t="shared" si="0"/>
        <v>3562</v>
      </c>
    </row>
    <row r="25" spans="2:10" x14ac:dyDescent="0.2">
      <c r="B25" s="21" t="s">
        <v>2</v>
      </c>
      <c r="C25" s="24">
        <v>1000000</v>
      </c>
      <c r="D25" s="27">
        <v>4807</v>
      </c>
      <c r="E25" s="30"/>
      <c r="F25" s="28">
        <v>5</v>
      </c>
      <c r="G25" s="21"/>
      <c r="H25" s="158">
        <f>CEILING('Fee Estimator'!$I$61,1000)</f>
        <v>0</v>
      </c>
      <c r="I25" s="158">
        <f>IF(H25&lt;C25,(D25+(((H25-C23)/$F$6)*F25)),H25)</f>
        <v>1057</v>
      </c>
      <c r="J25" s="195">
        <f t="shared" si="0"/>
        <v>4812</v>
      </c>
    </row>
    <row r="26" spans="2:10" x14ac:dyDescent="0.2">
      <c r="B26" s="21" t="s">
        <v>3</v>
      </c>
      <c r="C26" s="24">
        <v>1000000</v>
      </c>
      <c r="D26" s="27">
        <v>4807</v>
      </c>
      <c r="E26" s="30"/>
      <c r="F26" s="28">
        <v>5</v>
      </c>
      <c r="G26" s="21"/>
      <c r="H26" s="158">
        <f>CEILING('Fee Estimator'!$I$61,1000)</f>
        <v>0</v>
      </c>
      <c r="I26" s="158">
        <f>IF(H26=C26,(D26+(((H26-C24)/$F$6)*F26)),H26)</f>
        <v>0</v>
      </c>
      <c r="J26" s="195">
        <f t="shared" si="0"/>
        <v>4812</v>
      </c>
    </row>
    <row r="27" spans="2:10" x14ac:dyDescent="0.2">
      <c r="B27" s="21" t="s">
        <v>2</v>
      </c>
      <c r="C27" s="24">
        <v>1500000</v>
      </c>
      <c r="D27" s="27">
        <v>6057</v>
      </c>
      <c r="E27" s="30"/>
      <c r="F27" s="28">
        <v>4.75</v>
      </c>
      <c r="G27" s="21"/>
      <c r="H27" s="158">
        <f>CEILING('Fee Estimator'!$I$61,1000)</f>
        <v>0</v>
      </c>
      <c r="I27" s="158">
        <f>IF(H27&lt;C27,(D27+(((H27-C25)/$F$6)*F27)),H27)</f>
        <v>1307</v>
      </c>
      <c r="J27" s="195">
        <f t="shared" si="0"/>
        <v>6062</v>
      </c>
    </row>
    <row r="28" spans="2:10" x14ac:dyDescent="0.2">
      <c r="B28" s="21" t="s">
        <v>3</v>
      </c>
      <c r="C28" s="24">
        <v>1500000</v>
      </c>
      <c r="D28" s="27">
        <v>6057</v>
      </c>
      <c r="E28" s="30"/>
      <c r="F28" s="28">
        <v>4.75</v>
      </c>
      <c r="G28" s="21"/>
      <c r="H28" s="158">
        <f>CEILING('Fee Estimator'!$I$61,1000)</f>
        <v>0</v>
      </c>
      <c r="I28" s="158">
        <f>IF(H28=C28,(D28+(((H28-C26)/$F$6)*F28)),H28)</f>
        <v>0</v>
      </c>
      <c r="J28" s="195">
        <f t="shared" si="0"/>
        <v>6062</v>
      </c>
    </row>
    <row r="29" spans="2:10" x14ac:dyDescent="0.2">
      <c r="B29" s="21" t="s">
        <v>2</v>
      </c>
      <c r="C29" s="24">
        <v>2000000</v>
      </c>
      <c r="D29" s="27">
        <v>8432</v>
      </c>
      <c r="E29" s="30"/>
      <c r="F29" s="28">
        <v>4.75</v>
      </c>
      <c r="G29" s="21"/>
      <c r="H29" s="158">
        <f>CEILING('Fee Estimator'!$I$61,1000)</f>
        <v>0</v>
      </c>
      <c r="I29" s="158">
        <f>IF(H29&lt;C29,(D29+(((H29-C27)/$F$6)*F29)),H29)</f>
        <v>1307</v>
      </c>
      <c r="J29" s="195">
        <f t="shared" si="0"/>
        <v>8437</v>
      </c>
    </row>
    <row r="30" spans="2:10" x14ac:dyDescent="0.2">
      <c r="B30" s="21" t="s">
        <v>3</v>
      </c>
      <c r="C30" s="24">
        <v>2000000</v>
      </c>
      <c r="D30" s="27">
        <v>8432</v>
      </c>
      <c r="E30" s="30"/>
      <c r="F30" s="28">
        <v>4.75</v>
      </c>
      <c r="G30" s="21"/>
      <c r="H30" s="158">
        <f>CEILING('Fee Estimator'!$I$61,1000)</f>
        <v>0</v>
      </c>
      <c r="I30" s="158">
        <f>IF(H30=C30,(D30+(((H30-C28)/$F$6)*F30)),H30)</f>
        <v>0</v>
      </c>
      <c r="J30" s="195">
        <f t="shared" si="0"/>
        <v>8437</v>
      </c>
    </row>
    <row r="31" spans="2:10" x14ac:dyDescent="0.2">
      <c r="B31" s="21" t="s">
        <v>2</v>
      </c>
      <c r="C31" s="24">
        <v>2500000</v>
      </c>
      <c r="D31" s="27">
        <v>10807</v>
      </c>
      <c r="E31" s="30"/>
      <c r="F31" s="28">
        <v>4.25</v>
      </c>
      <c r="G31" s="21"/>
      <c r="H31" s="158">
        <f>CEILING('Fee Estimator'!$I$61,1000)</f>
        <v>0</v>
      </c>
      <c r="I31" s="158">
        <f>IF(H31&lt;C31,(D31+(((H31-C29)/$F$6)*F31)),H31)</f>
        <v>2307</v>
      </c>
      <c r="J31" s="195">
        <f t="shared" si="0"/>
        <v>10812</v>
      </c>
    </row>
    <row r="32" spans="2:10" x14ac:dyDescent="0.2">
      <c r="B32" s="21" t="s">
        <v>3</v>
      </c>
      <c r="C32" s="24">
        <v>2500000</v>
      </c>
      <c r="D32" s="27">
        <v>10807</v>
      </c>
      <c r="E32" s="30"/>
      <c r="F32" s="28">
        <v>4.25</v>
      </c>
      <c r="G32" s="21"/>
      <c r="H32" s="158">
        <f>CEILING('Fee Estimator'!$I$61,1000)</f>
        <v>0</v>
      </c>
      <c r="I32" s="158">
        <f>IF(H32=C32,(D32+(((H32-C30)/$F$6)*F32)),H32)</f>
        <v>0</v>
      </c>
      <c r="J32" s="195">
        <f t="shared" si="0"/>
        <v>10812</v>
      </c>
    </row>
    <row r="33" spans="2:10" x14ac:dyDescent="0.2">
      <c r="B33" s="21" t="s">
        <v>2</v>
      </c>
      <c r="C33" s="24">
        <v>3000000</v>
      </c>
      <c r="D33" s="27">
        <v>12932</v>
      </c>
      <c r="E33" s="30"/>
      <c r="F33" s="28">
        <v>4.25</v>
      </c>
      <c r="G33" s="21"/>
      <c r="H33" s="158">
        <f>CEILING('Fee Estimator'!$I$61,1000)</f>
        <v>0</v>
      </c>
      <c r="I33" s="158">
        <f>IF(H33&lt;C33,(D33+(((H33-C31)/$F$6)*F33)),H33)</f>
        <v>2307</v>
      </c>
      <c r="J33" s="195">
        <f t="shared" si="0"/>
        <v>12937</v>
      </c>
    </row>
    <row r="34" spans="2:10" x14ac:dyDescent="0.2">
      <c r="B34" s="21" t="s">
        <v>3</v>
      </c>
      <c r="C34" s="24">
        <v>3000000</v>
      </c>
      <c r="D34" s="27">
        <v>12932</v>
      </c>
      <c r="E34" s="30"/>
      <c r="F34" s="28">
        <v>4.25</v>
      </c>
      <c r="G34" s="21"/>
      <c r="H34" s="158">
        <f>CEILING('Fee Estimator'!$I$61,1000)</f>
        <v>0</v>
      </c>
      <c r="I34" s="158">
        <f>IF(H34=C34,(D34+(((H34-C32)/$F$6)*F34)),H34)</f>
        <v>0</v>
      </c>
      <c r="J34" s="195">
        <f t="shared" si="0"/>
        <v>12937</v>
      </c>
    </row>
    <row r="35" spans="2:10" x14ac:dyDescent="0.2">
      <c r="B35" s="21" t="s">
        <v>2</v>
      </c>
      <c r="C35" s="24">
        <v>3500000</v>
      </c>
      <c r="D35" s="27">
        <v>15057</v>
      </c>
      <c r="E35" s="30"/>
      <c r="F35" s="28">
        <v>4</v>
      </c>
      <c r="G35" s="21"/>
      <c r="H35" s="158">
        <f>CEILING('Fee Estimator'!$I$61,1000)</f>
        <v>0</v>
      </c>
      <c r="I35" s="158">
        <f>IF(H35&lt;C35,(D35+(((H35-C33)/$F$6)*F35)),H35)</f>
        <v>3057</v>
      </c>
      <c r="J35" s="195">
        <f t="shared" si="0"/>
        <v>15062</v>
      </c>
    </row>
    <row r="36" spans="2:10" x14ac:dyDescent="0.2">
      <c r="B36" s="21" t="s">
        <v>3</v>
      </c>
      <c r="C36" s="24">
        <v>3500000</v>
      </c>
      <c r="D36" s="27">
        <v>15057</v>
      </c>
      <c r="E36" s="30"/>
      <c r="F36" s="28">
        <v>4</v>
      </c>
      <c r="G36" s="21"/>
      <c r="H36" s="158">
        <f>CEILING('Fee Estimator'!$I$61,1000)</f>
        <v>0</v>
      </c>
      <c r="I36" s="158">
        <f>IF(H36=C36,(D36+(((H36-C34)/$F$6)*F36)),H36)</f>
        <v>0</v>
      </c>
      <c r="J36" s="195">
        <f t="shared" si="0"/>
        <v>15062</v>
      </c>
    </row>
    <row r="37" spans="2:10" x14ac:dyDescent="0.2">
      <c r="B37" s="21" t="s">
        <v>2</v>
      </c>
      <c r="C37" s="24">
        <v>4000000</v>
      </c>
      <c r="D37" s="27">
        <v>17057</v>
      </c>
      <c r="E37" s="30"/>
      <c r="F37" s="28">
        <v>4</v>
      </c>
      <c r="G37" s="21"/>
      <c r="H37" s="158">
        <f>CEILING('Fee Estimator'!$I$61,1000)</f>
        <v>0</v>
      </c>
      <c r="I37" s="158">
        <f>IF(H37&lt;C37,(D37+(((H37-C35)/$F$6)*F37)),H37)</f>
        <v>3057</v>
      </c>
      <c r="J37" s="195">
        <f t="shared" si="0"/>
        <v>17062</v>
      </c>
    </row>
    <row r="38" spans="2:10" x14ac:dyDescent="0.2">
      <c r="B38" s="21" t="s">
        <v>3</v>
      </c>
      <c r="C38" s="24">
        <v>4000000</v>
      </c>
      <c r="D38" s="27">
        <v>17057</v>
      </c>
      <c r="E38" s="30"/>
      <c r="F38" s="28">
        <v>4</v>
      </c>
      <c r="G38" s="21"/>
      <c r="H38" s="158">
        <f>CEILING('Fee Estimator'!$I$61,1000)</f>
        <v>0</v>
      </c>
      <c r="I38" s="158">
        <f>IF(H38=C38,(D38+(((H38-C36)/$F$6)*F38)),H38)</f>
        <v>0</v>
      </c>
      <c r="J38" s="195">
        <f t="shared" si="0"/>
        <v>17062</v>
      </c>
    </row>
    <row r="39" spans="2:10" x14ac:dyDescent="0.2">
      <c r="B39" s="21" t="s">
        <v>2</v>
      </c>
      <c r="C39" s="24">
        <v>4500000</v>
      </c>
      <c r="D39" s="27">
        <v>19057</v>
      </c>
      <c r="E39" s="30"/>
      <c r="F39" s="28">
        <v>3.5</v>
      </c>
      <c r="G39" s="21"/>
      <c r="H39" s="158">
        <f>CEILING('Fee Estimator'!$I$61,1000)</f>
        <v>0</v>
      </c>
      <c r="I39" s="158">
        <f>IF(H39&lt;C39,(D39+(((H39-C37)/$F$6)*F39)),H39)</f>
        <v>5057</v>
      </c>
      <c r="J39" s="195">
        <f t="shared" si="0"/>
        <v>19062</v>
      </c>
    </row>
    <row r="40" spans="2:10" x14ac:dyDescent="0.2">
      <c r="B40" s="21" t="s">
        <v>3</v>
      </c>
      <c r="C40" s="24">
        <v>4500000</v>
      </c>
      <c r="D40" s="27">
        <v>19057</v>
      </c>
      <c r="E40" s="30"/>
      <c r="F40" s="28">
        <v>3.5</v>
      </c>
      <c r="G40" s="21"/>
      <c r="H40" s="158">
        <f>CEILING('Fee Estimator'!$I$61,1000)</f>
        <v>0</v>
      </c>
      <c r="I40" s="158">
        <f>IF(H40=C40,(D40+(((H40-C38)/$F$6)*F40)),H40)</f>
        <v>0</v>
      </c>
      <c r="J40" s="195">
        <f t="shared" si="0"/>
        <v>19062</v>
      </c>
    </row>
    <row r="41" spans="2:10" x14ac:dyDescent="0.2">
      <c r="B41" s="21" t="s">
        <v>2</v>
      </c>
      <c r="C41" s="24">
        <v>5000000</v>
      </c>
      <c r="D41" s="27">
        <v>20807</v>
      </c>
      <c r="E41" s="30"/>
      <c r="F41" s="28">
        <v>3.5</v>
      </c>
      <c r="G41" s="21"/>
      <c r="H41" s="158">
        <f>CEILING('Fee Estimator'!$I$61,1000)</f>
        <v>0</v>
      </c>
      <c r="I41" s="158">
        <f>IF(H41&lt;C41,(D41+(((H41-C39)/$F$6)*F41)),H41)</f>
        <v>5057</v>
      </c>
      <c r="J41" s="195">
        <f t="shared" si="0"/>
        <v>20812</v>
      </c>
    </row>
    <row r="42" spans="2:10" x14ac:dyDescent="0.2">
      <c r="B42" s="21" t="s">
        <v>3</v>
      </c>
      <c r="C42" s="24">
        <v>5000000</v>
      </c>
      <c r="D42" s="27">
        <v>20807</v>
      </c>
      <c r="E42" s="30"/>
      <c r="F42" s="28">
        <v>3.5</v>
      </c>
      <c r="G42" s="21"/>
      <c r="H42" s="158">
        <f>CEILING('Fee Estimator'!$I$61,1000)</f>
        <v>0</v>
      </c>
      <c r="I42" s="158">
        <f>IF(H42=C42,(D42+(((H42-C40)/$F$6)*F42)),H42)</f>
        <v>0</v>
      </c>
      <c r="J42" s="195">
        <f t="shared" si="0"/>
        <v>20812</v>
      </c>
    </row>
    <row r="43" spans="2:10" x14ac:dyDescent="0.2">
      <c r="B43" s="21" t="s">
        <v>2</v>
      </c>
      <c r="C43" s="24">
        <v>10000000</v>
      </c>
      <c r="D43" s="27">
        <v>22557</v>
      </c>
      <c r="E43" s="30"/>
      <c r="F43" s="28">
        <v>3</v>
      </c>
      <c r="G43" s="21"/>
      <c r="H43" s="158">
        <f>CEILING('Fee Estimator'!$I$61,1000)</f>
        <v>0</v>
      </c>
      <c r="I43" s="158">
        <f>IF(H43&lt;C43,(D43+(((H43-C41)/$F$6)*F43)),H43)</f>
        <v>7557</v>
      </c>
      <c r="J43" s="195">
        <f t="shared" si="0"/>
        <v>22562</v>
      </c>
    </row>
    <row r="44" spans="2:10" x14ac:dyDescent="0.2">
      <c r="B44" s="21" t="s">
        <v>3</v>
      </c>
      <c r="C44" s="24">
        <v>10000000</v>
      </c>
      <c r="D44" s="27">
        <v>22557</v>
      </c>
      <c r="E44" s="30"/>
      <c r="F44" s="28">
        <v>3</v>
      </c>
      <c r="G44" s="21"/>
      <c r="H44" s="158">
        <f>CEILING('Fee Estimator'!$I$61,1000)</f>
        <v>0</v>
      </c>
      <c r="I44" s="158">
        <f>IF(H44=C44,(D44+(((H44-C42)/$F$6)*F44)),H44)</f>
        <v>0</v>
      </c>
      <c r="J44" s="195">
        <f t="shared" si="0"/>
        <v>22562</v>
      </c>
    </row>
    <row r="45" spans="2:10" x14ac:dyDescent="0.2">
      <c r="B45" s="21" t="s">
        <v>2</v>
      </c>
      <c r="C45" s="24">
        <v>25000000</v>
      </c>
      <c r="D45" s="27">
        <v>37557</v>
      </c>
      <c r="E45" s="30"/>
      <c r="F45" s="28">
        <v>3</v>
      </c>
      <c r="G45" s="21"/>
      <c r="H45" s="158">
        <f>CEILING('Fee Estimator'!$I$61,1000)</f>
        <v>0</v>
      </c>
      <c r="I45" s="158">
        <f>IF(H45&lt;C45,(D45+(((H45-C43)/$F$6)*F45)),H45)</f>
        <v>7557</v>
      </c>
      <c r="J45" s="195">
        <f t="shared" si="0"/>
        <v>37562</v>
      </c>
    </row>
    <row r="46" spans="2:10" x14ac:dyDescent="0.2">
      <c r="B46" s="21" t="s">
        <v>3</v>
      </c>
      <c r="C46" s="24">
        <v>25000000</v>
      </c>
      <c r="D46" s="27">
        <v>37557</v>
      </c>
      <c r="E46" s="30"/>
      <c r="F46" s="28">
        <v>3</v>
      </c>
      <c r="G46" s="21"/>
      <c r="H46" s="158">
        <f>CEILING('Fee Estimator'!$I$61,1000)</f>
        <v>0</v>
      </c>
      <c r="I46" s="158">
        <f>IF(H46=C46,(D46+(((H46-C44)/$F$6)*F46)),H46)</f>
        <v>0</v>
      </c>
      <c r="J46" s="195">
        <f t="shared" si="0"/>
        <v>37562</v>
      </c>
    </row>
    <row r="47" spans="2:10" x14ac:dyDescent="0.2">
      <c r="B47" s="21" t="s">
        <v>2</v>
      </c>
      <c r="C47" s="24">
        <v>50000000</v>
      </c>
      <c r="D47" s="27">
        <v>82557</v>
      </c>
      <c r="E47" s="30"/>
      <c r="F47" s="28">
        <v>3</v>
      </c>
      <c r="G47" s="21"/>
      <c r="H47" s="158">
        <f>CEILING('Fee Estimator'!$I$61,1000)</f>
        <v>0</v>
      </c>
      <c r="I47" s="158">
        <f>IF(H47&lt;C47,(D47+(((H47-C45)/$F$6)*F47)),H47)</f>
        <v>7557</v>
      </c>
      <c r="J47" s="195">
        <f t="shared" si="0"/>
        <v>82562</v>
      </c>
    </row>
    <row r="48" spans="2:10" x14ac:dyDescent="0.2">
      <c r="B48" s="21" t="s">
        <v>3</v>
      </c>
      <c r="C48" s="24">
        <v>50000000</v>
      </c>
      <c r="D48" s="27">
        <v>82557</v>
      </c>
      <c r="E48" s="30"/>
      <c r="F48" s="28">
        <v>3</v>
      </c>
      <c r="G48" s="21"/>
      <c r="H48" s="158">
        <f>CEILING('Fee Estimator'!$I$61,1000)</f>
        <v>0</v>
      </c>
      <c r="I48" s="158">
        <f>IF(H48=C48,(D48+(((H48-C46)/$F$6)*F48)),H48)</f>
        <v>0</v>
      </c>
      <c r="J48" s="195">
        <f t="shared" si="0"/>
        <v>82562</v>
      </c>
    </row>
    <row r="49" spans="2:10" x14ac:dyDescent="0.2">
      <c r="B49" s="21" t="s">
        <v>2</v>
      </c>
      <c r="C49" s="24">
        <v>75000000</v>
      </c>
      <c r="D49" s="27">
        <v>157557</v>
      </c>
      <c r="E49" s="30"/>
      <c r="F49" s="28">
        <v>2.5</v>
      </c>
      <c r="G49" s="21"/>
      <c r="H49" s="158">
        <f>CEILING('Fee Estimator'!$I$61,1000)</f>
        <v>0</v>
      </c>
      <c r="I49" s="158">
        <f>IF(H49&lt;C49,(D49+(((H49-C47)/$F$6)*F49)),H49)</f>
        <v>32557</v>
      </c>
      <c r="J49" s="195">
        <f t="shared" si="0"/>
        <v>157562</v>
      </c>
    </row>
    <row r="50" spans="2:10" x14ac:dyDescent="0.2">
      <c r="B50" s="21" t="s">
        <v>3</v>
      </c>
      <c r="C50" s="24">
        <v>75000000</v>
      </c>
      <c r="D50" s="27">
        <v>157557</v>
      </c>
      <c r="E50" s="30"/>
      <c r="F50" s="28">
        <v>2.5</v>
      </c>
      <c r="G50" s="21"/>
      <c r="H50" s="158">
        <f>CEILING('Fee Estimator'!$I$61,1000)</f>
        <v>0</v>
      </c>
      <c r="I50" s="158">
        <f>IF(H50=C50,(D50+(((H50-C48)/$F$6)*F50)),H50)</f>
        <v>0</v>
      </c>
      <c r="J50" s="195">
        <f t="shared" si="0"/>
        <v>157562</v>
      </c>
    </row>
    <row r="51" spans="2:10" x14ac:dyDescent="0.2">
      <c r="B51" s="21" t="s">
        <v>2</v>
      </c>
      <c r="C51" s="24">
        <v>100000000</v>
      </c>
      <c r="D51" s="27">
        <v>220057</v>
      </c>
      <c r="E51" s="30"/>
      <c r="F51" s="28">
        <v>2.5</v>
      </c>
      <c r="G51" s="21"/>
      <c r="H51" s="158">
        <f>CEILING('Fee Estimator'!$I$61,1000)</f>
        <v>0</v>
      </c>
      <c r="I51" s="158">
        <f>IF(H51&lt;C51,(D51+(((H51-C49)/$F$6)*F51)),H51)</f>
        <v>32557</v>
      </c>
      <c r="J51" s="195">
        <f t="shared" si="0"/>
        <v>220062</v>
      </c>
    </row>
    <row r="52" spans="2:10" x14ac:dyDescent="0.2">
      <c r="B52" s="21" t="s">
        <v>3</v>
      </c>
      <c r="C52" s="24">
        <v>100000000</v>
      </c>
      <c r="D52" s="27">
        <v>220057</v>
      </c>
      <c r="E52" s="30"/>
      <c r="F52" s="28">
        <v>2.5</v>
      </c>
      <c r="G52" s="21"/>
      <c r="H52" s="158">
        <f>CEILING('Fee Estimator'!$I$61,1000)</f>
        <v>0</v>
      </c>
      <c r="I52" s="158">
        <f>IF(H52=C52,(D52+(((H52-C50)/$F$6)*F52)),H52)</f>
        <v>0</v>
      </c>
      <c r="J52" s="195">
        <f t="shared" si="0"/>
        <v>220062</v>
      </c>
    </row>
    <row r="53" spans="2:10" x14ac:dyDescent="0.2">
      <c r="B53" s="21" t="s">
        <v>2</v>
      </c>
      <c r="C53" s="24">
        <v>150000000</v>
      </c>
      <c r="D53" s="27">
        <v>282557</v>
      </c>
      <c r="E53" s="30"/>
      <c r="F53" s="28">
        <v>2</v>
      </c>
      <c r="G53" s="21"/>
      <c r="H53" s="158">
        <f>CEILING('Fee Estimator'!$I$61,1000)</f>
        <v>0</v>
      </c>
      <c r="I53" s="158">
        <f>IF(H53&lt;C53,(D53+(((H53-C51)/$F$6)*F53)),H53)</f>
        <v>82557</v>
      </c>
      <c r="J53" s="195">
        <f t="shared" si="0"/>
        <v>282562</v>
      </c>
    </row>
    <row r="54" spans="2:10" x14ac:dyDescent="0.2">
      <c r="B54" s="21" t="s">
        <v>3</v>
      </c>
      <c r="C54" s="24">
        <v>150000000</v>
      </c>
      <c r="D54" s="27">
        <v>282557</v>
      </c>
      <c r="E54" s="30"/>
      <c r="F54" s="28">
        <v>2</v>
      </c>
      <c r="G54" s="21"/>
      <c r="H54" s="158">
        <f>CEILING('Fee Estimator'!$I$61,1000)</f>
        <v>0</v>
      </c>
      <c r="I54" s="158">
        <f>IF(H54=C54,(D54+(((H54-C52)/$F$6)*F54)),H54)</f>
        <v>0</v>
      </c>
      <c r="J54" s="195">
        <f t="shared" si="0"/>
        <v>282562</v>
      </c>
    </row>
    <row r="55" spans="2:10" x14ac:dyDescent="0.2">
      <c r="B55" s="21" t="s">
        <v>2</v>
      </c>
      <c r="C55" s="24">
        <v>200000000</v>
      </c>
      <c r="D55" s="27">
        <v>382557</v>
      </c>
      <c r="E55" s="30"/>
      <c r="F55" s="28">
        <v>2</v>
      </c>
      <c r="G55" s="21"/>
      <c r="H55" s="158">
        <f>CEILING('Fee Estimator'!$I$61,1000)</f>
        <v>0</v>
      </c>
      <c r="I55" s="158">
        <f>IF(H55&lt;C55,(D55+(((H55-C53)/$F$6)*F55)),H55)</f>
        <v>82557</v>
      </c>
      <c r="J55" s="195">
        <f t="shared" si="0"/>
        <v>382562</v>
      </c>
    </row>
    <row r="56" spans="2:10" x14ac:dyDescent="0.2">
      <c r="B56" s="21" t="s">
        <v>3</v>
      </c>
      <c r="C56" s="24">
        <v>200000000</v>
      </c>
      <c r="D56" s="27">
        <v>382557</v>
      </c>
      <c r="E56" s="30"/>
      <c r="F56" s="28">
        <v>2</v>
      </c>
      <c r="G56" s="21"/>
      <c r="H56" s="158">
        <f>CEILING('Fee Estimator'!$I$61,1000)</f>
        <v>0</v>
      </c>
      <c r="I56" s="158">
        <f>IF(H56=C56,(D56+(((H56-C54)/$F$6)*F56)),H56)</f>
        <v>0</v>
      </c>
      <c r="J56" s="195">
        <f t="shared" si="0"/>
        <v>382562</v>
      </c>
    </row>
    <row r="57" spans="2:10" x14ac:dyDescent="0.2">
      <c r="B57" s="21" t="s">
        <v>4</v>
      </c>
      <c r="C57" s="24">
        <v>200000000</v>
      </c>
      <c r="D57" s="27">
        <v>482557</v>
      </c>
      <c r="E57" s="30"/>
      <c r="F57" s="28">
        <v>1.75</v>
      </c>
      <c r="G57" s="21"/>
      <c r="H57" s="158">
        <f>CEILING('Fee Estimator'!$I$61,1000)</f>
        <v>0</v>
      </c>
      <c r="I57" s="158">
        <f>IF(H57&gt;C57,(D57+(((H57-C55)/$F$6)*F57)),H57)</f>
        <v>0</v>
      </c>
      <c r="J57" s="195">
        <f t="shared" si="0"/>
        <v>482562</v>
      </c>
    </row>
  </sheetData>
  <sheetProtection selectLockedCells="1" selectUnlockedCells="1"/>
  <mergeCells count="1">
    <mergeCell ref="C1:H1"/>
  </mergeCells>
  <phoneticPr fontId="3"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Fee Estimator</vt:lpstr>
      <vt:lpstr>BVD</vt:lpstr>
      <vt:lpstr>Table D-1</vt:lpstr>
      <vt:lpstr>ConstType</vt:lpstr>
      <vt:lpstr>OccupancyGroup</vt:lpstr>
    </vt:vector>
  </TitlesOfParts>
  <Company>city of Seattle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Seattle SDCI - Fee Estimator 2024</dc:title>
  <dc:subject>DPD Fee Estimator</dc:subject>
  <dc:creator>Wendy Shark</dc:creator>
  <cp:lastModifiedBy>Callison, Moon</cp:lastModifiedBy>
  <cp:lastPrinted>2016-12-22T15:19:03Z</cp:lastPrinted>
  <dcterms:created xsi:type="dcterms:W3CDTF">2006-09-20T20:45:29Z</dcterms:created>
  <dcterms:modified xsi:type="dcterms:W3CDTF">2026-01-02T21:29:39Z</dcterms:modified>
</cp:coreProperties>
</file>