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jMgmt\C305230 WW Pump Station Small Projects\DSG Exhibits\Appendices\11B - Example Head Loss Calculations\"/>
    </mc:Choice>
  </mc:AlternateContent>
  <xr:revisionPtr revIDLastSave="0" documentId="13_ncr:1_{427F7F08-B7B4-491C-9C00-970D4CFCCC7D}" xr6:coauthVersionLast="45" xr6:coauthVersionMax="45" xr10:uidLastSave="{00000000-0000-0000-0000-000000000000}"/>
  <bookViews>
    <workbookView xWindow="3885" yWindow="3885" windowWidth="28095" windowHeight="15885" firstSheet="3" activeTab="3" xr2:uid="{00000000-000D-0000-FFFF-FFFF00000000}"/>
  </bookViews>
  <sheets>
    <sheet name="System Curve" sheetId="2" r:id="rId1"/>
    <sheet name="VS Pump Data" sheetId="11" r:id="rId2"/>
    <sheet name="Pump Curve" sheetId="3" r:id="rId3"/>
    <sheet name="Pump Design Summary" sheetId="1" r:id="rId4"/>
  </sheets>
  <definedNames>
    <definedName name="Size_Index">'System Curve'!$D$63:$D$64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0" i="2" l="1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9" i="2"/>
  <c r="E30" i="11" l="1"/>
  <c r="E31" i="11"/>
  <c r="E32" i="11"/>
  <c r="E33" i="11"/>
  <c r="E29" i="11"/>
  <c r="Q85" i="2"/>
  <c r="Q80" i="2"/>
  <c r="Q75" i="2"/>
  <c r="Q70" i="2"/>
  <c r="Q65" i="2"/>
  <c r="Q60" i="2"/>
  <c r="Q55" i="2"/>
  <c r="Q50" i="2"/>
  <c r="Q45" i="2"/>
  <c r="Q40" i="2"/>
  <c r="S37" i="2"/>
  <c r="AJ37" i="2" s="1"/>
  <c r="S38" i="2"/>
  <c r="Q35" i="2"/>
  <c r="D64" i="2"/>
  <c r="D63" i="2"/>
  <c r="D62" i="2"/>
  <c r="D46" i="11"/>
  <c r="S36" i="2" s="1"/>
  <c r="D47" i="11"/>
  <c r="D48" i="11"/>
  <c r="D49" i="11"/>
  <c r="S39" i="2" s="1"/>
  <c r="D45" i="11"/>
  <c r="S35" i="2" s="1"/>
  <c r="D33" i="11"/>
  <c r="D32" i="11"/>
  <c r="D31" i="11"/>
  <c r="D30" i="11"/>
  <c r="D29" i="11"/>
  <c r="X27" i="11"/>
  <c r="V27" i="11"/>
  <c r="T27" i="11"/>
  <c r="R27" i="11"/>
  <c r="P27" i="11"/>
  <c r="N27" i="11"/>
  <c r="L27" i="11"/>
  <c r="J27" i="11"/>
  <c r="H27" i="11"/>
  <c r="F27" i="11"/>
  <c r="D27" i="11"/>
  <c r="X18" i="11"/>
  <c r="V18" i="11"/>
  <c r="T18" i="11"/>
  <c r="R18" i="11"/>
  <c r="P18" i="11"/>
  <c r="N18" i="11"/>
  <c r="L18" i="11"/>
  <c r="J18" i="11"/>
  <c r="H18" i="11"/>
  <c r="F18" i="11"/>
  <c r="D18" i="11"/>
  <c r="J6" i="2"/>
  <c r="L6" i="2"/>
  <c r="AH35" i="2" l="1"/>
  <c r="AC35" i="2"/>
  <c r="U35" i="2"/>
  <c r="AE35" i="2"/>
  <c r="X35" i="2"/>
  <c r="AD35" i="2"/>
  <c r="AF35" i="2"/>
  <c r="AI35" i="2" s="1"/>
  <c r="AK35" i="2" s="1"/>
  <c r="V35" i="2"/>
  <c r="T35" i="2"/>
  <c r="AG35" i="2"/>
  <c r="Z35" i="2"/>
  <c r="W35" i="2"/>
  <c r="L15" i="2"/>
  <c r="L23" i="2"/>
  <c r="L16" i="2"/>
  <c r="L24" i="2"/>
  <c r="L17" i="2"/>
  <c r="L9" i="2"/>
  <c r="L10" i="2"/>
  <c r="L18" i="2"/>
  <c r="L12" i="2"/>
  <c r="L21" i="2"/>
  <c r="L14" i="2"/>
  <c r="L11" i="2"/>
  <c r="L19" i="2"/>
  <c r="L20" i="2"/>
  <c r="L13" i="2"/>
  <c r="L22" i="2"/>
  <c r="AC39" i="2"/>
  <c r="U39" i="2"/>
  <c r="AF39" i="2"/>
  <c r="AI39" i="2" s="1"/>
  <c r="AK39" i="2" s="1"/>
  <c r="X39" i="2"/>
  <c r="AD39" i="2"/>
  <c r="T39" i="2"/>
  <c r="Z39" i="2"/>
  <c r="W39" i="2"/>
  <c r="AE39" i="2"/>
  <c r="AG39" i="2"/>
  <c r="AH39" i="2"/>
  <c r="V39" i="2"/>
  <c r="AJ39" i="2"/>
  <c r="AG38" i="2"/>
  <c r="W38" i="2"/>
  <c r="AH38" i="2"/>
  <c r="X38" i="2"/>
  <c r="Z38" i="2"/>
  <c r="AD38" i="2"/>
  <c r="U38" i="2"/>
  <c r="V38" i="2"/>
  <c r="AC38" i="2"/>
  <c r="AE38" i="2"/>
  <c r="AF38" i="2"/>
  <c r="T38" i="2"/>
  <c r="AJ38" i="2"/>
  <c r="AJ35" i="2"/>
  <c r="AC36" i="2"/>
  <c r="W36" i="2"/>
  <c r="Z36" i="2"/>
  <c r="AD36" i="2"/>
  <c r="X36" i="2"/>
  <c r="Y36" i="2" s="1"/>
  <c r="AA36" i="2" s="1"/>
  <c r="AE36" i="2"/>
  <c r="AI36" i="2" s="1"/>
  <c r="AK36" i="2" s="1"/>
  <c r="AH36" i="2"/>
  <c r="AF36" i="2"/>
  <c r="AG36" i="2"/>
  <c r="T36" i="2"/>
  <c r="U36" i="2"/>
  <c r="V36" i="2"/>
  <c r="AJ36" i="2"/>
  <c r="J15" i="2"/>
  <c r="J23" i="2"/>
  <c r="J16" i="2"/>
  <c r="J24" i="2"/>
  <c r="J17" i="2"/>
  <c r="J9" i="2"/>
  <c r="J14" i="2"/>
  <c r="J10" i="2"/>
  <c r="J18" i="2"/>
  <c r="J12" i="2"/>
  <c r="J21" i="2"/>
  <c r="J22" i="2"/>
  <c r="J11" i="2"/>
  <c r="J19" i="2"/>
  <c r="J20" i="2"/>
  <c r="J13" i="2"/>
  <c r="AE37" i="2"/>
  <c r="AF37" i="2"/>
  <c r="Z37" i="2"/>
  <c r="AG37" i="2"/>
  <c r="U37" i="2"/>
  <c r="X37" i="2"/>
  <c r="V37" i="2"/>
  <c r="W37" i="2"/>
  <c r="AC37" i="2"/>
  <c r="AI37" i="2" s="1"/>
  <c r="AK37" i="2" s="1"/>
  <c r="AD37" i="2"/>
  <c r="AH37" i="2"/>
  <c r="T37" i="2"/>
  <c r="Y37" i="2" s="1"/>
  <c r="AI38" i="2"/>
  <c r="AK38" i="2" s="1"/>
  <c r="D55" i="11"/>
  <c r="D56" i="11"/>
  <c r="D57" i="11"/>
  <c r="D58" i="11"/>
  <c r="D54" i="11"/>
  <c r="X52" i="11"/>
  <c r="V52" i="11"/>
  <c r="T52" i="11"/>
  <c r="R52" i="11"/>
  <c r="P52" i="11"/>
  <c r="N52" i="11"/>
  <c r="L52" i="11"/>
  <c r="J52" i="11"/>
  <c r="H52" i="11"/>
  <c r="F52" i="11"/>
  <c r="D52" i="11"/>
  <c r="F73" i="11"/>
  <c r="D73" i="11"/>
  <c r="Y39" i="2" l="1"/>
  <c r="AA39" i="2" s="1"/>
  <c r="AL39" i="2" s="1"/>
  <c r="E49" i="11" s="1"/>
  <c r="G73" i="11" s="1"/>
  <c r="Y38" i="2"/>
  <c r="AA38" i="2" s="1"/>
  <c r="AA37" i="2"/>
  <c r="Y35" i="2"/>
  <c r="AA35" i="2" s="1"/>
  <c r="AL35" i="2" s="1"/>
  <c r="E45" i="11" s="1"/>
  <c r="E73" i="11" s="1"/>
  <c r="AL36" i="2"/>
  <c r="E46" i="11" s="1"/>
  <c r="AL38" i="2"/>
  <c r="E48" i="11" s="1"/>
  <c r="AL37" i="2"/>
  <c r="E47" i="11" s="1"/>
  <c r="T58" i="11"/>
  <c r="T55" i="11"/>
  <c r="T54" i="11"/>
  <c r="X43" i="11"/>
  <c r="V43" i="11"/>
  <c r="T43" i="11"/>
  <c r="R43" i="11"/>
  <c r="R57" i="11" s="1"/>
  <c r="P43" i="11"/>
  <c r="N43" i="11"/>
  <c r="L43" i="11"/>
  <c r="J43" i="11"/>
  <c r="H43" i="11"/>
  <c r="F43" i="11"/>
  <c r="D43" i="11"/>
  <c r="T56" i="11" s="1"/>
  <c r="D11" i="11"/>
  <c r="D10" i="11"/>
  <c r="I75" i="11" l="1"/>
  <c r="J75" i="11" s="1"/>
  <c r="R45" i="2"/>
  <c r="I76" i="11"/>
  <c r="J76" i="11" s="1"/>
  <c r="R50" i="2"/>
  <c r="I78" i="11"/>
  <c r="J78" i="11" s="1"/>
  <c r="R60" i="2"/>
  <c r="I79" i="11"/>
  <c r="J79" i="11" s="1"/>
  <c r="R65" i="2"/>
  <c r="I83" i="11"/>
  <c r="J83" i="11" s="1"/>
  <c r="R85" i="2"/>
  <c r="I77" i="11"/>
  <c r="J77" i="11" s="1"/>
  <c r="R55" i="2"/>
  <c r="S24" i="11"/>
  <c r="S33" i="11" s="1"/>
  <c r="K24" i="11"/>
  <c r="K33" i="11" s="1"/>
  <c r="W23" i="11"/>
  <c r="W32" i="11" s="1"/>
  <c r="O23" i="11"/>
  <c r="O32" i="11" s="1"/>
  <c r="G23" i="11"/>
  <c r="G32" i="11" s="1"/>
  <c r="S22" i="11"/>
  <c r="S31" i="11" s="1"/>
  <c r="K22" i="11"/>
  <c r="K31" i="11" s="1"/>
  <c r="W21" i="11"/>
  <c r="W30" i="11" s="1"/>
  <c r="O21" i="11"/>
  <c r="O30" i="11" s="1"/>
  <c r="G21" i="11"/>
  <c r="G30" i="11" s="1"/>
  <c r="S20" i="11"/>
  <c r="S29" i="11" s="1"/>
  <c r="K20" i="11"/>
  <c r="K29" i="11" s="1"/>
  <c r="R30" i="11"/>
  <c r="R24" i="11"/>
  <c r="J24" i="11"/>
  <c r="V23" i="11"/>
  <c r="N23" i="11"/>
  <c r="F23" i="11"/>
  <c r="R22" i="11"/>
  <c r="J22" i="11"/>
  <c r="V21" i="11"/>
  <c r="N21" i="11"/>
  <c r="F21" i="11"/>
  <c r="R20" i="11"/>
  <c r="J20" i="11"/>
  <c r="X24" i="11"/>
  <c r="P24" i="11"/>
  <c r="H24" i="11"/>
  <c r="T23" i="11"/>
  <c r="L23" i="11"/>
  <c r="X22" i="11"/>
  <c r="P22" i="11"/>
  <c r="H22" i="11"/>
  <c r="T21" i="11"/>
  <c r="L21" i="11"/>
  <c r="X20" i="11"/>
  <c r="P20" i="11"/>
  <c r="H20" i="11"/>
  <c r="V24" i="11"/>
  <c r="N24" i="11"/>
  <c r="R23" i="11"/>
  <c r="V22" i="11"/>
  <c r="N22" i="11"/>
  <c r="R21" i="11"/>
  <c r="V20" i="11"/>
  <c r="F20" i="11"/>
  <c r="T31" i="11"/>
  <c r="M24" i="11"/>
  <c r="M33" i="11" s="1"/>
  <c r="I23" i="11"/>
  <c r="I32" i="11" s="1"/>
  <c r="M22" i="11"/>
  <c r="M31" i="11" s="1"/>
  <c r="Q21" i="11"/>
  <c r="Q30" i="11" s="1"/>
  <c r="W24" i="11"/>
  <c r="W33" i="11" s="1"/>
  <c r="O24" i="11"/>
  <c r="O33" i="11" s="1"/>
  <c r="G24" i="11"/>
  <c r="G33" i="11" s="1"/>
  <c r="S23" i="11"/>
  <c r="S32" i="11" s="1"/>
  <c r="K23" i="11"/>
  <c r="K32" i="11" s="1"/>
  <c r="W22" i="11"/>
  <c r="W31" i="11" s="1"/>
  <c r="O22" i="11"/>
  <c r="O31" i="11" s="1"/>
  <c r="G22" i="11"/>
  <c r="G31" i="11" s="1"/>
  <c r="S21" i="11"/>
  <c r="S30" i="11" s="1"/>
  <c r="K21" i="11"/>
  <c r="K30" i="11" s="1"/>
  <c r="W20" i="11"/>
  <c r="W29" i="11" s="1"/>
  <c r="O20" i="11"/>
  <c r="O29" i="11" s="1"/>
  <c r="G20" i="11"/>
  <c r="G29" i="11" s="1"/>
  <c r="R35" i="2"/>
  <c r="F24" i="11"/>
  <c r="J23" i="11"/>
  <c r="F22" i="11"/>
  <c r="J21" i="11"/>
  <c r="N20" i="11"/>
  <c r="J33" i="11"/>
  <c r="U24" i="11"/>
  <c r="U33" i="11" s="1"/>
  <c r="Y23" i="11"/>
  <c r="Y32" i="11" s="1"/>
  <c r="Q23" i="11"/>
  <c r="Q32" i="11" s="1"/>
  <c r="U22" i="11"/>
  <c r="U31" i="11" s="1"/>
  <c r="Y21" i="11"/>
  <c r="Y30" i="11" s="1"/>
  <c r="L29" i="11"/>
  <c r="L24" i="11"/>
  <c r="T22" i="11"/>
  <c r="I21" i="11"/>
  <c r="I30" i="11" s="1"/>
  <c r="I20" i="11"/>
  <c r="I29" i="11" s="1"/>
  <c r="X32" i="11"/>
  <c r="I24" i="11"/>
  <c r="I33" i="11" s="1"/>
  <c r="Q22" i="11"/>
  <c r="Q31" i="11" s="1"/>
  <c r="H21" i="11"/>
  <c r="X23" i="11"/>
  <c r="L22" i="11"/>
  <c r="Y20" i="11"/>
  <c r="Y29" i="11" s="1"/>
  <c r="T20" i="11"/>
  <c r="J30" i="11"/>
  <c r="M23" i="11"/>
  <c r="M32" i="11" s="1"/>
  <c r="Q20" i="11"/>
  <c r="Q29" i="11" s="1"/>
  <c r="H23" i="11"/>
  <c r="Y22" i="11"/>
  <c r="Y31" i="11" s="1"/>
  <c r="L31" i="11"/>
  <c r="U23" i="11"/>
  <c r="U32" i="11" s="1"/>
  <c r="I22" i="11"/>
  <c r="I31" i="11" s="1"/>
  <c r="U20" i="11"/>
  <c r="U29" i="11" s="1"/>
  <c r="X21" i="11"/>
  <c r="T24" i="11"/>
  <c r="M20" i="11"/>
  <c r="M29" i="11" s="1"/>
  <c r="Q24" i="11"/>
  <c r="Q33" i="11" s="1"/>
  <c r="P23" i="11"/>
  <c r="X33" i="11"/>
  <c r="Y24" i="11"/>
  <c r="Y33" i="11" s="1"/>
  <c r="U21" i="11"/>
  <c r="U30" i="11" s="1"/>
  <c r="R33" i="11"/>
  <c r="P21" i="11"/>
  <c r="H33" i="11"/>
  <c r="R29" i="11"/>
  <c r="M21" i="11"/>
  <c r="M30" i="11" s="1"/>
  <c r="L20" i="11"/>
  <c r="V33" i="11"/>
  <c r="L33" i="11"/>
  <c r="X30" i="11"/>
  <c r="F31" i="11"/>
  <c r="X31" i="11"/>
  <c r="H30" i="11"/>
  <c r="F29" i="11"/>
  <c r="T32" i="11"/>
  <c r="P29" i="11"/>
  <c r="H29" i="11"/>
  <c r="P32" i="11"/>
  <c r="R31" i="11"/>
  <c r="N31" i="11"/>
  <c r="F30" i="11"/>
  <c r="P30" i="11"/>
  <c r="V30" i="11"/>
  <c r="V29" i="11"/>
  <c r="X29" i="11"/>
  <c r="P33" i="11"/>
  <c r="F33" i="11"/>
  <c r="V31" i="11"/>
  <c r="N30" i="11"/>
  <c r="F32" i="11"/>
  <c r="J32" i="11"/>
  <c r="T29" i="11"/>
  <c r="H31" i="11"/>
  <c r="H32" i="11"/>
  <c r="N29" i="11"/>
  <c r="L30" i="11"/>
  <c r="N32" i="11"/>
  <c r="N33" i="11"/>
  <c r="T33" i="11"/>
  <c r="T30" i="11"/>
  <c r="L32" i="11"/>
  <c r="V32" i="11"/>
  <c r="J29" i="11"/>
  <c r="P31" i="11"/>
  <c r="J31" i="11"/>
  <c r="R32" i="11"/>
  <c r="I81" i="11"/>
  <c r="J81" i="11" s="1"/>
  <c r="R75" i="2"/>
  <c r="I80" i="11"/>
  <c r="J80" i="11" s="1"/>
  <c r="R70" i="2"/>
  <c r="I74" i="11"/>
  <c r="J74" i="11" s="1"/>
  <c r="R40" i="2"/>
  <c r="I82" i="11"/>
  <c r="J82" i="11" s="1"/>
  <c r="R80" i="2"/>
  <c r="X57" i="11"/>
  <c r="L54" i="11"/>
  <c r="L58" i="11"/>
  <c r="J57" i="11"/>
  <c r="H55" i="11"/>
  <c r="X55" i="11"/>
  <c r="F55" i="11"/>
  <c r="P57" i="11"/>
  <c r="V56" i="11"/>
  <c r="V58" i="11"/>
  <c r="P54" i="11"/>
  <c r="I73" i="11"/>
  <c r="J73" i="11" s="1"/>
  <c r="R55" i="11"/>
  <c r="H45" i="11"/>
  <c r="P45" i="11"/>
  <c r="X45" i="11"/>
  <c r="N46" i="11"/>
  <c r="S61" i="2" s="1"/>
  <c r="V46" i="11"/>
  <c r="S81" i="2" s="1"/>
  <c r="L47" i="11"/>
  <c r="S57" i="2" s="1"/>
  <c r="T47" i="11"/>
  <c r="S77" i="2" s="1"/>
  <c r="J48" i="11"/>
  <c r="S53" i="2" s="1"/>
  <c r="R48" i="11"/>
  <c r="S73" i="2" s="1"/>
  <c r="H49" i="11"/>
  <c r="P49" i="11"/>
  <c r="X49" i="11"/>
  <c r="F49" i="11"/>
  <c r="H58" i="11"/>
  <c r="T57" i="11"/>
  <c r="L57" i="11"/>
  <c r="X56" i="11"/>
  <c r="P56" i="11"/>
  <c r="H56" i="11"/>
  <c r="X54" i="11"/>
  <c r="J45" i="11"/>
  <c r="R45" i="11"/>
  <c r="H46" i="11"/>
  <c r="S46" i="2" s="1"/>
  <c r="P46" i="11"/>
  <c r="S66" i="2" s="1"/>
  <c r="X46" i="11"/>
  <c r="S86" i="2" s="1"/>
  <c r="N47" i="11"/>
  <c r="S62" i="2" s="1"/>
  <c r="V47" i="11"/>
  <c r="S82" i="2" s="1"/>
  <c r="L48" i="11"/>
  <c r="S58" i="2" s="1"/>
  <c r="T48" i="11"/>
  <c r="S78" i="2" s="1"/>
  <c r="J49" i="11"/>
  <c r="R49" i="11"/>
  <c r="F46" i="11"/>
  <c r="S41" i="2" s="1"/>
  <c r="T45" i="11"/>
  <c r="R46" i="11"/>
  <c r="S71" i="2" s="1"/>
  <c r="H47" i="11"/>
  <c r="S47" i="2" s="1"/>
  <c r="X47" i="11"/>
  <c r="S87" i="2" s="1"/>
  <c r="N48" i="11"/>
  <c r="S63" i="2" s="1"/>
  <c r="L49" i="11"/>
  <c r="F47" i="11"/>
  <c r="S42" i="2" s="1"/>
  <c r="N58" i="11"/>
  <c r="R54" i="11"/>
  <c r="H54" i="11"/>
  <c r="V45" i="11"/>
  <c r="L46" i="11"/>
  <c r="S56" i="2" s="1"/>
  <c r="J47" i="11"/>
  <c r="S52" i="2" s="1"/>
  <c r="H48" i="11"/>
  <c r="S48" i="2" s="1"/>
  <c r="X48" i="11"/>
  <c r="S88" i="2" s="1"/>
  <c r="N49" i="11"/>
  <c r="F48" i="11"/>
  <c r="S43" i="2" s="1"/>
  <c r="J54" i="11"/>
  <c r="F45" i="11"/>
  <c r="L45" i="11"/>
  <c r="J46" i="11"/>
  <c r="S51" i="2" s="1"/>
  <c r="P47" i="11"/>
  <c r="S67" i="2" s="1"/>
  <c r="V48" i="11"/>
  <c r="S83" i="2" s="1"/>
  <c r="T49" i="11"/>
  <c r="X58" i="11"/>
  <c r="J55" i="11"/>
  <c r="N45" i="11"/>
  <c r="T46" i="11"/>
  <c r="S76" i="2" s="1"/>
  <c r="R47" i="11"/>
  <c r="S72" i="2" s="1"/>
  <c r="P48" i="11"/>
  <c r="S68" i="2" s="1"/>
  <c r="V49" i="11"/>
  <c r="P55" i="11"/>
  <c r="L55" i="11"/>
  <c r="H57" i="11"/>
  <c r="N56" i="11"/>
  <c r="N55" i="11"/>
  <c r="F56" i="11"/>
  <c r="R58" i="11"/>
  <c r="N57" i="11"/>
  <c r="L56" i="11"/>
  <c r="R56" i="11"/>
  <c r="N54" i="11"/>
  <c r="J58" i="11"/>
  <c r="F57" i="11"/>
  <c r="V54" i="11"/>
  <c r="V57" i="11"/>
  <c r="F54" i="11"/>
  <c r="V55" i="11"/>
  <c r="J56" i="11"/>
  <c r="F58" i="11"/>
  <c r="P58" i="11"/>
  <c r="G11" i="3"/>
  <c r="G12" i="3"/>
  <c r="G13" i="3"/>
  <c r="G14" i="3"/>
  <c r="G15" i="3"/>
  <c r="G16" i="3"/>
  <c r="G17" i="3"/>
  <c r="G18" i="3"/>
  <c r="G10" i="3"/>
  <c r="F82" i="11" l="1"/>
  <c r="S84" i="2"/>
  <c r="AC83" i="2"/>
  <c r="U83" i="2"/>
  <c r="AF83" i="2"/>
  <c r="X83" i="2"/>
  <c r="Y83" i="2" s="1"/>
  <c r="Z83" i="2"/>
  <c r="AD83" i="2"/>
  <c r="AE83" i="2"/>
  <c r="V83" i="2"/>
  <c r="W83" i="2"/>
  <c r="T83" i="2"/>
  <c r="AG83" i="2"/>
  <c r="AH83" i="2"/>
  <c r="AJ83" i="2"/>
  <c r="F77" i="11"/>
  <c r="S59" i="2"/>
  <c r="AC63" i="2"/>
  <c r="U63" i="2"/>
  <c r="AF63" i="2"/>
  <c r="X63" i="2"/>
  <c r="AD63" i="2"/>
  <c r="T63" i="2"/>
  <c r="W63" i="2"/>
  <c r="AE63" i="2"/>
  <c r="AG63" i="2"/>
  <c r="V63" i="2"/>
  <c r="Z63" i="2"/>
  <c r="AH63" i="2"/>
  <c r="AJ63" i="2"/>
  <c r="F76" i="11"/>
  <c r="S54" i="2"/>
  <c r="D80" i="11"/>
  <c r="S70" i="2"/>
  <c r="F79" i="11"/>
  <c r="S69" i="2"/>
  <c r="D83" i="11"/>
  <c r="S85" i="2"/>
  <c r="AC56" i="2"/>
  <c r="W56" i="2"/>
  <c r="T56" i="2"/>
  <c r="AD56" i="2"/>
  <c r="X56" i="2"/>
  <c r="AE56" i="2"/>
  <c r="AH56" i="2"/>
  <c r="AG56" i="2"/>
  <c r="AF56" i="2"/>
  <c r="Z56" i="2"/>
  <c r="U56" i="2"/>
  <c r="V56" i="2"/>
  <c r="AJ56" i="2"/>
  <c r="AE61" i="2"/>
  <c r="AF61" i="2"/>
  <c r="AG61" i="2"/>
  <c r="U61" i="2"/>
  <c r="X61" i="2"/>
  <c r="V61" i="2"/>
  <c r="W61" i="2"/>
  <c r="Z61" i="2"/>
  <c r="AC61" i="2"/>
  <c r="AD61" i="2"/>
  <c r="AH61" i="2"/>
  <c r="T61" i="2"/>
  <c r="AJ61" i="2"/>
  <c r="Z51" i="2"/>
  <c r="AC51" i="2"/>
  <c r="U51" i="2"/>
  <c r="AF51" i="2"/>
  <c r="X51" i="2"/>
  <c r="AE51" i="2"/>
  <c r="W51" i="2"/>
  <c r="AD51" i="2"/>
  <c r="V51" i="2"/>
  <c r="T51" i="2"/>
  <c r="AG51" i="2"/>
  <c r="AH51" i="2"/>
  <c r="AJ51" i="2"/>
  <c r="Z87" i="2"/>
  <c r="AC87" i="2"/>
  <c r="U87" i="2"/>
  <c r="AF87" i="2"/>
  <c r="X87" i="2"/>
  <c r="AD87" i="2"/>
  <c r="AE87" i="2"/>
  <c r="AG87" i="2"/>
  <c r="W87" i="2"/>
  <c r="V87" i="2"/>
  <c r="AH87" i="2"/>
  <c r="T87" i="2"/>
  <c r="AJ87" i="2"/>
  <c r="F75" i="11"/>
  <c r="S49" i="2"/>
  <c r="D79" i="11"/>
  <c r="S65" i="2"/>
  <c r="AG46" i="2"/>
  <c r="W46" i="2"/>
  <c r="AH46" i="2"/>
  <c r="X46" i="2"/>
  <c r="AD46" i="2"/>
  <c r="Z46" i="2"/>
  <c r="U46" i="2"/>
  <c r="T46" i="2"/>
  <c r="V46" i="2"/>
  <c r="AC46" i="2"/>
  <c r="AI46" i="2" s="1"/>
  <c r="AK46" i="2" s="1"/>
  <c r="AF46" i="2"/>
  <c r="AE46" i="2"/>
  <c r="AJ46" i="2"/>
  <c r="AC76" i="2"/>
  <c r="W76" i="2"/>
  <c r="AD76" i="2"/>
  <c r="X76" i="2"/>
  <c r="Y76" i="2" s="1"/>
  <c r="AA76" i="2" s="1"/>
  <c r="AE76" i="2"/>
  <c r="AH76" i="2"/>
  <c r="AF76" i="2"/>
  <c r="AG76" i="2"/>
  <c r="T76" i="2"/>
  <c r="Z76" i="2"/>
  <c r="U76" i="2"/>
  <c r="V76" i="2"/>
  <c r="AJ76" i="2"/>
  <c r="D78" i="11"/>
  <c r="S60" i="2"/>
  <c r="AG78" i="2"/>
  <c r="W78" i="2"/>
  <c r="Z78" i="2"/>
  <c r="AH78" i="2"/>
  <c r="X78" i="2"/>
  <c r="AD78" i="2"/>
  <c r="U78" i="2"/>
  <c r="V78" i="2"/>
  <c r="T78" i="2"/>
  <c r="AC78" i="2"/>
  <c r="AF78" i="2"/>
  <c r="AE78" i="2"/>
  <c r="AJ78" i="2"/>
  <c r="Z43" i="2"/>
  <c r="AC43" i="2"/>
  <c r="U43" i="2"/>
  <c r="AF43" i="2"/>
  <c r="X43" i="2"/>
  <c r="T43" i="2"/>
  <c r="AE43" i="2"/>
  <c r="W43" i="2"/>
  <c r="V43" i="2"/>
  <c r="AD43" i="2"/>
  <c r="AG43" i="2"/>
  <c r="AH43" i="2"/>
  <c r="AJ43" i="2"/>
  <c r="AG58" i="2"/>
  <c r="W58" i="2"/>
  <c r="AH58" i="2"/>
  <c r="X58" i="2"/>
  <c r="Z58" i="2"/>
  <c r="AD58" i="2"/>
  <c r="AE58" i="2"/>
  <c r="U58" i="2"/>
  <c r="AC58" i="2"/>
  <c r="T58" i="2"/>
  <c r="AF58" i="2"/>
  <c r="V58" i="2"/>
  <c r="AJ58" i="2"/>
  <c r="D75" i="11"/>
  <c r="S45" i="2"/>
  <c r="AC72" i="2"/>
  <c r="W72" i="2"/>
  <c r="T72" i="2"/>
  <c r="AD72" i="2"/>
  <c r="X72" i="2"/>
  <c r="Y72" i="2" s="1"/>
  <c r="AA72" i="2" s="1"/>
  <c r="Z72" i="2"/>
  <c r="AE72" i="2"/>
  <c r="AH72" i="2"/>
  <c r="AF72" i="2"/>
  <c r="AG72" i="2"/>
  <c r="U72" i="2"/>
  <c r="V72" i="2"/>
  <c r="AJ72" i="2"/>
  <c r="F80" i="11"/>
  <c r="S74" i="2"/>
  <c r="F83" i="11"/>
  <c r="S89" i="2"/>
  <c r="AC67" i="2"/>
  <c r="U67" i="2"/>
  <c r="AF67" i="2"/>
  <c r="X67" i="2"/>
  <c r="AD67" i="2"/>
  <c r="AE67" i="2"/>
  <c r="W67" i="2"/>
  <c r="T67" i="2"/>
  <c r="V67" i="2"/>
  <c r="AH67" i="2"/>
  <c r="Z67" i="2"/>
  <c r="AG67" i="2"/>
  <c r="AJ67" i="2"/>
  <c r="D77" i="11"/>
  <c r="S55" i="2"/>
  <c r="AE73" i="2"/>
  <c r="AF73" i="2"/>
  <c r="T73" i="2"/>
  <c r="AG73" i="2"/>
  <c r="U73" i="2"/>
  <c r="Z73" i="2"/>
  <c r="X73" i="2"/>
  <c r="AH73" i="2"/>
  <c r="V73" i="2"/>
  <c r="W73" i="2"/>
  <c r="AC73" i="2"/>
  <c r="AD73" i="2"/>
  <c r="AJ73" i="2"/>
  <c r="D74" i="11"/>
  <c r="S40" i="2"/>
  <c r="F78" i="11"/>
  <c r="S64" i="2"/>
  <c r="Z71" i="2"/>
  <c r="AC71" i="2"/>
  <c r="U71" i="2"/>
  <c r="AF71" i="2"/>
  <c r="X71" i="2"/>
  <c r="AD71" i="2"/>
  <c r="AE71" i="2"/>
  <c r="AG71" i="2"/>
  <c r="V71" i="2"/>
  <c r="AH71" i="2"/>
  <c r="W71" i="2"/>
  <c r="T71" i="2"/>
  <c r="AJ71" i="2"/>
  <c r="AG82" i="2"/>
  <c r="W82" i="2"/>
  <c r="AH82" i="2"/>
  <c r="X82" i="2"/>
  <c r="AD82" i="2"/>
  <c r="Z82" i="2"/>
  <c r="AC82" i="2"/>
  <c r="AI82" i="2" s="1"/>
  <c r="AK82" i="2" s="1"/>
  <c r="AE82" i="2"/>
  <c r="U82" i="2"/>
  <c r="AF82" i="2"/>
  <c r="V82" i="2"/>
  <c r="T82" i="2"/>
  <c r="Y82" i="2" s="1"/>
  <c r="AJ82" i="2"/>
  <c r="AE53" i="2"/>
  <c r="AF53" i="2"/>
  <c r="AG53" i="2"/>
  <c r="U53" i="2"/>
  <c r="X53" i="2"/>
  <c r="V53" i="2"/>
  <c r="W53" i="2"/>
  <c r="T53" i="2"/>
  <c r="Y53" i="2" s="1"/>
  <c r="AA53" i="2" s="1"/>
  <c r="AC53" i="2"/>
  <c r="AD53" i="2"/>
  <c r="AH53" i="2"/>
  <c r="Z53" i="2"/>
  <c r="AJ53" i="2"/>
  <c r="D82" i="11"/>
  <c r="S80" i="2"/>
  <c r="D76" i="11"/>
  <c r="S50" i="2"/>
  <c r="AC47" i="2"/>
  <c r="AI47" i="2" s="1"/>
  <c r="AK47" i="2" s="1"/>
  <c r="U47" i="2"/>
  <c r="AF47" i="2"/>
  <c r="X47" i="2"/>
  <c r="Z47" i="2"/>
  <c r="AD47" i="2"/>
  <c r="AG47" i="2"/>
  <c r="V47" i="2"/>
  <c r="AE47" i="2"/>
  <c r="AH47" i="2"/>
  <c r="W47" i="2"/>
  <c r="T47" i="2"/>
  <c r="AJ47" i="2"/>
  <c r="AC88" i="2"/>
  <c r="W88" i="2"/>
  <c r="T88" i="2"/>
  <c r="AD88" i="2"/>
  <c r="X88" i="2"/>
  <c r="AE88" i="2"/>
  <c r="Z88" i="2"/>
  <c r="AH88" i="2"/>
  <c r="AG88" i="2"/>
  <c r="AF88" i="2"/>
  <c r="U88" i="2"/>
  <c r="V88" i="2"/>
  <c r="AJ88" i="2"/>
  <c r="D81" i="11"/>
  <c r="S75" i="2"/>
  <c r="AG62" i="2"/>
  <c r="W62" i="2"/>
  <c r="AH62" i="2"/>
  <c r="X62" i="2"/>
  <c r="AD62" i="2"/>
  <c r="T62" i="2"/>
  <c r="AC62" i="2"/>
  <c r="U62" i="2"/>
  <c r="Z62" i="2"/>
  <c r="V62" i="2"/>
  <c r="AF62" i="2"/>
  <c r="AE62" i="2"/>
  <c r="AJ62" i="2"/>
  <c r="AE77" i="2"/>
  <c r="AF77" i="2"/>
  <c r="AG77" i="2"/>
  <c r="U77" i="2"/>
  <c r="X77" i="2"/>
  <c r="V77" i="2"/>
  <c r="W77" i="2"/>
  <c r="AC77" i="2"/>
  <c r="AI77" i="2" s="1"/>
  <c r="AK77" i="2" s="1"/>
  <c r="AD77" i="2"/>
  <c r="T77" i="2"/>
  <c r="AH77" i="2"/>
  <c r="Z77" i="2"/>
  <c r="AJ77" i="2"/>
  <c r="AC48" i="2"/>
  <c r="W48" i="2"/>
  <c r="T48" i="2"/>
  <c r="AD48" i="2"/>
  <c r="X48" i="2"/>
  <c r="AE48" i="2"/>
  <c r="AH48" i="2"/>
  <c r="Z48" i="2"/>
  <c r="AF48" i="2"/>
  <c r="AG48" i="2"/>
  <c r="V48" i="2"/>
  <c r="U48" i="2"/>
  <c r="AJ48" i="2"/>
  <c r="AG86" i="2"/>
  <c r="W86" i="2"/>
  <c r="Z86" i="2"/>
  <c r="AH86" i="2"/>
  <c r="X86" i="2"/>
  <c r="AD86" i="2"/>
  <c r="U86" i="2"/>
  <c r="T86" i="2"/>
  <c r="V86" i="2"/>
  <c r="AC86" i="2"/>
  <c r="AE86" i="2"/>
  <c r="AF86" i="2"/>
  <c r="AJ86" i="2"/>
  <c r="AE57" i="2"/>
  <c r="Z57" i="2"/>
  <c r="AF57" i="2"/>
  <c r="T57" i="2"/>
  <c r="AG57" i="2"/>
  <c r="U57" i="2"/>
  <c r="X57" i="2"/>
  <c r="AH57" i="2"/>
  <c r="V57" i="2"/>
  <c r="W57" i="2"/>
  <c r="AD57" i="2"/>
  <c r="AC57" i="2"/>
  <c r="AJ57" i="2"/>
  <c r="AC68" i="2"/>
  <c r="W68" i="2"/>
  <c r="AD68" i="2"/>
  <c r="X68" i="2"/>
  <c r="Y68" i="2" s="1"/>
  <c r="AA68" i="2" s="1"/>
  <c r="AE68" i="2"/>
  <c r="AH68" i="2"/>
  <c r="AF68" i="2"/>
  <c r="T68" i="2"/>
  <c r="AG68" i="2"/>
  <c r="U68" i="2"/>
  <c r="V68" i="2"/>
  <c r="Z68" i="2"/>
  <c r="AJ68" i="2"/>
  <c r="F81" i="11"/>
  <c r="S79" i="2"/>
  <c r="AC52" i="2"/>
  <c r="W52" i="2"/>
  <c r="AD52" i="2"/>
  <c r="X52" i="2"/>
  <c r="Y52" i="2" s="1"/>
  <c r="AA52" i="2" s="1"/>
  <c r="AE52" i="2"/>
  <c r="Z52" i="2"/>
  <c r="AH52" i="2"/>
  <c r="AF52" i="2"/>
  <c r="T52" i="2"/>
  <c r="AG52" i="2"/>
  <c r="U52" i="2"/>
  <c r="V52" i="2"/>
  <c r="AJ52" i="2"/>
  <c r="AG42" i="2"/>
  <c r="W42" i="2"/>
  <c r="AH42" i="2"/>
  <c r="X42" i="2"/>
  <c r="AD42" i="2"/>
  <c r="T42" i="2"/>
  <c r="AE42" i="2"/>
  <c r="U42" i="2"/>
  <c r="AC42" i="2"/>
  <c r="AF42" i="2"/>
  <c r="V42" i="2"/>
  <c r="Z42" i="2"/>
  <c r="AJ42" i="2"/>
  <c r="AE41" i="2"/>
  <c r="AF41" i="2"/>
  <c r="T41" i="2"/>
  <c r="Y41" i="2" s="1"/>
  <c r="AA41" i="2" s="1"/>
  <c r="AG41" i="2"/>
  <c r="U41" i="2"/>
  <c r="X41" i="2"/>
  <c r="Z41" i="2"/>
  <c r="AH41" i="2"/>
  <c r="V41" i="2"/>
  <c r="W41" i="2"/>
  <c r="AD41" i="2"/>
  <c r="AC41" i="2"/>
  <c r="AJ41" i="2"/>
  <c r="AG66" i="2"/>
  <c r="W66" i="2"/>
  <c r="AH66" i="2"/>
  <c r="X66" i="2"/>
  <c r="Z66" i="2"/>
  <c r="AD66" i="2"/>
  <c r="AE66" i="2"/>
  <c r="U66" i="2"/>
  <c r="AC66" i="2"/>
  <c r="T66" i="2"/>
  <c r="AF66" i="2"/>
  <c r="V66" i="2"/>
  <c r="AJ66" i="2"/>
  <c r="F74" i="11"/>
  <c r="S44" i="2"/>
  <c r="AE81" i="2"/>
  <c r="T81" i="2"/>
  <c r="AF81" i="2"/>
  <c r="AG81" i="2"/>
  <c r="U81" i="2"/>
  <c r="X81" i="2"/>
  <c r="AH81" i="2"/>
  <c r="V81" i="2"/>
  <c r="W81" i="2"/>
  <c r="AC81" i="2"/>
  <c r="AD81" i="2"/>
  <c r="Z81" i="2"/>
  <c r="AJ81" i="2"/>
  <c r="D75" i="3"/>
  <c r="E75" i="3"/>
  <c r="F75" i="3" s="1"/>
  <c r="G75" i="3" s="1"/>
  <c r="H75" i="3" s="1"/>
  <c r="C75" i="3"/>
  <c r="J75" i="3"/>
  <c r="B76" i="3"/>
  <c r="C76" i="3" s="1"/>
  <c r="D76" i="3" s="1"/>
  <c r="E76" i="3" s="1"/>
  <c r="F76" i="3" s="1"/>
  <c r="G76" i="3" s="1"/>
  <c r="H76" i="3" s="1"/>
  <c r="B77" i="3"/>
  <c r="C77" i="3" s="1"/>
  <c r="D77" i="3" s="1"/>
  <c r="E77" i="3" s="1"/>
  <c r="F77" i="3" s="1"/>
  <c r="G77" i="3" s="1"/>
  <c r="H77" i="3" s="1"/>
  <c r="B78" i="3"/>
  <c r="C78" i="3" s="1"/>
  <c r="D78" i="3" s="1"/>
  <c r="E78" i="3" s="1"/>
  <c r="F78" i="3" s="1"/>
  <c r="G78" i="3" s="1"/>
  <c r="H78" i="3" s="1"/>
  <c r="B79" i="3"/>
  <c r="J79" i="3" s="1"/>
  <c r="B80" i="3"/>
  <c r="J80" i="3" s="1"/>
  <c r="B81" i="3"/>
  <c r="J81" i="3" s="1"/>
  <c r="B82" i="3"/>
  <c r="J82" i="3" s="1"/>
  <c r="B83" i="3"/>
  <c r="J83" i="3" s="1"/>
  <c r="D73" i="3"/>
  <c r="E73" i="3"/>
  <c r="F73" i="3"/>
  <c r="G73" i="3"/>
  <c r="H73" i="3"/>
  <c r="D72" i="3"/>
  <c r="E72" i="3"/>
  <c r="F72" i="3"/>
  <c r="G72" i="3"/>
  <c r="H72" i="3"/>
  <c r="C72" i="3"/>
  <c r="D42" i="2"/>
  <c r="AG54" i="2" l="1"/>
  <c r="W54" i="2"/>
  <c r="AH54" i="2"/>
  <c r="X54" i="2"/>
  <c r="AD54" i="2"/>
  <c r="U54" i="2"/>
  <c r="T54" i="2"/>
  <c r="V54" i="2"/>
  <c r="AC54" i="2"/>
  <c r="Z54" i="2"/>
  <c r="AE54" i="2"/>
  <c r="AF54" i="2"/>
  <c r="AJ54" i="2"/>
  <c r="AI56" i="2"/>
  <c r="AK56" i="2" s="1"/>
  <c r="AL56" i="2" s="1"/>
  <c r="M46" i="11" s="1"/>
  <c r="M55" i="11" s="1"/>
  <c r="Y42" i="2"/>
  <c r="AA42" i="2" s="1"/>
  <c r="AI48" i="2"/>
  <c r="AK48" i="2" s="1"/>
  <c r="AI71" i="2"/>
  <c r="AK71" i="2" s="1"/>
  <c r="AI73" i="2"/>
  <c r="AK73" i="2" s="1"/>
  <c r="AL73" i="2" s="1"/>
  <c r="S48" i="11" s="1"/>
  <c r="S57" i="11" s="1"/>
  <c r="Y73" i="2"/>
  <c r="AA73" i="2" s="1"/>
  <c r="Y58" i="2"/>
  <c r="AA58" i="2" s="1"/>
  <c r="Y46" i="2"/>
  <c r="AA46" i="2" s="1"/>
  <c r="AL46" i="2" s="1"/>
  <c r="I46" i="11" s="1"/>
  <c r="I55" i="11" s="1"/>
  <c r="AE65" i="2"/>
  <c r="AF65" i="2"/>
  <c r="Z65" i="2"/>
  <c r="T65" i="2"/>
  <c r="AG65" i="2"/>
  <c r="U65" i="2"/>
  <c r="X65" i="2"/>
  <c r="AH65" i="2"/>
  <c r="V65" i="2"/>
  <c r="W65" i="2"/>
  <c r="AC65" i="2"/>
  <c r="AD65" i="2"/>
  <c r="AJ65" i="2"/>
  <c r="AE85" i="2"/>
  <c r="AF85" i="2"/>
  <c r="AG85" i="2"/>
  <c r="U85" i="2"/>
  <c r="X85" i="2"/>
  <c r="V85" i="2"/>
  <c r="W85" i="2"/>
  <c r="T85" i="2"/>
  <c r="Y85" i="2" s="1"/>
  <c r="AA85" i="2" s="1"/>
  <c r="AC85" i="2"/>
  <c r="AH85" i="2"/>
  <c r="AD85" i="2"/>
  <c r="Z85" i="2"/>
  <c r="AJ85" i="2"/>
  <c r="AA83" i="2"/>
  <c r="AL52" i="2"/>
  <c r="K47" i="11" s="1"/>
  <c r="K56" i="11" s="1"/>
  <c r="AI68" i="2"/>
  <c r="AK68" i="2" s="1"/>
  <c r="AL68" i="2" s="1"/>
  <c r="Q48" i="11" s="1"/>
  <c r="Q57" i="11" s="1"/>
  <c r="AI88" i="2"/>
  <c r="AK88" i="2" s="1"/>
  <c r="AC80" i="2"/>
  <c r="AI80" i="2" s="1"/>
  <c r="AK80" i="2" s="1"/>
  <c r="W80" i="2"/>
  <c r="T80" i="2"/>
  <c r="AD80" i="2"/>
  <c r="X80" i="2"/>
  <c r="Y80" i="2" s="1"/>
  <c r="AE80" i="2"/>
  <c r="Z80" i="2"/>
  <c r="AH80" i="2"/>
  <c r="AG80" i="2"/>
  <c r="AF80" i="2"/>
  <c r="V80" i="2"/>
  <c r="U80" i="2"/>
  <c r="AJ80" i="2"/>
  <c r="AA82" i="2"/>
  <c r="AL82" i="2" s="1"/>
  <c r="W47" i="11" s="1"/>
  <c r="W56" i="11" s="1"/>
  <c r="AI67" i="2"/>
  <c r="AK67" i="2" s="1"/>
  <c r="AI58" i="2"/>
  <c r="AK58" i="2" s="1"/>
  <c r="AL58" i="2" s="1"/>
  <c r="M48" i="11" s="1"/>
  <c r="M57" i="11" s="1"/>
  <c r="Y43" i="2"/>
  <c r="AA43" i="2" s="1"/>
  <c r="Y51" i="2"/>
  <c r="AA51" i="2" s="1"/>
  <c r="AI53" i="2"/>
  <c r="AK53" i="2" s="1"/>
  <c r="AL53" i="2" s="1"/>
  <c r="K48" i="11" s="1"/>
  <c r="K57" i="11" s="1"/>
  <c r="Y61" i="2"/>
  <c r="AA61" i="2" s="1"/>
  <c r="C83" i="3"/>
  <c r="D83" i="3" s="1"/>
  <c r="E83" i="3" s="1"/>
  <c r="F83" i="3" s="1"/>
  <c r="G83" i="3" s="1"/>
  <c r="H83" i="3" s="1"/>
  <c r="C82" i="3"/>
  <c r="D82" i="3" s="1"/>
  <c r="E82" i="3" s="1"/>
  <c r="F82" i="3" s="1"/>
  <c r="G82" i="3" s="1"/>
  <c r="H82" i="3" s="1"/>
  <c r="Y66" i="2"/>
  <c r="AA66" i="2" s="1"/>
  <c r="AI52" i="2"/>
  <c r="AK52" i="2" s="1"/>
  <c r="AI86" i="2"/>
  <c r="AK86" i="2" s="1"/>
  <c r="AC64" i="2"/>
  <c r="W64" i="2"/>
  <c r="Z64" i="2"/>
  <c r="T64" i="2"/>
  <c r="AD64" i="2"/>
  <c r="X64" i="2"/>
  <c r="Y64" i="2" s="1"/>
  <c r="AA64" i="2" s="1"/>
  <c r="AE64" i="2"/>
  <c r="AH64" i="2"/>
  <c r="AF64" i="2"/>
  <c r="AG64" i="2"/>
  <c r="V64" i="2"/>
  <c r="U64" i="2"/>
  <c r="AJ64" i="2"/>
  <c r="Y67" i="2"/>
  <c r="AA67" i="2" s="1"/>
  <c r="AE89" i="2"/>
  <c r="AF89" i="2"/>
  <c r="T89" i="2"/>
  <c r="AG89" i="2"/>
  <c r="U89" i="2"/>
  <c r="X89" i="2"/>
  <c r="AH89" i="2"/>
  <c r="V89" i="2"/>
  <c r="W89" i="2"/>
  <c r="Z89" i="2"/>
  <c r="AD89" i="2"/>
  <c r="AC89" i="2"/>
  <c r="AJ89" i="2"/>
  <c r="AI72" i="2"/>
  <c r="AK72" i="2" s="1"/>
  <c r="AL72" i="2" s="1"/>
  <c r="S47" i="11" s="1"/>
  <c r="S56" i="11" s="1"/>
  <c r="AI78" i="2"/>
  <c r="AK78" i="2" s="1"/>
  <c r="AI76" i="2"/>
  <c r="AK76" i="2" s="1"/>
  <c r="AL76" i="2" s="1"/>
  <c r="U46" i="11" s="1"/>
  <c r="U55" i="11" s="1"/>
  <c r="AE49" i="2"/>
  <c r="AF49" i="2"/>
  <c r="T49" i="2"/>
  <c r="AG49" i="2"/>
  <c r="U49" i="2"/>
  <c r="X49" i="2"/>
  <c r="AH49" i="2"/>
  <c r="V49" i="2"/>
  <c r="W49" i="2"/>
  <c r="Z49" i="2"/>
  <c r="AC49" i="2"/>
  <c r="AD49" i="2"/>
  <c r="AJ49" i="2"/>
  <c r="AI61" i="2"/>
  <c r="AK61" i="2" s="1"/>
  <c r="AE69" i="2"/>
  <c r="AF69" i="2"/>
  <c r="AG69" i="2"/>
  <c r="U69" i="2"/>
  <c r="X69" i="2"/>
  <c r="V69" i="2"/>
  <c r="Z69" i="2"/>
  <c r="W69" i="2"/>
  <c r="AC69" i="2"/>
  <c r="AI69" i="2" s="1"/>
  <c r="AK69" i="2" s="1"/>
  <c r="AH69" i="2"/>
  <c r="AD69" i="2"/>
  <c r="T69" i="2"/>
  <c r="Y69" i="2" s="1"/>
  <c r="AA69" i="2" s="1"/>
  <c r="AL69" i="2" s="1"/>
  <c r="Q49" i="11" s="1"/>
  <c r="AJ69" i="2"/>
  <c r="AI87" i="2"/>
  <c r="AK87" i="2" s="1"/>
  <c r="Y63" i="2"/>
  <c r="AA63" i="2" s="1"/>
  <c r="C81" i="3"/>
  <c r="D81" i="3" s="1"/>
  <c r="E81" i="3" s="1"/>
  <c r="F81" i="3" s="1"/>
  <c r="G81" i="3" s="1"/>
  <c r="H81" i="3" s="1"/>
  <c r="AI81" i="2"/>
  <c r="AK81" i="2" s="1"/>
  <c r="Y81" i="2"/>
  <c r="AA81" i="2" s="1"/>
  <c r="AI66" i="2"/>
  <c r="AK66" i="2" s="1"/>
  <c r="AL66" i="2" s="1"/>
  <c r="Q46" i="11" s="1"/>
  <c r="Q55" i="11" s="1"/>
  <c r="Z79" i="2"/>
  <c r="AC79" i="2"/>
  <c r="U79" i="2"/>
  <c r="AF79" i="2"/>
  <c r="X79" i="2"/>
  <c r="Y79" i="2" s="1"/>
  <c r="AA79" i="2" s="1"/>
  <c r="AD79" i="2"/>
  <c r="AE79" i="2"/>
  <c r="AG79" i="2"/>
  <c r="V79" i="2"/>
  <c r="W79" i="2"/>
  <c r="AH79" i="2"/>
  <c r="T79" i="2"/>
  <c r="AJ79" i="2"/>
  <c r="AI57" i="2"/>
  <c r="AK57" i="2" s="1"/>
  <c r="Y57" i="2"/>
  <c r="AA57" i="2" s="1"/>
  <c r="AL57" i="2" s="1"/>
  <c r="M47" i="11" s="1"/>
  <c r="M56" i="11" s="1"/>
  <c r="AC75" i="2"/>
  <c r="AI75" i="2" s="1"/>
  <c r="AK75" i="2" s="1"/>
  <c r="U75" i="2"/>
  <c r="AF75" i="2"/>
  <c r="X75" i="2"/>
  <c r="T75" i="2"/>
  <c r="Z75" i="2"/>
  <c r="AE75" i="2"/>
  <c r="W75" i="2"/>
  <c r="V75" i="2"/>
  <c r="AD75" i="2"/>
  <c r="AG75" i="2"/>
  <c r="AH75" i="2"/>
  <c r="AJ75" i="2"/>
  <c r="Y47" i="2"/>
  <c r="AA47" i="2" s="1"/>
  <c r="AL47" i="2" s="1"/>
  <c r="I47" i="11" s="1"/>
  <c r="I56" i="11" s="1"/>
  <c r="AC55" i="2"/>
  <c r="U55" i="2"/>
  <c r="AF55" i="2"/>
  <c r="X55" i="2"/>
  <c r="AD55" i="2"/>
  <c r="AG55" i="2"/>
  <c r="W55" i="2"/>
  <c r="AE55" i="2"/>
  <c r="V55" i="2"/>
  <c r="AH55" i="2"/>
  <c r="T55" i="2"/>
  <c r="Y55" i="2" s="1"/>
  <c r="AA55" i="2" s="1"/>
  <c r="Z55" i="2"/>
  <c r="AJ55" i="2"/>
  <c r="AE45" i="2"/>
  <c r="AF45" i="2"/>
  <c r="AG45" i="2"/>
  <c r="U45" i="2"/>
  <c r="Z45" i="2"/>
  <c r="X45" i="2"/>
  <c r="V45" i="2"/>
  <c r="W45" i="2"/>
  <c r="AC45" i="2"/>
  <c r="AD45" i="2"/>
  <c r="AH45" i="2"/>
  <c r="T45" i="2"/>
  <c r="AJ45" i="2"/>
  <c r="Y78" i="2"/>
  <c r="AA78" i="2" s="1"/>
  <c r="AL78" i="2" s="1"/>
  <c r="U48" i="11" s="1"/>
  <c r="U57" i="11" s="1"/>
  <c r="Y56" i="2"/>
  <c r="AA56" i="2" s="1"/>
  <c r="AI83" i="2"/>
  <c r="AK83" i="2" s="1"/>
  <c r="AL83" i="2" s="1"/>
  <c r="W48" i="11" s="1"/>
  <c r="W57" i="11" s="1"/>
  <c r="AG50" i="2"/>
  <c r="W50" i="2"/>
  <c r="Z50" i="2"/>
  <c r="AH50" i="2"/>
  <c r="X50" i="2"/>
  <c r="T50" i="2"/>
  <c r="Y50" i="2" s="1"/>
  <c r="AA50" i="2" s="1"/>
  <c r="AD50" i="2"/>
  <c r="AE50" i="2"/>
  <c r="AC50" i="2"/>
  <c r="U50" i="2"/>
  <c r="AF50" i="2"/>
  <c r="V50" i="2"/>
  <c r="AJ50" i="2"/>
  <c r="Y86" i="2"/>
  <c r="AA86" i="2" s="1"/>
  <c r="AL86" i="2" s="1"/>
  <c r="Y46" i="11" s="1"/>
  <c r="Y55" i="11" s="1"/>
  <c r="Y48" i="2"/>
  <c r="AA48" i="2" s="1"/>
  <c r="AL48" i="2" s="1"/>
  <c r="I48" i="11" s="1"/>
  <c r="I57" i="11" s="1"/>
  <c r="Y77" i="2"/>
  <c r="AA77" i="2" s="1"/>
  <c r="AL77" i="2" s="1"/>
  <c r="U47" i="11" s="1"/>
  <c r="U56" i="11" s="1"/>
  <c r="AI62" i="2"/>
  <c r="AK62" i="2" s="1"/>
  <c r="AC40" i="2"/>
  <c r="W40" i="2"/>
  <c r="T40" i="2"/>
  <c r="AD40" i="2"/>
  <c r="X40" i="2"/>
  <c r="Y40" i="2" s="1"/>
  <c r="AA40" i="2" s="1"/>
  <c r="AE40" i="2"/>
  <c r="AH40" i="2"/>
  <c r="Z40" i="2"/>
  <c r="AF40" i="2"/>
  <c r="AG40" i="2"/>
  <c r="U40" i="2"/>
  <c r="V40" i="2"/>
  <c r="AJ40" i="2"/>
  <c r="AG74" i="2"/>
  <c r="W74" i="2"/>
  <c r="AH74" i="2"/>
  <c r="X74" i="2"/>
  <c r="AD74" i="2"/>
  <c r="T74" i="2"/>
  <c r="Y74" i="2" s="1"/>
  <c r="AA74" i="2" s="1"/>
  <c r="AC74" i="2"/>
  <c r="AE74" i="2"/>
  <c r="Z74" i="2"/>
  <c r="U74" i="2"/>
  <c r="AF74" i="2"/>
  <c r="V74" i="2"/>
  <c r="AJ74" i="2"/>
  <c r="AC60" i="2"/>
  <c r="W60" i="2"/>
  <c r="AD60" i="2"/>
  <c r="X60" i="2"/>
  <c r="AE60" i="2"/>
  <c r="AH60" i="2"/>
  <c r="AF60" i="2"/>
  <c r="Z60" i="2"/>
  <c r="AG60" i="2"/>
  <c r="T60" i="2"/>
  <c r="U60" i="2"/>
  <c r="V60" i="2"/>
  <c r="AJ60" i="2"/>
  <c r="Y87" i="2"/>
  <c r="AA87" i="2" s="1"/>
  <c r="AL87" i="2" s="1"/>
  <c r="Y47" i="11" s="1"/>
  <c r="Y56" i="11" s="1"/>
  <c r="AI51" i="2"/>
  <c r="AK51" i="2" s="1"/>
  <c r="AL51" i="2" s="1"/>
  <c r="K46" i="11" s="1"/>
  <c r="K55" i="11" s="1"/>
  <c r="AG70" i="2"/>
  <c r="W70" i="2"/>
  <c r="AH70" i="2"/>
  <c r="X70" i="2"/>
  <c r="AD70" i="2"/>
  <c r="U70" i="2"/>
  <c r="AC70" i="2"/>
  <c r="Z70" i="2"/>
  <c r="V70" i="2"/>
  <c r="AE70" i="2"/>
  <c r="AF70" i="2"/>
  <c r="T70" i="2"/>
  <c r="Y70" i="2" s="1"/>
  <c r="AA70" i="2" s="1"/>
  <c r="AJ70" i="2"/>
  <c r="AI63" i="2"/>
  <c r="AK63" i="2" s="1"/>
  <c r="AL63" i="2" s="1"/>
  <c r="O48" i="11" s="1"/>
  <c r="O57" i="11" s="1"/>
  <c r="AC84" i="2"/>
  <c r="W84" i="2"/>
  <c r="AD84" i="2"/>
  <c r="X84" i="2"/>
  <c r="Y84" i="2" s="1"/>
  <c r="AA84" i="2" s="1"/>
  <c r="AE84" i="2"/>
  <c r="AH84" i="2"/>
  <c r="AF84" i="2"/>
  <c r="T84" i="2"/>
  <c r="AG84" i="2"/>
  <c r="Z84" i="2"/>
  <c r="U84" i="2"/>
  <c r="V84" i="2"/>
  <c r="AJ84" i="2"/>
  <c r="AC44" i="2"/>
  <c r="AI44" i="2" s="1"/>
  <c r="AK44" i="2" s="1"/>
  <c r="W44" i="2"/>
  <c r="AD44" i="2"/>
  <c r="X44" i="2"/>
  <c r="Z44" i="2"/>
  <c r="AE44" i="2"/>
  <c r="AH44" i="2"/>
  <c r="AF44" i="2"/>
  <c r="AG44" i="2"/>
  <c r="T44" i="2"/>
  <c r="U44" i="2"/>
  <c r="V44" i="2"/>
  <c r="AJ44" i="2"/>
  <c r="AI41" i="2"/>
  <c r="AK41" i="2" s="1"/>
  <c r="AL41" i="2" s="1"/>
  <c r="G46" i="11" s="1"/>
  <c r="G55" i="11" s="1"/>
  <c r="AI42" i="2"/>
  <c r="AK42" i="2" s="1"/>
  <c r="AL42" i="2" s="1"/>
  <c r="G47" i="11" s="1"/>
  <c r="G56" i="11" s="1"/>
  <c r="Y62" i="2"/>
  <c r="AA62" i="2" s="1"/>
  <c r="Y88" i="2"/>
  <c r="AA88" i="2" s="1"/>
  <c r="Y71" i="2"/>
  <c r="AA71" i="2" s="1"/>
  <c r="AL71" i="2" s="1"/>
  <c r="S46" i="11" s="1"/>
  <c r="S55" i="11" s="1"/>
  <c r="AI43" i="2"/>
  <c r="AK43" i="2" s="1"/>
  <c r="AC59" i="2"/>
  <c r="U59" i="2"/>
  <c r="Z59" i="2"/>
  <c r="AF59" i="2"/>
  <c r="X59" i="2"/>
  <c r="V59" i="2"/>
  <c r="AD59" i="2"/>
  <c r="AE59" i="2"/>
  <c r="W59" i="2"/>
  <c r="T59" i="2"/>
  <c r="AG59" i="2"/>
  <c r="AH59" i="2"/>
  <c r="AJ59" i="2"/>
  <c r="C80" i="3"/>
  <c r="D80" i="3" s="1"/>
  <c r="E80" i="3" s="1"/>
  <c r="F80" i="3" s="1"/>
  <c r="G80" i="3" s="1"/>
  <c r="H80" i="3" s="1"/>
  <c r="C79" i="3"/>
  <c r="D79" i="3" s="1"/>
  <c r="E79" i="3" s="1"/>
  <c r="F79" i="3" s="1"/>
  <c r="G79" i="3" s="1"/>
  <c r="H79" i="3" s="1"/>
  <c r="J78" i="3"/>
  <c r="J77" i="3"/>
  <c r="J76" i="3"/>
  <c r="I75" i="3"/>
  <c r="K75" i="3" s="1"/>
  <c r="F10" i="3" s="1"/>
  <c r="D29" i="2"/>
  <c r="Y59" i="2" l="1"/>
  <c r="AA59" i="2" s="1"/>
  <c r="AI74" i="2"/>
  <c r="AK74" i="2" s="1"/>
  <c r="AL74" i="2" s="1"/>
  <c r="S49" i="11" s="1"/>
  <c r="AL81" i="2"/>
  <c r="W46" i="11" s="1"/>
  <c r="W55" i="11" s="1"/>
  <c r="AL88" i="2"/>
  <c r="Y48" i="11" s="1"/>
  <c r="Y57" i="11" s="1"/>
  <c r="Q58" i="11"/>
  <c r="G79" i="11"/>
  <c r="AI60" i="2"/>
  <c r="AK60" i="2" s="1"/>
  <c r="Y45" i="2"/>
  <c r="AA45" i="2" s="1"/>
  <c r="AI55" i="2"/>
  <c r="AK55" i="2" s="1"/>
  <c r="AL55" i="2" s="1"/>
  <c r="M45" i="11" s="1"/>
  <c r="AL67" i="2"/>
  <c r="Q47" i="11" s="1"/>
  <c r="Q56" i="11" s="1"/>
  <c r="AI85" i="2"/>
  <c r="AK85" i="2" s="1"/>
  <c r="AL85" i="2" s="1"/>
  <c r="Y45" i="11" s="1"/>
  <c r="AI40" i="2"/>
  <c r="AK40" i="2" s="1"/>
  <c r="AL40" i="2" s="1"/>
  <c r="G45" i="11" s="1"/>
  <c r="Y75" i="2"/>
  <c r="AA75" i="2" s="1"/>
  <c r="AL75" i="2" s="1"/>
  <c r="U45" i="11" s="1"/>
  <c r="AA80" i="2"/>
  <c r="Y65" i="2"/>
  <c r="AA65" i="2" s="1"/>
  <c r="AL65" i="2" s="1"/>
  <c r="Q45" i="11" s="1"/>
  <c r="AI59" i="2"/>
  <c r="AK59" i="2" s="1"/>
  <c r="AL59" i="2" s="1"/>
  <c r="M49" i="11" s="1"/>
  <c r="Y44" i="2"/>
  <c r="AA44" i="2" s="1"/>
  <c r="AL44" i="2" s="1"/>
  <c r="G49" i="11" s="1"/>
  <c r="AI84" i="2"/>
  <c r="AK84" i="2" s="1"/>
  <c r="AL84" i="2" s="1"/>
  <c r="W49" i="11" s="1"/>
  <c r="AI70" i="2"/>
  <c r="AK70" i="2" s="1"/>
  <c r="AL70" i="2" s="1"/>
  <c r="S45" i="11" s="1"/>
  <c r="AL62" i="2"/>
  <c r="O47" i="11" s="1"/>
  <c r="O56" i="11" s="1"/>
  <c r="AI50" i="2"/>
  <c r="AK50" i="2" s="1"/>
  <c r="AL50" i="2" s="1"/>
  <c r="K45" i="11" s="1"/>
  <c r="AI45" i="2"/>
  <c r="AK45" i="2" s="1"/>
  <c r="AL61" i="2"/>
  <c r="O46" i="11" s="1"/>
  <c r="O55" i="11" s="1"/>
  <c r="AI65" i="2"/>
  <c r="AK65" i="2" s="1"/>
  <c r="AI54" i="2"/>
  <c r="AK54" i="2" s="1"/>
  <c r="AL43" i="2"/>
  <c r="G48" i="11" s="1"/>
  <c r="G57" i="11" s="1"/>
  <c r="AI79" i="2"/>
  <c r="AK79" i="2" s="1"/>
  <c r="AL79" i="2" s="1"/>
  <c r="U49" i="11" s="1"/>
  <c r="AI89" i="2"/>
  <c r="AK89" i="2" s="1"/>
  <c r="AL80" i="2"/>
  <c r="W45" i="11" s="1"/>
  <c r="Y60" i="2"/>
  <c r="AA60" i="2" s="1"/>
  <c r="AI49" i="2"/>
  <c r="AK49" i="2" s="1"/>
  <c r="Y49" i="2"/>
  <c r="AA49" i="2" s="1"/>
  <c r="Y89" i="2"/>
  <c r="AA89" i="2" s="1"/>
  <c r="AL89" i="2" s="1"/>
  <c r="Y49" i="11" s="1"/>
  <c r="AI64" i="2"/>
  <c r="AK64" i="2" s="1"/>
  <c r="AL64" i="2" s="1"/>
  <c r="O49" i="11" s="1"/>
  <c r="Y54" i="2"/>
  <c r="AA54" i="2" s="1"/>
  <c r="AL54" i="2" s="1"/>
  <c r="K49" i="11" s="1"/>
  <c r="I76" i="3"/>
  <c r="K76" i="3" s="1"/>
  <c r="F11" i="3" s="1"/>
  <c r="D65" i="2"/>
  <c r="G58" i="11" l="1"/>
  <c r="G74" i="11"/>
  <c r="U58" i="11"/>
  <c r="G81" i="11"/>
  <c r="K54" i="11"/>
  <c r="E76" i="11"/>
  <c r="W58" i="11"/>
  <c r="G82" i="11"/>
  <c r="S58" i="11"/>
  <c r="G80" i="11"/>
  <c r="S54" i="11"/>
  <c r="E80" i="11"/>
  <c r="Y54" i="11"/>
  <c r="E83" i="11"/>
  <c r="AL49" i="2"/>
  <c r="I49" i="11" s="1"/>
  <c r="M58" i="11"/>
  <c r="G77" i="11"/>
  <c r="G54" i="11"/>
  <c r="E74" i="11"/>
  <c r="Y58" i="11"/>
  <c r="G83" i="11"/>
  <c r="M54" i="11"/>
  <c r="E77" i="11"/>
  <c r="K58" i="11"/>
  <c r="G76" i="11"/>
  <c r="O58" i="11"/>
  <c r="G78" i="11"/>
  <c r="Q54" i="11"/>
  <c r="E79" i="11"/>
  <c r="AL45" i="2"/>
  <c r="I45" i="11" s="1"/>
  <c r="W54" i="11"/>
  <c r="E82" i="11"/>
  <c r="U54" i="11"/>
  <c r="E81" i="11"/>
  <c r="AL60" i="2"/>
  <c r="O45" i="11" s="1"/>
  <c r="I77" i="3"/>
  <c r="K77" i="3" s="1"/>
  <c r="F12" i="3" s="1"/>
  <c r="D26" i="1"/>
  <c r="D23" i="2"/>
  <c r="I54" i="11" l="1"/>
  <c r="E75" i="11"/>
  <c r="I58" i="11"/>
  <c r="G75" i="11"/>
  <c r="O54" i="11"/>
  <c r="E78" i="11"/>
  <c r="I78" i="3"/>
  <c r="K78" i="3" s="1"/>
  <c r="F13" i="3" s="1"/>
  <c r="K13" i="2"/>
  <c r="U13" i="2" l="1"/>
  <c r="T13" i="2"/>
  <c r="I79" i="3"/>
  <c r="K79" i="3" s="1"/>
  <c r="F14" i="3" s="1"/>
  <c r="V13" i="2"/>
  <c r="K17" i="2"/>
  <c r="K11" i="2"/>
  <c r="K20" i="2"/>
  <c r="K16" i="2"/>
  <c r="K24" i="2"/>
  <c r="K23" i="2"/>
  <c r="K22" i="2"/>
  <c r="K10" i="2"/>
  <c r="K21" i="2"/>
  <c r="K9" i="2"/>
  <c r="K14" i="2"/>
  <c r="K12" i="2"/>
  <c r="K18" i="2"/>
  <c r="K15" i="2"/>
  <c r="K19" i="2"/>
  <c r="T19" i="2" l="1"/>
  <c r="T22" i="2"/>
  <c r="V15" i="2"/>
  <c r="T15" i="2"/>
  <c r="T23" i="2"/>
  <c r="V18" i="2"/>
  <c r="T18" i="2"/>
  <c r="T24" i="2"/>
  <c r="T12" i="2"/>
  <c r="T16" i="2"/>
  <c r="U14" i="2"/>
  <c r="T14" i="2"/>
  <c r="T20" i="2"/>
  <c r="T9" i="2"/>
  <c r="V11" i="2"/>
  <c r="T11" i="2"/>
  <c r="T21" i="2"/>
  <c r="T17" i="2"/>
  <c r="V24" i="2"/>
  <c r="T10" i="2"/>
  <c r="U23" i="2"/>
  <c r="I80" i="3"/>
  <c r="K80" i="3" s="1"/>
  <c r="F15" i="3" s="1"/>
  <c r="U21" i="2"/>
  <c r="V21" i="2"/>
  <c r="V16" i="2"/>
  <c r="U15" i="2"/>
  <c r="V12" i="2"/>
  <c r="U9" i="2"/>
  <c r="V14" i="2"/>
  <c r="V9" i="2"/>
  <c r="U11" i="2"/>
  <c r="U16" i="2"/>
  <c r="U19" i="2"/>
  <c r="V19" i="2"/>
  <c r="U12" i="2"/>
  <c r="U10" i="2"/>
  <c r="V22" i="2"/>
  <c r="U22" i="2"/>
  <c r="V20" i="2"/>
  <c r="V23" i="2"/>
  <c r="V10" i="2"/>
  <c r="U20" i="2"/>
  <c r="U18" i="2"/>
  <c r="U24" i="2"/>
  <c r="V17" i="2"/>
  <c r="U17" i="2"/>
  <c r="I81" i="3" l="1"/>
  <c r="K81" i="3" s="1"/>
  <c r="F16" i="3" s="1"/>
  <c r="I83" i="3" l="1"/>
  <c r="K83" i="3" s="1"/>
  <c r="F18" i="3" s="1"/>
  <c r="I82" i="3"/>
  <c r="K82" i="3" s="1"/>
  <c r="F17" i="3" s="1"/>
  <c r="H42" i="3" l="1"/>
  <c r="H43" i="3"/>
  <c r="H44" i="3"/>
  <c r="H45" i="3"/>
  <c r="H46" i="3"/>
  <c r="H47" i="3"/>
  <c r="H48" i="3"/>
  <c r="H49" i="3"/>
  <c r="H50" i="3"/>
  <c r="H51" i="3"/>
  <c r="G43" i="3"/>
  <c r="G44" i="3"/>
  <c r="G45" i="3"/>
  <c r="G46" i="3"/>
  <c r="G47" i="3"/>
  <c r="G48" i="3"/>
  <c r="G49" i="3"/>
  <c r="G50" i="3"/>
  <c r="G51" i="3"/>
  <c r="G42" i="3"/>
  <c r="F43" i="3"/>
  <c r="F44" i="3"/>
  <c r="F45" i="3"/>
  <c r="F46" i="3"/>
  <c r="F47" i="3"/>
  <c r="F48" i="3"/>
  <c r="F49" i="3"/>
  <c r="F50" i="3"/>
  <c r="F51" i="3"/>
  <c r="F42" i="3"/>
  <c r="AG10" i="2" l="1"/>
  <c r="AG11" i="2"/>
  <c r="AG12" i="2"/>
  <c r="AG13" i="2"/>
  <c r="AG14" i="2"/>
  <c r="AG15" i="2"/>
  <c r="AG16" i="2"/>
  <c r="AG17" i="2"/>
  <c r="AG18" i="2"/>
  <c r="AG19" i="2"/>
  <c r="AG20" i="2"/>
  <c r="AG21" i="2"/>
  <c r="AG22" i="2"/>
  <c r="AG23" i="2"/>
  <c r="AG24" i="2"/>
  <c r="AG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9" i="2"/>
  <c r="D41" i="2"/>
  <c r="D35" i="2"/>
  <c r="S32" i="3" l="1"/>
  <c r="S31" i="3"/>
  <c r="S30" i="3"/>
  <c r="S29" i="3"/>
  <c r="X5" i="3"/>
  <c r="X6" i="3"/>
  <c r="X7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X63" i="3"/>
  <c r="X64" i="3"/>
  <c r="X65" i="3"/>
  <c r="X66" i="3"/>
  <c r="X67" i="3"/>
  <c r="X68" i="3"/>
  <c r="X69" i="3"/>
  <c r="X70" i="3"/>
  <c r="X71" i="3"/>
  <c r="X72" i="3"/>
  <c r="X73" i="3"/>
  <c r="X74" i="3"/>
  <c r="X75" i="3"/>
  <c r="X76" i="3"/>
  <c r="X77" i="3"/>
  <c r="X78" i="3"/>
  <c r="X79" i="3"/>
  <c r="X80" i="3"/>
  <c r="X81" i="3"/>
  <c r="X82" i="3"/>
  <c r="X83" i="3"/>
  <c r="X84" i="3"/>
  <c r="X85" i="3"/>
  <c r="X86" i="3"/>
  <c r="X87" i="3"/>
  <c r="X88" i="3"/>
  <c r="X89" i="3"/>
  <c r="X90" i="3"/>
  <c r="X91" i="3"/>
  <c r="X92" i="3"/>
  <c r="X93" i="3"/>
  <c r="X94" i="3"/>
  <c r="X95" i="3"/>
  <c r="X96" i="3"/>
  <c r="X97" i="3"/>
  <c r="X98" i="3"/>
  <c r="X99" i="3"/>
  <c r="X100" i="3"/>
  <c r="X101" i="3"/>
  <c r="X102" i="3"/>
  <c r="X103" i="3"/>
  <c r="X104" i="3"/>
  <c r="X105" i="3"/>
  <c r="X106" i="3"/>
  <c r="X107" i="3"/>
  <c r="X108" i="3"/>
  <c r="X109" i="3"/>
  <c r="X110" i="3"/>
  <c r="X111" i="3"/>
  <c r="X112" i="3"/>
  <c r="X113" i="3"/>
  <c r="X114" i="3"/>
  <c r="X115" i="3"/>
  <c r="X116" i="3"/>
  <c r="X117" i="3"/>
  <c r="X118" i="3"/>
  <c r="X119" i="3"/>
  <c r="X120" i="3"/>
  <c r="X121" i="3"/>
  <c r="X122" i="3"/>
  <c r="X123" i="3"/>
  <c r="X124" i="3"/>
  <c r="X125" i="3"/>
  <c r="X126" i="3"/>
  <c r="X127" i="3"/>
  <c r="X128" i="3"/>
  <c r="X129" i="3"/>
  <c r="X130" i="3"/>
  <c r="X131" i="3"/>
  <c r="X132" i="3"/>
  <c r="X133" i="3"/>
  <c r="X134" i="3"/>
  <c r="X135" i="3"/>
  <c r="X136" i="3"/>
  <c r="X137" i="3"/>
  <c r="X138" i="3"/>
  <c r="X139" i="3"/>
  <c r="X140" i="3"/>
  <c r="X141" i="3"/>
  <c r="X142" i="3"/>
  <c r="X143" i="3"/>
  <c r="X144" i="3"/>
  <c r="X145" i="3"/>
  <c r="X146" i="3"/>
  <c r="X147" i="3"/>
  <c r="X148" i="3"/>
  <c r="X149" i="3"/>
  <c r="X150" i="3"/>
  <c r="X151" i="3"/>
  <c r="X152" i="3"/>
  <c r="X153" i="3"/>
  <c r="X154" i="3"/>
  <c r="X155" i="3"/>
  <c r="X156" i="3"/>
  <c r="X157" i="3"/>
  <c r="X158" i="3"/>
  <c r="X159" i="3"/>
  <c r="X160" i="3"/>
  <c r="X161" i="3"/>
  <c r="X162" i="3"/>
  <c r="X163" i="3"/>
  <c r="X164" i="3"/>
  <c r="X165" i="3"/>
  <c r="X166" i="3"/>
  <c r="X167" i="3"/>
  <c r="X168" i="3"/>
  <c r="X169" i="3"/>
  <c r="X170" i="3"/>
  <c r="X171" i="3"/>
  <c r="X172" i="3"/>
  <c r="X173" i="3"/>
  <c r="X174" i="3"/>
  <c r="X175" i="3"/>
  <c r="X176" i="3"/>
  <c r="X177" i="3"/>
  <c r="X178" i="3"/>
  <c r="X179" i="3"/>
  <c r="X180" i="3"/>
  <c r="X181" i="3"/>
  <c r="X182" i="3"/>
  <c r="X183" i="3"/>
  <c r="X184" i="3"/>
  <c r="X185" i="3"/>
  <c r="X186" i="3"/>
  <c r="X187" i="3"/>
  <c r="X188" i="3"/>
  <c r="X189" i="3"/>
  <c r="X190" i="3"/>
  <c r="X191" i="3"/>
  <c r="X192" i="3"/>
  <c r="X193" i="3"/>
  <c r="X194" i="3"/>
  <c r="X195" i="3"/>
  <c r="X196" i="3"/>
  <c r="X197" i="3"/>
  <c r="X198" i="3"/>
  <c r="X199" i="3"/>
  <c r="X200" i="3"/>
  <c r="X201" i="3"/>
  <c r="X202" i="3"/>
  <c r="X203" i="3"/>
  <c r="X204" i="3"/>
  <c r="X205" i="3"/>
  <c r="X206" i="3"/>
  <c r="X207" i="3"/>
  <c r="X208" i="3"/>
  <c r="X209" i="3"/>
  <c r="X210" i="3"/>
  <c r="X211" i="3"/>
  <c r="X212" i="3"/>
  <c r="X213" i="3"/>
  <c r="X214" i="3"/>
  <c r="X215" i="3"/>
  <c r="X216" i="3"/>
  <c r="X217" i="3"/>
  <c r="X218" i="3"/>
  <c r="X219" i="3"/>
  <c r="X220" i="3"/>
  <c r="X221" i="3"/>
  <c r="X222" i="3"/>
  <c r="X223" i="3"/>
  <c r="X224" i="3"/>
  <c r="X225" i="3"/>
  <c r="X226" i="3"/>
  <c r="X227" i="3"/>
  <c r="X228" i="3"/>
  <c r="X229" i="3"/>
  <c r="X230" i="3"/>
  <c r="X231" i="3"/>
  <c r="X232" i="3"/>
  <c r="X233" i="3"/>
  <c r="X234" i="3"/>
  <c r="X235" i="3"/>
  <c r="X236" i="3"/>
  <c r="X237" i="3"/>
  <c r="X238" i="3"/>
  <c r="X239" i="3"/>
  <c r="X240" i="3"/>
  <c r="X241" i="3"/>
  <c r="X242" i="3"/>
  <c r="X243" i="3"/>
  <c r="X244" i="3"/>
  <c r="X245" i="3"/>
  <c r="X246" i="3"/>
  <c r="X247" i="3"/>
  <c r="X248" i="3"/>
  <c r="X249" i="3"/>
  <c r="X250" i="3"/>
  <c r="X251" i="3"/>
  <c r="X252" i="3"/>
  <c r="X253" i="3"/>
  <c r="X254" i="3"/>
  <c r="X255" i="3"/>
  <c r="X256" i="3"/>
  <c r="X257" i="3"/>
  <c r="X258" i="3"/>
  <c r="X259" i="3"/>
  <c r="X260" i="3"/>
  <c r="X261" i="3"/>
  <c r="X262" i="3"/>
  <c r="X263" i="3"/>
  <c r="X264" i="3"/>
  <c r="X265" i="3"/>
  <c r="X266" i="3"/>
  <c r="X267" i="3"/>
  <c r="X268" i="3"/>
  <c r="X269" i="3"/>
  <c r="X270" i="3"/>
  <c r="X271" i="3"/>
  <c r="X272" i="3"/>
  <c r="X273" i="3"/>
  <c r="X274" i="3"/>
  <c r="X275" i="3"/>
  <c r="X276" i="3"/>
  <c r="X277" i="3"/>
  <c r="X278" i="3"/>
  <c r="X279" i="3"/>
  <c r="X280" i="3"/>
  <c r="X281" i="3"/>
  <c r="X282" i="3"/>
  <c r="X283" i="3"/>
  <c r="X284" i="3"/>
  <c r="X285" i="3"/>
  <c r="X286" i="3"/>
  <c r="X287" i="3"/>
  <c r="X288" i="3"/>
  <c r="X289" i="3"/>
  <c r="X290" i="3"/>
  <c r="X291" i="3"/>
  <c r="X292" i="3"/>
  <c r="X293" i="3"/>
  <c r="X294" i="3"/>
  <c r="X295" i="3"/>
  <c r="X296" i="3"/>
  <c r="X297" i="3"/>
  <c r="X298" i="3"/>
  <c r="X299" i="3"/>
  <c r="X300" i="3"/>
  <c r="X301" i="3"/>
  <c r="X302" i="3"/>
  <c r="X303" i="3"/>
  <c r="X304" i="3"/>
  <c r="X305" i="3"/>
  <c r="X306" i="3"/>
  <c r="X307" i="3"/>
  <c r="X308" i="3"/>
  <c r="X309" i="3"/>
  <c r="X310" i="3"/>
  <c r="X311" i="3"/>
  <c r="X312" i="3"/>
  <c r="X313" i="3"/>
  <c r="X314" i="3"/>
  <c r="X315" i="3"/>
  <c r="X316" i="3"/>
  <c r="X317" i="3"/>
  <c r="X318" i="3"/>
  <c r="X319" i="3"/>
  <c r="X320" i="3"/>
  <c r="X321" i="3"/>
  <c r="X322" i="3"/>
  <c r="X323" i="3"/>
  <c r="X324" i="3"/>
  <c r="X325" i="3"/>
  <c r="X326" i="3"/>
  <c r="X327" i="3"/>
  <c r="X328" i="3"/>
  <c r="X329" i="3"/>
  <c r="X330" i="3"/>
  <c r="X331" i="3"/>
  <c r="X332" i="3"/>
  <c r="X333" i="3"/>
  <c r="X334" i="3"/>
  <c r="X335" i="3"/>
  <c r="X336" i="3"/>
  <c r="X337" i="3"/>
  <c r="X338" i="3"/>
  <c r="X339" i="3"/>
  <c r="X340" i="3"/>
  <c r="X341" i="3"/>
  <c r="X342" i="3"/>
  <c r="X343" i="3"/>
  <c r="X344" i="3"/>
  <c r="X345" i="3"/>
  <c r="X346" i="3"/>
  <c r="X347" i="3"/>
  <c r="X348" i="3"/>
  <c r="X349" i="3"/>
  <c r="X350" i="3"/>
  <c r="X351" i="3"/>
  <c r="X352" i="3"/>
  <c r="X353" i="3"/>
  <c r="X354" i="3"/>
  <c r="X355" i="3"/>
  <c r="X356" i="3"/>
  <c r="X357" i="3"/>
  <c r="X358" i="3"/>
  <c r="X359" i="3"/>
  <c r="X360" i="3"/>
  <c r="X361" i="3"/>
  <c r="X362" i="3"/>
  <c r="X363" i="3"/>
  <c r="X364" i="3"/>
  <c r="X365" i="3"/>
  <c r="X366" i="3"/>
  <c r="X367" i="3"/>
  <c r="X368" i="3"/>
  <c r="X369" i="3"/>
  <c r="X370" i="3"/>
  <c r="X371" i="3"/>
  <c r="X372" i="3"/>
  <c r="X373" i="3"/>
  <c r="X374" i="3"/>
  <c r="X375" i="3"/>
  <c r="X376" i="3"/>
  <c r="X377" i="3"/>
  <c r="X378" i="3"/>
  <c r="X379" i="3"/>
  <c r="X380" i="3"/>
  <c r="X381" i="3"/>
  <c r="X382" i="3"/>
  <c r="X383" i="3"/>
  <c r="X384" i="3"/>
  <c r="X385" i="3"/>
  <c r="X386" i="3"/>
  <c r="X387" i="3"/>
  <c r="X388" i="3"/>
  <c r="X389" i="3"/>
  <c r="X390" i="3"/>
  <c r="X391" i="3"/>
  <c r="X392" i="3"/>
  <c r="X393" i="3"/>
  <c r="X394" i="3"/>
  <c r="X395" i="3"/>
  <c r="X396" i="3"/>
  <c r="X397" i="3"/>
  <c r="X398" i="3"/>
  <c r="X399" i="3"/>
  <c r="X400" i="3"/>
  <c r="X401" i="3"/>
  <c r="X402" i="3"/>
  <c r="X403" i="3"/>
  <c r="X404" i="3"/>
  <c r="X405" i="3"/>
  <c r="X406" i="3"/>
  <c r="X407" i="3"/>
  <c r="X408" i="3"/>
  <c r="X409" i="3"/>
  <c r="X410" i="3"/>
  <c r="X411" i="3"/>
  <c r="X412" i="3"/>
  <c r="X413" i="3"/>
  <c r="X414" i="3"/>
  <c r="X415" i="3"/>
  <c r="X416" i="3"/>
  <c r="X417" i="3"/>
  <c r="X418" i="3"/>
  <c r="X419" i="3"/>
  <c r="X420" i="3"/>
  <c r="X421" i="3"/>
  <c r="X422" i="3"/>
  <c r="X423" i="3"/>
  <c r="X424" i="3"/>
  <c r="X425" i="3"/>
  <c r="X426" i="3"/>
  <c r="X427" i="3"/>
  <c r="X428" i="3"/>
  <c r="X429" i="3"/>
  <c r="X430" i="3"/>
  <c r="X431" i="3"/>
  <c r="X432" i="3"/>
  <c r="X433" i="3"/>
  <c r="X434" i="3"/>
  <c r="X435" i="3"/>
  <c r="X436" i="3"/>
  <c r="X437" i="3"/>
  <c r="X438" i="3"/>
  <c r="X439" i="3"/>
  <c r="X440" i="3"/>
  <c r="X441" i="3"/>
  <c r="X442" i="3"/>
  <c r="X443" i="3"/>
  <c r="X444" i="3"/>
  <c r="X445" i="3"/>
  <c r="X446" i="3"/>
  <c r="X447" i="3"/>
  <c r="X448" i="3"/>
  <c r="X449" i="3"/>
  <c r="X450" i="3"/>
  <c r="X451" i="3"/>
  <c r="X452" i="3"/>
  <c r="X453" i="3"/>
  <c r="X454" i="3"/>
  <c r="X455" i="3"/>
  <c r="X456" i="3"/>
  <c r="X457" i="3"/>
  <c r="X458" i="3"/>
  <c r="X459" i="3"/>
  <c r="X460" i="3"/>
  <c r="X461" i="3"/>
  <c r="X462" i="3"/>
  <c r="X463" i="3"/>
  <c r="X464" i="3"/>
  <c r="X465" i="3"/>
  <c r="X466" i="3"/>
  <c r="X467" i="3"/>
  <c r="X468" i="3"/>
  <c r="X469" i="3"/>
  <c r="X470" i="3"/>
  <c r="X471" i="3"/>
  <c r="X472" i="3"/>
  <c r="X473" i="3"/>
  <c r="X474" i="3"/>
  <c r="X475" i="3"/>
  <c r="X476" i="3"/>
  <c r="X477" i="3"/>
  <c r="X478" i="3"/>
  <c r="X479" i="3"/>
  <c r="X480" i="3"/>
  <c r="X481" i="3"/>
  <c r="X482" i="3"/>
  <c r="X483" i="3"/>
  <c r="X484" i="3"/>
  <c r="X485" i="3"/>
  <c r="X486" i="3"/>
  <c r="X487" i="3"/>
  <c r="X488" i="3"/>
  <c r="X489" i="3"/>
  <c r="X490" i="3"/>
  <c r="X491" i="3"/>
  <c r="X492" i="3"/>
  <c r="X493" i="3"/>
  <c r="X494" i="3"/>
  <c r="X495" i="3"/>
  <c r="X496" i="3"/>
  <c r="X497" i="3"/>
  <c r="X498" i="3"/>
  <c r="X499" i="3"/>
  <c r="X500" i="3"/>
  <c r="X501" i="3"/>
  <c r="X502" i="3"/>
  <c r="X503" i="3"/>
  <c r="X504" i="3"/>
  <c r="X505" i="3"/>
  <c r="X506" i="3"/>
  <c r="X507" i="3"/>
  <c r="X508" i="3"/>
  <c r="X509" i="3"/>
  <c r="X510" i="3"/>
  <c r="X511" i="3"/>
  <c r="X512" i="3"/>
  <c r="X513" i="3"/>
  <c r="X514" i="3"/>
  <c r="X515" i="3"/>
  <c r="X516" i="3"/>
  <c r="X517" i="3"/>
  <c r="X518" i="3"/>
  <c r="X519" i="3"/>
  <c r="X520" i="3"/>
  <c r="X521" i="3"/>
  <c r="X522" i="3"/>
  <c r="X523" i="3"/>
  <c r="X524" i="3"/>
  <c r="X525" i="3"/>
  <c r="X526" i="3"/>
  <c r="X527" i="3"/>
  <c r="X528" i="3"/>
  <c r="X529" i="3"/>
  <c r="X530" i="3"/>
  <c r="X531" i="3"/>
  <c r="X532" i="3"/>
  <c r="X533" i="3"/>
  <c r="X534" i="3"/>
  <c r="X535" i="3"/>
  <c r="X536" i="3"/>
  <c r="X537" i="3"/>
  <c r="X538" i="3"/>
  <c r="X539" i="3"/>
  <c r="X540" i="3"/>
  <c r="X541" i="3"/>
  <c r="X542" i="3"/>
  <c r="X543" i="3"/>
  <c r="X544" i="3"/>
  <c r="X545" i="3"/>
  <c r="X546" i="3"/>
  <c r="X547" i="3"/>
  <c r="X548" i="3"/>
  <c r="X549" i="3"/>
  <c r="X550" i="3"/>
  <c r="X551" i="3"/>
  <c r="X552" i="3"/>
  <c r="X553" i="3"/>
  <c r="X554" i="3"/>
  <c r="X555" i="3"/>
  <c r="X556" i="3"/>
  <c r="X557" i="3"/>
  <c r="X558" i="3"/>
  <c r="X559" i="3"/>
  <c r="X560" i="3"/>
  <c r="X561" i="3"/>
  <c r="X562" i="3"/>
  <c r="X563" i="3"/>
  <c r="X564" i="3"/>
  <c r="X565" i="3"/>
  <c r="X566" i="3"/>
  <c r="X567" i="3"/>
  <c r="X568" i="3"/>
  <c r="X569" i="3"/>
  <c r="X570" i="3"/>
  <c r="X571" i="3"/>
  <c r="X572" i="3"/>
  <c r="X573" i="3"/>
  <c r="X574" i="3"/>
  <c r="X575" i="3"/>
  <c r="X576" i="3"/>
  <c r="X577" i="3"/>
  <c r="X578" i="3"/>
  <c r="X579" i="3"/>
  <c r="X580" i="3"/>
  <c r="X581" i="3"/>
  <c r="X582" i="3"/>
  <c r="X583" i="3"/>
  <c r="X584" i="3"/>
  <c r="X585" i="3"/>
  <c r="X586" i="3"/>
  <c r="X587" i="3"/>
  <c r="X588" i="3"/>
  <c r="X589" i="3"/>
  <c r="X590" i="3"/>
  <c r="X591" i="3"/>
  <c r="X592" i="3"/>
  <c r="X593" i="3"/>
  <c r="X594" i="3"/>
  <c r="X595" i="3"/>
  <c r="X596" i="3"/>
  <c r="X597" i="3"/>
  <c r="X598" i="3"/>
  <c r="X599" i="3"/>
  <c r="X600" i="3"/>
  <c r="X601" i="3"/>
  <c r="X602" i="3"/>
  <c r="X603" i="3"/>
  <c r="X604" i="3"/>
  <c r="X605" i="3"/>
  <c r="X606" i="3"/>
  <c r="X607" i="3"/>
  <c r="X608" i="3"/>
  <c r="X609" i="3"/>
  <c r="X610" i="3"/>
  <c r="X611" i="3"/>
  <c r="X612" i="3"/>
  <c r="X613" i="3"/>
  <c r="X614" i="3"/>
  <c r="X615" i="3"/>
  <c r="X616" i="3"/>
  <c r="X617" i="3"/>
  <c r="X618" i="3"/>
  <c r="X619" i="3"/>
  <c r="X620" i="3"/>
  <c r="X621" i="3"/>
  <c r="X622" i="3"/>
  <c r="X623" i="3"/>
  <c r="X624" i="3"/>
  <c r="X625" i="3"/>
  <c r="X626" i="3"/>
  <c r="X627" i="3"/>
  <c r="X628" i="3"/>
  <c r="X629" i="3"/>
  <c r="X630" i="3"/>
  <c r="X631" i="3"/>
  <c r="X632" i="3"/>
  <c r="X633" i="3"/>
  <c r="X634" i="3"/>
  <c r="X635" i="3"/>
  <c r="X636" i="3"/>
  <c r="X637" i="3"/>
  <c r="X638" i="3"/>
  <c r="X639" i="3"/>
  <c r="X640" i="3"/>
  <c r="X641" i="3"/>
  <c r="X642" i="3"/>
  <c r="X643" i="3"/>
  <c r="X644" i="3"/>
  <c r="X645" i="3"/>
  <c r="X646" i="3"/>
  <c r="X647" i="3"/>
  <c r="X648" i="3"/>
  <c r="X649" i="3"/>
  <c r="X650" i="3"/>
  <c r="X651" i="3"/>
  <c r="X652" i="3"/>
  <c r="X653" i="3"/>
  <c r="X654" i="3"/>
  <c r="X655" i="3"/>
  <c r="X656" i="3"/>
  <c r="X657" i="3"/>
  <c r="X658" i="3"/>
  <c r="X659" i="3"/>
  <c r="X660" i="3"/>
  <c r="X661" i="3"/>
  <c r="X662" i="3"/>
  <c r="X663" i="3"/>
  <c r="X664" i="3"/>
  <c r="X665" i="3"/>
  <c r="X666" i="3"/>
  <c r="X667" i="3"/>
  <c r="X668" i="3"/>
  <c r="X669" i="3"/>
  <c r="X670" i="3"/>
  <c r="X671" i="3"/>
  <c r="X672" i="3"/>
  <c r="X673" i="3"/>
  <c r="X674" i="3"/>
  <c r="X675" i="3"/>
  <c r="X676" i="3"/>
  <c r="X677" i="3"/>
  <c r="X678" i="3"/>
  <c r="X679" i="3"/>
  <c r="X680" i="3"/>
  <c r="X681" i="3"/>
  <c r="X682" i="3"/>
  <c r="X683" i="3"/>
  <c r="X684" i="3"/>
  <c r="X685" i="3"/>
  <c r="X686" i="3"/>
  <c r="X687" i="3"/>
  <c r="X688" i="3"/>
  <c r="X689" i="3"/>
  <c r="X690" i="3"/>
  <c r="X691" i="3"/>
  <c r="X692" i="3"/>
  <c r="X693" i="3"/>
  <c r="X694" i="3"/>
  <c r="X695" i="3"/>
  <c r="X696" i="3"/>
  <c r="X697" i="3"/>
  <c r="X698" i="3"/>
  <c r="X699" i="3"/>
  <c r="X700" i="3"/>
  <c r="X701" i="3"/>
  <c r="X702" i="3"/>
  <c r="X703" i="3"/>
  <c r="X704" i="3"/>
  <c r="X705" i="3"/>
  <c r="X706" i="3"/>
  <c r="X707" i="3"/>
  <c r="X708" i="3"/>
  <c r="X709" i="3"/>
  <c r="X710" i="3"/>
  <c r="X711" i="3"/>
  <c r="X712" i="3"/>
  <c r="X713" i="3"/>
  <c r="X714" i="3"/>
  <c r="X715" i="3"/>
  <c r="X716" i="3"/>
  <c r="X717" i="3"/>
  <c r="X718" i="3"/>
  <c r="X719" i="3"/>
  <c r="X720" i="3"/>
  <c r="X721" i="3"/>
  <c r="X722" i="3"/>
  <c r="X723" i="3"/>
  <c r="X724" i="3"/>
  <c r="X725" i="3"/>
  <c r="X726" i="3"/>
  <c r="X727" i="3"/>
  <c r="X728" i="3"/>
  <c r="X729" i="3"/>
  <c r="X730" i="3"/>
  <c r="X731" i="3"/>
  <c r="X732" i="3"/>
  <c r="X733" i="3"/>
  <c r="X734" i="3"/>
  <c r="X735" i="3"/>
  <c r="X736" i="3"/>
  <c r="X737" i="3"/>
  <c r="X738" i="3"/>
  <c r="X739" i="3"/>
  <c r="X740" i="3"/>
  <c r="X741" i="3"/>
  <c r="X742" i="3"/>
  <c r="X743" i="3"/>
  <c r="X744" i="3"/>
  <c r="X745" i="3"/>
  <c r="X746" i="3"/>
  <c r="X747" i="3"/>
  <c r="X748" i="3"/>
  <c r="X749" i="3"/>
  <c r="X750" i="3"/>
  <c r="X751" i="3"/>
  <c r="X752" i="3"/>
  <c r="X753" i="3"/>
  <c r="X754" i="3"/>
  <c r="X755" i="3"/>
  <c r="X756" i="3"/>
  <c r="X757" i="3"/>
  <c r="X758" i="3"/>
  <c r="X759" i="3"/>
  <c r="X760" i="3"/>
  <c r="X761" i="3"/>
  <c r="X762" i="3"/>
  <c r="X763" i="3"/>
  <c r="X764" i="3"/>
  <c r="X765" i="3"/>
  <c r="X766" i="3"/>
  <c r="X767" i="3"/>
  <c r="X768" i="3"/>
  <c r="X769" i="3"/>
  <c r="X770" i="3"/>
  <c r="X771" i="3"/>
  <c r="X772" i="3"/>
  <c r="X773" i="3"/>
  <c r="X774" i="3"/>
  <c r="X775" i="3"/>
  <c r="X776" i="3"/>
  <c r="X777" i="3"/>
  <c r="X778" i="3"/>
  <c r="X779" i="3"/>
  <c r="X780" i="3"/>
  <c r="X781" i="3"/>
  <c r="X782" i="3"/>
  <c r="X783" i="3"/>
  <c r="X784" i="3"/>
  <c r="X785" i="3"/>
  <c r="X786" i="3"/>
  <c r="X787" i="3"/>
  <c r="X788" i="3"/>
  <c r="X789" i="3"/>
  <c r="X790" i="3"/>
  <c r="X791" i="3"/>
  <c r="X792" i="3"/>
  <c r="X793" i="3"/>
  <c r="X794" i="3"/>
  <c r="X795" i="3"/>
  <c r="X796" i="3"/>
  <c r="X797" i="3"/>
  <c r="X798" i="3"/>
  <c r="X799" i="3"/>
  <c r="X800" i="3"/>
  <c r="X801" i="3"/>
  <c r="X802" i="3"/>
  <c r="X803" i="3"/>
  <c r="X804" i="3"/>
  <c r="X805" i="3"/>
  <c r="X806" i="3"/>
  <c r="X807" i="3"/>
  <c r="X808" i="3"/>
  <c r="X809" i="3"/>
  <c r="X810" i="3"/>
  <c r="X811" i="3"/>
  <c r="X812" i="3"/>
  <c r="X813" i="3"/>
  <c r="X814" i="3"/>
  <c r="X815" i="3"/>
  <c r="X816" i="3"/>
  <c r="X817" i="3"/>
  <c r="X818" i="3"/>
  <c r="X819" i="3"/>
  <c r="X820" i="3"/>
  <c r="X821" i="3"/>
  <c r="X822" i="3"/>
  <c r="X823" i="3"/>
  <c r="X824" i="3"/>
  <c r="X825" i="3"/>
  <c r="X826" i="3"/>
  <c r="X827" i="3"/>
  <c r="X828" i="3"/>
  <c r="X829" i="3"/>
  <c r="X830" i="3"/>
  <c r="X831" i="3"/>
  <c r="X832" i="3"/>
  <c r="X833" i="3"/>
  <c r="X834" i="3"/>
  <c r="X835" i="3"/>
  <c r="X836" i="3"/>
  <c r="X837" i="3"/>
  <c r="X838" i="3"/>
  <c r="X839" i="3"/>
  <c r="X840" i="3"/>
  <c r="X841" i="3"/>
  <c r="X842" i="3"/>
  <c r="X843" i="3"/>
  <c r="X844" i="3"/>
  <c r="X845" i="3"/>
  <c r="X846" i="3"/>
  <c r="X847" i="3"/>
  <c r="X848" i="3"/>
  <c r="X849" i="3"/>
  <c r="X850" i="3"/>
  <c r="X851" i="3"/>
  <c r="X852" i="3"/>
  <c r="X853" i="3"/>
  <c r="X854" i="3"/>
  <c r="X855" i="3"/>
  <c r="X856" i="3"/>
  <c r="X857" i="3"/>
  <c r="X858" i="3"/>
  <c r="X859" i="3"/>
  <c r="X860" i="3"/>
  <c r="X861" i="3"/>
  <c r="X862" i="3"/>
  <c r="X863" i="3"/>
  <c r="X864" i="3"/>
  <c r="X865" i="3"/>
  <c r="X866" i="3"/>
  <c r="X867" i="3"/>
  <c r="X868" i="3"/>
  <c r="X869" i="3"/>
  <c r="X870" i="3"/>
  <c r="X871" i="3"/>
  <c r="X872" i="3"/>
  <c r="X873" i="3"/>
  <c r="X874" i="3"/>
  <c r="X875" i="3"/>
  <c r="X876" i="3"/>
  <c r="X877" i="3"/>
  <c r="X878" i="3"/>
  <c r="X879" i="3"/>
  <c r="X880" i="3"/>
  <c r="X881" i="3"/>
  <c r="X882" i="3"/>
  <c r="X883" i="3"/>
  <c r="X884" i="3"/>
  <c r="X885" i="3"/>
  <c r="X886" i="3"/>
  <c r="X887" i="3"/>
  <c r="X888" i="3"/>
  <c r="X889" i="3"/>
  <c r="X890" i="3"/>
  <c r="X891" i="3"/>
  <c r="X892" i="3"/>
  <c r="X893" i="3"/>
  <c r="X894" i="3"/>
  <c r="X895" i="3"/>
  <c r="X896" i="3"/>
  <c r="X897" i="3"/>
  <c r="X898" i="3"/>
  <c r="X899" i="3"/>
  <c r="X900" i="3"/>
  <c r="X901" i="3"/>
  <c r="X902" i="3"/>
  <c r="X903" i="3"/>
  <c r="X904" i="3"/>
  <c r="X905" i="3"/>
  <c r="X906" i="3"/>
  <c r="X907" i="3"/>
  <c r="X908" i="3"/>
  <c r="X909" i="3"/>
  <c r="X910" i="3"/>
  <c r="X911" i="3"/>
  <c r="X912" i="3"/>
  <c r="X913" i="3"/>
  <c r="X914" i="3"/>
  <c r="X915" i="3"/>
  <c r="X916" i="3"/>
  <c r="X917" i="3"/>
  <c r="X918" i="3"/>
  <c r="X919" i="3"/>
  <c r="X920" i="3"/>
  <c r="X921" i="3"/>
  <c r="X922" i="3"/>
  <c r="X923" i="3"/>
  <c r="X924" i="3"/>
  <c r="X925" i="3"/>
  <c r="X926" i="3"/>
  <c r="X927" i="3"/>
  <c r="X928" i="3"/>
  <c r="X929" i="3"/>
  <c r="X930" i="3"/>
  <c r="X931" i="3"/>
  <c r="X932" i="3"/>
  <c r="X933" i="3"/>
  <c r="X934" i="3"/>
  <c r="X935" i="3"/>
  <c r="X936" i="3"/>
  <c r="X937" i="3"/>
  <c r="X938" i="3"/>
  <c r="X939" i="3"/>
  <c r="X940" i="3"/>
  <c r="X941" i="3"/>
  <c r="X942" i="3"/>
  <c r="X943" i="3"/>
  <c r="X944" i="3"/>
  <c r="X945" i="3"/>
  <c r="X946" i="3"/>
  <c r="X947" i="3"/>
  <c r="X948" i="3"/>
  <c r="X949" i="3"/>
  <c r="X950" i="3"/>
  <c r="X951" i="3"/>
  <c r="X952" i="3"/>
  <c r="X953" i="3"/>
  <c r="X954" i="3"/>
  <c r="X955" i="3"/>
  <c r="X956" i="3"/>
  <c r="X957" i="3"/>
  <c r="X958" i="3"/>
  <c r="X959" i="3"/>
  <c r="X960" i="3"/>
  <c r="X961" i="3"/>
  <c r="X962" i="3"/>
  <c r="X963" i="3"/>
  <c r="X964" i="3"/>
  <c r="X965" i="3"/>
  <c r="X966" i="3"/>
  <c r="X967" i="3"/>
  <c r="X968" i="3"/>
  <c r="X969" i="3"/>
  <c r="X970" i="3"/>
  <c r="X971" i="3"/>
  <c r="X972" i="3"/>
  <c r="X973" i="3"/>
  <c r="X974" i="3"/>
  <c r="X975" i="3"/>
  <c r="X976" i="3"/>
  <c r="X977" i="3"/>
  <c r="X978" i="3"/>
  <c r="X979" i="3"/>
  <c r="X980" i="3"/>
  <c r="X981" i="3"/>
  <c r="X982" i="3"/>
  <c r="X983" i="3"/>
  <c r="X984" i="3"/>
  <c r="X985" i="3"/>
  <c r="X986" i="3"/>
  <c r="X987" i="3"/>
  <c r="X988" i="3"/>
  <c r="X989" i="3"/>
  <c r="X990" i="3"/>
  <c r="X991" i="3"/>
  <c r="X992" i="3"/>
  <c r="X993" i="3"/>
  <c r="X994" i="3"/>
  <c r="X995" i="3"/>
  <c r="X996" i="3"/>
  <c r="X997" i="3"/>
  <c r="X998" i="3"/>
  <c r="X999" i="3"/>
  <c r="X1000" i="3"/>
  <c r="X1001" i="3"/>
  <c r="X1002" i="3"/>
  <c r="X1003" i="3"/>
  <c r="X4" i="3"/>
  <c r="E21" i="3"/>
  <c r="E22" i="3"/>
  <c r="E23" i="3"/>
  <c r="E24" i="3"/>
  <c r="E20" i="3"/>
  <c r="E30" i="3"/>
  <c r="E29" i="3"/>
  <c r="E28" i="3"/>
  <c r="H38" i="1"/>
  <c r="G38" i="1"/>
  <c r="F38" i="1"/>
  <c r="G35" i="1" l="1"/>
  <c r="D35" i="1"/>
  <c r="E35" i="1"/>
  <c r="F35" i="1"/>
  <c r="H35" i="1"/>
  <c r="E27" i="3" l="1"/>
  <c r="E26" i="3"/>
  <c r="D30" i="3"/>
  <c r="G30" i="3" s="1"/>
  <c r="D29" i="3"/>
  <c r="G29" i="3" s="1"/>
  <c r="D28" i="3"/>
  <c r="G28" i="3" s="1"/>
  <c r="D27" i="3"/>
  <c r="G27" i="3" s="1"/>
  <c r="D26" i="3"/>
  <c r="G26" i="3" s="1"/>
  <c r="D14" i="1" l="1"/>
  <c r="E9" i="1"/>
  <c r="D9" i="1"/>
  <c r="D25" i="1"/>
  <c r="D24" i="1"/>
  <c r="D23" i="1"/>
  <c r="D22" i="1"/>
  <c r="D15" i="2"/>
  <c r="D17" i="2" s="1"/>
  <c r="D10" i="1" s="1"/>
  <c r="E9" i="2"/>
  <c r="E10" i="2"/>
  <c r="E11" i="2"/>
  <c r="E12" i="2"/>
  <c r="E8" i="2"/>
  <c r="T4" i="3"/>
  <c r="T3" i="3"/>
  <c r="E11" i="3"/>
  <c r="H11" i="3" s="1"/>
  <c r="E12" i="3"/>
  <c r="H12" i="3" s="1"/>
  <c r="E13" i="3"/>
  <c r="H13" i="3" s="1"/>
  <c r="E14" i="3"/>
  <c r="H14" i="3" s="1"/>
  <c r="E15" i="3"/>
  <c r="H15" i="3" s="1"/>
  <c r="E16" i="3"/>
  <c r="H16" i="3" s="1"/>
  <c r="E17" i="3"/>
  <c r="H17" i="3" s="1"/>
  <c r="E18" i="3"/>
  <c r="H18" i="3" s="1"/>
  <c r="E10" i="3"/>
  <c r="H10" i="3" s="1"/>
  <c r="D13" i="1"/>
  <c r="D12" i="1"/>
  <c r="D11" i="1"/>
  <c r="E7" i="3"/>
  <c r="E16" i="1" s="1"/>
  <c r="D7" i="3"/>
  <c r="D16" i="1" s="1"/>
  <c r="W3" i="3" s="1"/>
  <c r="H39" i="1"/>
  <c r="H40" i="1"/>
  <c r="E38" i="1"/>
  <c r="E39" i="1" s="1"/>
  <c r="F39" i="1"/>
  <c r="G39" i="1"/>
  <c r="D38" i="1"/>
  <c r="D39" i="1" s="1"/>
  <c r="E40" i="1"/>
  <c r="F40" i="1"/>
  <c r="G40" i="1"/>
  <c r="D40" i="1"/>
  <c r="F33" i="1" l="1"/>
  <c r="H33" i="1"/>
  <c r="G33" i="1"/>
  <c r="E34" i="1"/>
  <c r="K62" i="1"/>
  <c r="D7" i="1"/>
  <c r="M22" i="2"/>
  <c r="O22" i="2" s="1"/>
  <c r="Q22" i="2" s="1"/>
  <c r="J28" i="3"/>
  <c r="F36" i="1" s="1"/>
  <c r="J29" i="3"/>
  <c r="G36" i="1" s="1"/>
  <c r="J26" i="3"/>
  <c r="D36" i="1" s="1"/>
  <c r="J27" i="3"/>
  <c r="E36" i="1" s="1"/>
  <c r="J30" i="3"/>
  <c r="H36" i="1" s="1"/>
  <c r="M9" i="2"/>
  <c r="O9" i="2" s="1"/>
  <c r="Q9" i="2" s="1"/>
  <c r="M17" i="2"/>
  <c r="O17" i="2" s="1"/>
  <c r="Q17" i="2" s="1"/>
  <c r="M12" i="2"/>
  <c r="O12" i="2" s="1"/>
  <c r="Q12" i="2" s="1"/>
  <c r="M24" i="2"/>
  <c r="O24" i="2" s="1"/>
  <c r="Q24" i="2" s="1"/>
  <c r="M10" i="2"/>
  <c r="O10" i="2" s="1"/>
  <c r="Q10" i="2" s="1"/>
  <c r="M18" i="2"/>
  <c r="O18" i="2" s="1"/>
  <c r="Q18" i="2" s="1"/>
  <c r="M11" i="2"/>
  <c r="O11" i="2" s="1"/>
  <c r="Q11" i="2" s="1"/>
  <c r="M19" i="2"/>
  <c r="O19" i="2" s="1"/>
  <c r="Q19" i="2" s="1"/>
  <c r="M13" i="2"/>
  <c r="O13" i="2" s="1"/>
  <c r="Q13" i="2" s="1"/>
  <c r="M21" i="2"/>
  <c r="O21" i="2" s="1"/>
  <c r="Q21" i="2" s="1"/>
  <c r="M15" i="2"/>
  <c r="O15" i="2" s="1"/>
  <c r="Q15" i="2" s="1"/>
  <c r="M23" i="2"/>
  <c r="O23" i="2" s="1"/>
  <c r="Q23" i="2" s="1"/>
  <c r="M20" i="2"/>
  <c r="O20" i="2" s="1"/>
  <c r="Q20" i="2" s="1"/>
  <c r="M16" i="2"/>
  <c r="O16" i="2" s="1"/>
  <c r="Q16" i="2" s="1"/>
  <c r="M14" i="2"/>
  <c r="O14" i="2" s="1"/>
  <c r="Q14" i="2" s="1"/>
  <c r="E17" i="2"/>
  <c r="E10" i="1" s="1"/>
  <c r="E28" i="1"/>
  <c r="F28" i="1"/>
  <c r="G28" i="1"/>
  <c r="H28" i="1"/>
  <c r="D28" i="1"/>
  <c r="D34" i="1"/>
  <c r="G34" i="1"/>
  <c r="F34" i="1"/>
  <c r="H34" i="1"/>
  <c r="D33" i="1"/>
  <c r="E33" i="1"/>
  <c r="W183" i="3"/>
  <c r="W842" i="3"/>
  <c r="W22" i="3"/>
  <c r="W653" i="3"/>
  <c r="W792" i="3"/>
  <c r="W100" i="3"/>
  <c r="W866" i="3"/>
  <c r="W455" i="3"/>
  <c r="W964" i="3"/>
  <c r="W767" i="3"/>
  <c r="W512" i="3"/>
  <c r="W983" i="3"/>
  <c r="W605" i="3"/>
  <c r="W1001" i="3"/>
  <c r="W946" i="3"/>
  <c r="W561" i="3"/>
  <c r="W817" i="3"/>
  <c r="W253" i="3"/>
  <c r="W928" i="3"/>
  <c r="W742" i="3"/>
  <c r="W397" i="3"/>
  <c r="W910" i="3"/>
  <c r="W714" i="3"/>
  <c r="W327" i="3"/>
  <c r="W888" i="3"/>
  <c r="W689" i="3"/>
  <c r="W978" i="3"/>
  <c r="W942" i="3"/>
  <c r="W882" i="3"/>
  <c r="W838" i="3"/>
  <c r="W785" i="3"/>
  <c r="W760" i="3"/>
  <c r="W710" i="3"/>
  <c r="W680" i="3"/>
  <c r="W644" i="3"/>
  <c r="W550" i="3"/>
  <c r="W506" i="3"/>
  <c r="W454" i="3"/>
  <c r="W381" i="3"/>
  <c r="W319" i="3"/>
  <c r="W87" i="3"/>
  <c r="W994" i="3"/>
  <c r="W958" i="3"/>
  <c r="W921" i="3"/>
  <c r="W880" i="3"/>
  <c r="W833" i="3"/>
  <c r="W783" i="3"/>
  <c r="W730" i="3"/>
  <c r="W678" i="3"/>
  <c r="W549" i="3"/>
  <c r="W164" i="3"/>
  <c r="W1003" i="3"/>
  <c r="W985" i="3"/>
  <c r="W967" i="3"/>
  <c r="W948" i="3"/>
  <c r="W930" i="3"/>
  <c r="W912" i="3"/>
  <c r="W890" i="3"/>
  <c r="W870" i="3"/>
  <c r="W847" i="3"/>
  <c r="W822" i="3"/>
  <c r="W794" i="3"/>
  <c r="W769" i="3"/>
  <c r="W744" i="3"/>
  <c r="W719" i="3"/>
  <c r="W694" i="3"/>
  <c r="W660" i="3"/>
  <c r="W622" i="3"/>
  <c r="W568" i="3"/>
  <c r="W525" i="3"/>
  <c r="W476" i="3"/>
  <c r="W406" i="3"/>
  <c r="W344" i="3"/>
  <c r="W277" i="3"/>
  <c r="W197" i="3"/>
  <c r="W119" i="3"/>
  <c r="W35" i="3"/>
  <c r="W1002" i="3"/>
  <c r="W984" i="3"/>
  <c r="W966" i="3"/>
  <c r="W947" i="3"/>
  <c r="W929" i="3"/>
  <c r="W911" i="3"/>
  <c r="W889" i="3"/>
  <c r="W867" i="3"/>
  <c r="W846" i="3"/>
  <c r="W818" i="3"/>
  <c r="W793" i="3"/>
  <c r="W768" i="3"/>
  <c r="W743" i="3"/>
  <c r="W718" i="3"/>
  <c r="W690" i="3"/>
  <c r="W658" i="3"/>
  <c r="W616" i="3"/>
  <c r="W567" i="3"/>
  <c r="W513" i="3"/>
  <c r="W469" i="3"/>
  <c r="W405" i="3"/>
  <c r="W328" i="3"/>
  <c r="W269" i="3"/>
  <c r="W196" i="3"/>
  <c r="W101" i="3"/>
  <c r="W904" i="3"/>
  <c r="W165" i="3"/>
  <c r="W7" i="3"/>
  <c r="W15" i="3"/>
  <c r="W23" i="3"/>
  <c r="W31" i="3"/>
  <c r="W40" i="3"/>
  <c r="W48" i="3"/>
  <c r="W56" i="3"/>
  <c r="W64" i="3"/>
  <c r="W72" i="3"/>
  <c r="W80" i="3"/>
  <c r="W88" i="3"/>
  <c r="W96" i="3"/>
  <c r="W104" i="3"/>
  <c r="W112" i="3"/>
  <c r="W120" i="3"/>
  <c r="W128" i="3"/>
  <c r="W136" i="3"/>
  <c r="W144" i="3"/>
  <c r="W152" i="3"/>
  <c r="W160" i="3"/>
  <c r="W168" i="3"/>
  <c r="W176" i="3"/>
  <c r="W184" i="3"/>
  <c r="W192" i="3"/>
  <c r="W200" i="3"/>
  <c r="W208" i="3"/>
  <c r="W216" i="3"/>
  <c r="W8" i="3"/>
  <c r="W16" i="3"/>
  <c r="W24" i="3"/>
  <c r="W32" i="3"/>
  <c r="W41" i="3"/>
  <c r="W49" i="3"/>
  <c r="W57" i="3"/>
  <c r="W65" i="3"/>
  <c r="W73" i="3"/>
  <c r="W81" i="3"/>
  <c r="W89" i="3"/>
  <c r="W97" i="3"/>
  <c r="W105" i="3"/>
  <c r="W113" i="3"/>
  <c r="W121" i="3"/>
  <c r="W129" i="3"/>
  <c r="W137" i="3"/>
  <c r="W145" i="3"/>
  <c r="W153" i="3"/>
  <c r="W161" i="3"/>
  <c r="W169" i="3"/>
  <c r="W177" i="3"/>
  <c r="W185" i="3"/>
  <c r="W193" i="3"/>
  <c r="W201" i="3"/>
  <c r="W209" i="3"/>
  <c r="W217" i="3"/>
  <c r="W225" i="3"/>
  <c r="W233" i="3"/>
  <c r="W241" i="3"/>
  <c r="W249" i="3"/>
  <c r="W257" i="3"/>
  <c r="W265" i="3"/>
  <c r="W273" i="3"/>
  <c r="W281" i="3"/>
  <c r="W289" i="3"/>
  <c r="W297" i="3"/>
  <c r="W305" i="3"/>
  <c r="W313" i="3"/>
  <c r="W321" i="3"/>
  <c r="W329" i="3"/>
  <c r="W337" i="3"/>
  <c r="W345" i="3"/>
  <c r="W353" i="3"/>
  <c r="W361" i="3"/>
  <c r="W369" i="3"/>
  <c r="W377" i="3"/>
  <c r="W385" i="3"/>
  <c r="W393" i="3"/>
  <c r="W401" i="3"/>
  <c r="W409" i="3"/>
  <c r="W417" i="3"/>
  <c r="W425" i="3"/>
  <c r="W433" i="3"/>
  <c r="W441" i="3"/>
  <c r="W9" i="3"/>
  <c r="W17" i="3"/>
  <c r="W25" i="3"/>
  <c r="W33" i="3"/>
  <c r="W42" i="3"/>
  <c r="W50" i="3"/>
  <c r="W58" i="3"/>
  <c r="W66" i="3"/>
  <c r="W74" i="3"/>
  <c r="W82" i="3"/>
  <c r="W90" i="3"/>
  <c r="W98" i="3"/>
  <c r="W106" i="3"/>
  <c r="W114" i="3"/>
  <c r="W122" i="3"/>
  <c r="W130" i="3"/>
  <c r="W138" i="3"/>
  <c r="W146" i="3"/>
  <c r="W154" i="3"/>
  <c r="W162" i="3"/>
  <c r="W170" i="3"/>
  <c r="W178" i="3"/>
  <c r="W186" i="3"/>
  <c r="W194" i="3"/>
  <c r="W202" i="3"/>
  <c r="W210" i="3"/>
  <c r="W218" i="3"/>
  <c r="W226" i="3"/>
  <c r="W234" i="3"/>
  <c r="W242" i="3"/>
  <c r="W250" i="3"/>
  <c r="W258" i="3"/>
  <c r="W266" i="3"/>
  <c r="W274" i="3"/>
  <c r="W282" i="3"/>
  <c r="W290" i="3"/>
  <c r="W298" i="3"/>
  <c r="W306" i="3"/>
  <c r="W314" i="3"/>
  <c r="W322" i="3"/>
  <c r="W330" i="3"/>
  <c r="W338" i="3"/>
  <c r="W346" i="3"/>
  <c r="W354" i="3"/>
  <c r="W362" i="3"/>
  <c r="W370" i="3"/>
  <c r="W378" i="3"/>
  <c r="W386" i="3"/>
  <c r="W394" i="3"/>
  <c r="W402" i="3"/>
  <c r="W410" i="3"/>
  <c r="W418" i="3"/>
  <c r="W426" i="3"/>
  <c r="W434" i="3"/>
  <c r="W442" i="3"/>
  <c r="W450" i="3"/>
  <c r="W458" i="3"/>
  <c r="W466" i="3"/>
  <c r="W474" i="3"/>
  <c r="W10" i="3"/>
  <c r="W18" i="3"/>
  <c r="W26" i="3"/>
  <c r="W34" i="3"/>
  <c r="W43" i="3"/>
  <c r="W51" i="3"/>
  <c r="W59" i="3"/>
  <c r="W67" i="3"/>
  <c r="W75" i="3"/>
  <c r="W83" i="3"/>
  <c r="W91" i="3"/>
  <c r="W99" i="3"/>
  <c r="W107" i="3"/>
  <c r="W115" i="3"/>
  <c r="W123" i="3"/>
  <c r="W131" i="3"/>
  <c r="W139" i="3"/>
  <c r="W147" i="3"/>
  <c r="W155" i="3"/>
  <c r="W163" i="3"/>
  <c r="W171" i="3"/>
  <c r="W179" i="3"/>
  <c r="W187" i="3"/>
  <c r="W195" i="3"/>
  <c r="W203" i="3"/>
  <c r="W211" i="3"/>
  <c r="W219" i="3"/>
  <c r="W227" i="3"/>
  <c r="W235" i="3"/>
  <c r="W243" i="3"/>
  <c r="W251" i="3"/>
  <c r="W259" i="3"/>
  <c r="W267" i="3"/>
  <c r="W275" i="3"/>
  <c r="W283" i="3"/>
  <c r="W291" i="3"/>
  <c r="W299" i="3"/>
  <c r="W307" i="3"/>
  <c r="W315" i="3"/>
  <c r="W323" i="3"/>
  <c r="W331" i="3"/>
  <c r="W339" i="3"/>
  <c r="W347" i="3"/>
  <c r="W355" i="3"/>
  <c r="W363" i="3"/>
  <c r="W371" i="3"/>
  <c r="W379" i="3"/>
  <c r="W387" i="3"/>
  <c r="W395" i="3"/>
  <c r="W403" i="3"/>
  <c r="W411" i="3"/>
  <c r="W419" i="3"/>
  <c r="W427" i="3"/>
  <c r="W435" i="3"/>
  <c r="W443" i="3"/>
  <c r="W451" i="3"/>
  <c r="W459" i="3"/>
  <c r="W467" i="3"/>
  <c r="W475" i="3"/>
  <c r="W483" i="3"/>
  <c r="W491" i="3"/>
  <c r="W499" i="3"/>
  <c r="W507" i="3"/>
  <c r="W515" i="3"/>
  <c r="W523" i="3"/>
  <c r="W531" i="3"/>
  <c r="W539" i="3"/>
  <c r="W547" i="3"/>
  <c r="W555" i="3"/>
  <c r="W563" i="3"/>
  <c r="W571" i="3"/>
  <c r="W579" i="3"/>
  <c r="W587" i="3"/>
  <c r="W595" i="3"/>
  <c r="W603" i="3"/>
  <c r="W611" i="3"/>
  <c r="W619" i="3"/>
  <c r="W627" i="3"/>
  <c r="W635" i="3"/>
  <c r="W643" i="3"/>
  <c r="W651" i="3"/>
  <c r="W659" i="3"/>
  <c r="W667" i="3"/>
  <c r="W675" i="3"/>
  <c r="W683" i="3"/>
  <c r="W11" i="3"/>
  <c r="W27" i="3"/>
  <c r="W44" i="3"/>
  <c r="W60" i="3"/>
  <c r="W76" i="3"/>
  <c r="W92" i="3"/>
  <c r="W108" i="3"/>
  <c r="W124" i="3"/>
  <c r="W140" i="3"/>
  <c r="W156" i="3"/>
  <c r="W172" i="3"/>
  <c r="W188" i="3"/>
  <c r="W204" i="3"/>
  <c r="W220" i="3"/>
  <c r="W231" i="3"/>
  <c r="W245" i="3"/>
  <c r="W256" i="3"/>
  <c r="W270" i="3"/>
  <c r="W284" i="3"/>
  <c r="W295" i="3"/>
  <c r="W309" i="3"/>
  <c r="W320" i="3"/>
  <c r="W334" i="3"/>
  <c r="W348" i="3"/>
  <c r="W359" i="3"/>
  <c r="W373" i="3"/>
  <c r="W384" i="3"/>
  <c r="W398" i="3"/>
  <c r="W412" i="3"/>
  <c r="W423" i="3"/>
  <c r="W437" i="3"/>
  <c r="W448" i="3"/>
  <c r="W460" i="3"/>
  <c r="W470" i="3"/>
  <c r="W480" i="3"/>
  <c r="W489" i="3"/>
  <c r="W498" i="3"/>
  <c r="W508" i="3"/>
  <c r="W517" i="3"/>
  <c r="W526" i="3"/>
  <c r="W535" i="3"/>
  <c r="W544" i="3"/>
  <c r="W553" i="3"/>
  <c r="W562" i="3"/>
  <c r="W572" i="3"/>
  <c r="W581" i="3"/>
  <c r="W590" i="3"/>
  <c r="W599" i="3"/>
  <c r="W608" i="3"/>
  <c r="W617" i="3"/>
  <c r="W626" i="3"/>
  <c r="W636" i="3"/>
  <c r="W645" i="3"/>
  <c r="W654" i="3"/>
  <c r="W663" i="3"/>
  <c r="W672" i="3"/>
  <c r="W681" i="3"/>
  <c r="W12" i="3"/>
  <c r="W28" i="3"/>
  <c r="W45" i="3"/>
  <c r="W61" i="3"/>
  <c r="W77" i="3"/>
  <c r="W93" i="3"/>
  <c r="W109" i="3"/>
  <c r="W125" i="3"/>
  <c r="W141" i="3"/>
  <c r="W157" i="3"/>
  <c r="W173" i="3"/>
  <c r="W189" i="3"/>
  <c r="W205" i="3"/>
  <c r="W221" i="3"/>
  <c r="W232" i="3"/>
  <c r="W246" i="3"/>
  <c r="W260" i="3"/>
  <c r="W271" i="3"/>
  <c r="W285" i="3"/>
  <c r="W296" i="3"/>
  <c r="W310" i="3"/>
  <c r="W324" i="3"/>
  <c r="W335" i="3"/>
  <c r="W349" i="3"/>
  <c r="W360" i="3"/>
  <c r="W374" i="3"/>
  <c r="W388" i="3"/>
  <c r="W399" i="3"/>
  <c r="W413" i="3"/>
  <c r="W424" i="3"/>
  <c r="W438" i="3"/>
  <c r="W449" i="3"/>
  <c r="W461" i="3"/>
  <c r="W471" i="3"/>
  <c r="W481" i="3"/>
  <c r="W490" i="3"/>
  <c r="W500" i="3"/>
  <c r="W509" i="3"/>
  <c r="W518" i="3"/>
  <c r="W527" i="3"/>
  <c r="W536" i="3"/>
  <c r="W545" i="3"/>
  <c r="W554" i="3"/>
  <c r="W564" i="3"/>
  <c r="W573" i="3"/>
  <c r="W582" i="3"/>
  <c r="W591" i="3"/>
  <c r="W600" i="3"/>
  <c r="W609" i="3"/>
  <c r="W618" i="3"/>
  <c r="W628" i="3"/>
  <c r="W637" i="3"/>
  <c r="W646" i="3"/>
  <c r="W655" i="3"/>
  <c r="W664" i="3"/>
  <c r="W673" i="3"/>
  <c r="W682" i="3"/>
  <c r="W691" i="3"/>
  <c r="W699" i="3"/>
  <c r="W707" i="3"/>
  <c r="W715" i="3"/>
  <c r="W723" i="3"/>
  <c r="W731" i="3"/>
  <c r="W739" i="3"/>
  <c r="W747" i="3"/>
  <c r="W755" i="3"/>
  <c r="W763" i="3"/>
  <c r="W771" i="3"/>
  <c r="W779" i="3"/>
  <c r="W787" i="3"/>
  <c r="W795" i="3"/>
  <c r="W803" i="3"/>
  <c r="W811" i="3"/>
  <c r="W819" i="3"/>
  <c r="W827" i="3"/>
  <c r="W835" i="3"/>
  <c r="W843" i="3"/>
  <c r="W851" i="3"/>
  <c r="W13" i="3"/>
  <c r="W29" i="3"/>
  <c r="W46" i="3"/>
  <c r="W62" i="3"/>
  <c r="W78" i="3"/>
  <c r="W94" i="3"/>
  <c r="W110" i="3"/>
  <c r="W126" i="3"/>
  <c r="W142" i="3"/>
  <c r="W158" i="3"/>
  <c r="W174" i="3"/>
  <c r="W190" i="3"/>
  <c r="W206" i="3"/>
  <c r="W222" i="3"/>
  <c r="W236" i="3"/>
  <c r="W247" i="3"/>
  <c r="W261" i="3"/>
  <c r="W272" i="3"/>
  <c r="W286" i="3"/>
  <c r="W300" i="3"/>
  <c r="W311" i="3"/>
  <c r="W325" i="3"/>
  <c r="W336" i="3"/>
  <c r="W350" i="3"/>
  <c r="W364" i="3"/>
  <c r="W375" i="3"/>
  <c r="W389" i="3"/>
  <c r="W400" i="3"/>
  <c r="W414" i="3"/>
  <c r="W428" i="3"/>
  <c r="W439" i="3"/>
  <c r="W452" i="3"/>
  <c r="W462" i="3"/>
  <c r="W472" i="3"/>
  <c r="W482" i="3"/>
  <c r="W492" i="3"/>
  <c r="W501" i="3"/>
  <c r="W510" i="3"/>
  <c r="W519" i="3"/>
  <c r="W528" i="3"/>
  <c r="W537" i="3"/>
  <c r="W546" i="3"/>
  <c r="W556" i="3"/>
  <c r="W565" i="3"/>
  <c r="W574" i="3"/>
  <c r="W583" i="3"/>
  <c r="W592" i="3"/>
  <c r="W601" i="3"/>
  <c r="W610" i="3"/>
  <c r="W620" i="3"/>
  <c r="W629" i="3"/>
  <c r="W638" i="3"/>
  <c r="W647" i="3"/>
  <c r="W656" i="3"/>
  <c r="W665" i="3"/>
  <c r="W674" i="3"/>
  <c r="W684" i="3"/>
  <c r="W692" i="3"/>
  <c r="W700" i="3"/>
  <c r="W708" i="3"/>
  <c r="W716" i="3"/>
  <c r="W724" i="3"/>
  <c r="W732" i="3"/>
  <c r="W740" i="3"/>
  <c r="W748" i="3"/>
  <c r="W756" i="3"/>
  <c r="W764" i="3"/>
  <c r="W772" i="3"/>
  <c r="W780" i="3"/>
  <c r="W788" i="3"/>
  <c r="W796" i="3"/>
  <c r="W804" i="3"/>
  <c r="W812" i="3"/>
  <c r="W820" i="3"/>
  <c r="W828" i="3"/>
  <c r="W836" i="3"/>
  <c r="W844" i="3"/>
  <c r="W852" i="3"/>
  <c r="W860" i="3"/>
  <c r="W868" i="3"/>
  <c r="W876" i="3"/>
  <c r="W884" i="3"/>
  <c r="W892" i="3"/>
  <c r="W900" i="3"/>
  <c r="W908" i="3"/>
  <c r="W14" i="3"/>
  <c r="W30" i="3"/>
  <c r="W47" i="3"/>
  <c r="W63" i="3"/>
  <c r="W79" i="3"/>
  <c r="W95" i="3"/>
  <c r="W111" i="3"/>
  <c r="W127" i="3"/>
  <c r="W143" i="3"/>
  <c r="W159" i="3"/>
  <c r="W175" i="3"/>
  <c r="W191" i="3"/>
  <c r="W207" i="3"/>
  <c r="W223" i="3"/>
  <c r="W237" i="3"/>
  <c r="W248" i="3"/>
  <c r="W262" i="3"/>
  <c r="W276" i="3"/>
  <c r="W287" i="3"/>
  <c r="W301" i="3"/>
  <c r="W312" i="3"/>
  <c r="W326" i="3"/>
  <c r="W340" i="3"/>
  <c r="W351" i="3"/>
  <c r="W365" i="3"/>
  <c r="W376" i="3"/>
  <c r="W390" i="3"/>
  <c r="W404" i="3"/>
  <c r="W415" i="3"/>
  <c r="W429" i="3"/>
  <c r="W440" i="3"/>
  <c r="W453" i="3"/>
  <c r="W463" i="3"/>
  <c r="W473" i="3"/>
  <c r="W484" i="3"/>
  <c r="W493" i="3"/>
  <c r="W502" i="3"/>
  <c r="W511" i="3"/>
  <c r="W520" i="3"/>
  <c r="W529" i="3"/>
  <c r="W538" i="3"/>
  <c r="W548" i="3"/>
  <c r="W557" i="3"/>
  <c r="W566" i="3"/>
  <c r="W575" i="3"/>
  <c r="W584" i="3"/>
  <c r="W593" i="3"/>
  <c r="W602" i="3"/>
  <c r="W612" i="3"/>
  <c r="W621" i="3"/>
  <c r="W630" i="3"/>
  <c r="W639" i="3"/>
  <c r="W648" i="3"/>
  <c r="W657" i="3"/>
  <c r="W666" i="3"/>
  <c r="W676" i="3"/>
  <c r="W685" i="3"/>
  <c r="W693" i="3"/>
  <c r="W701" i="3"/>
  <c r="W709" i="3"/>
  <c r="W717" i="3"/>
  <c r="W725" i="3"/>
  <c r="W733" i="3"/>
  <c r="W741" i="3"/>
  <c r="W749" i="3"/>
  <c r="W757" i="3"/>
  <c r="W765" i="3"/>
  <c r="W773" i="3"/>
  <c r="W781" i="3"/>
  <c r="W789" i="3"/>
  <c r="W797" i="3"/>
  <c r="W805" i="3"/>
  <c r="W813" i="3"/>
  <c r="W821" i="3"/>
  <c r="W829" i="3"/>
  <c r="W837" i="3"/>
  <c r="W845" i="3"/>
  <c r="W853" i="3"/>
  <c r="W861" i="3"/>
  <c r="W869" i="3"/>
  <c r="W877" i="3"/>
  <c r="W885" i="3"/>
  <c r="W893" i="3"/>
  <c r="W901" i="3"/>
  <c r="W909" i="3"/>
  <c r="W917" i="3"/>
  <c r="W925" i="3"/>
  <c r="W933" i="3"/>
  <c r="W941" i="3"/>
  <c r="W949" i="3"/>
  <c r="W957" i="3"/>
  <c r="W965" i="3"/>
  <c r="W973" i="3"/>
  <c r="W981" i="3"/>
  <c r="W989" i="3"/>
  <c r="W997" i="3"/>
  <c r="W19" i="3"/>
  <c r="W52" i="3"/>
  <c r="W84" i="3"/>
  <c r="W116" i="3"/>
  <c r="W148" i="3"/>
  <c r="W180" i="3"/>
  <c r="W212" i="3"/>
  <c r="W238" i="3"/>
  <c r="W263" i="3"/>
  <c r="W288" i="3"/>
  <c r="W316" i="3"/>
  <c r="W341" i="3"/>
  <c r="W366" i="3"/>
  <c r="W391" i="3"/>
  <c r="W416" i="3"/>
  <c r="W444" i="3"/>
  <c r="W464" i="3"/>
  <c r="W485" i="3"/>
  <c r="W503" i="3"/>
  <c r="W521" i="3"/>
  <c r="W540" i="3"/>
  <c r="W558" i="3"/>
  <c r="W576" i="3"/>
  <c r="W594" i="3"/>
  <c r="W613" i="3"/>
  <c r="W631" i="3"/>
  <c r="W649" i="3"/>
  <c r="W668" i="3"/>
  <c r="W686" i="3"/>
  <c r="W697" i="3"/>
  <c r="W711" i="3"/>
  <c r="W722" i="3"/>
  <c r="W736" i="3"/>
  <c r="W750" i="3"/>
  <c r="W761" i="3"/>
  <c r="W775" i="3"/>
  <c r="W786" i="3"/>
  <c r="W800" i="3"/>
  <c r="W814" i="3"/>
  <c r="W825" i="3"/>
  <c r="W839" i="3"/>
  <c r="W850" i="3"/>
  <c r="W863" i="3"/>
  <c r="W873" i="3"/>
  <c r="W883" i="3"/>
  <c r="W895" i="3"/>
  <c r="W905" i="3"/>
  <c r="W915" i="3"/>
  <c r="W924" i="3"/>
  <c r="W934" i="3"/>
  <c r="W943" i="3"/>
  <c r="W952" i="3"/>
  <c r="W961" i="3"/>
  <c r="W970" i="3"/>
  <c r="W979" i="3"/>
  <c r="W988" i="3"/>
  <c r="W998" i="3"/>
  <c r="W20" i="3"/>
  <c r="W53" i="3"/>
  <c r="W85" i="3"/>
  <c r="W117" i="3"/>
  <c r="W149" i="3"/>
  <c r="W181" i="3"/>
  <c r="W213" i="3"/>
  <c r="W239" i="3"/>
  <c r="W264" i="3"/>
  <c r="W292" i="3"/>
  <c r="W317" i="3"/>
  <c r="W342" i="3"/>
  <c r="W367" i="3"/>
  <c r="W392" i="3"/>
  <c r="W420" i="3"/>
  <c r="W445" i="3"/>
  <c r="W465" i="3"/>
  <c r="W486" i="3"/>
  <c r="W504" i="3"/>
  <c r="W522" i="3"/>
  <c r="W541" i="3"/>
  <c r="W559" i="3"/>
  <c r="W577" i="3"/>
  <c r="W596" i="3"/>
  <c r="W614" i="3"/>
  <c r="W632" i="3"/>
  <c r="W650" i="3"/>
  <c r="W669" i="3"/>
  <c r="W687" i="3"/>
  <c r="W698" i="3"/>
  <c r="W712" i="3"/>
  <c r="W726" i="3"/>
  <c r="W737" i="3"/>
  <c r="W751" i="3"/>
  <c r="W762" i="3"/>
  <c r="W776" i="3"/>
  <c r="W790" i="3"/>
  <c r="W801" i="3"/>
  <c r="W815" i="3"/>
  <c r="W826" i="3"/>
  <c r="W840" i="3"/>
  <c r="W854" i="3"/>
  <c r="W864" i="3"/>
  <c r="W874" i="3"/>
  <c r="W886" i="3"/>
  <c r="W896" i="3"/>
  <c r="W906" i="3"/>
  <c r="W916" i="3"/>
  <c r="W926" i="3"/>
  <c r="W935" i="3"/>
  <c r="W944" i="3"/>
  <c r="W953" i="3"/>
  <c r="W962" i="3"/>
  <c r="W971" i="3"/>
  <c r="W980" i="3"/>
  <c r="W990" i="3"/>
  <c r="W999" i="3"/>
  <c r="W21" i="3"/>
  <c r="W54" i="3"/>
  <c r="W86" i="3"/>
  <c r="W118" i="3"/>
  <c r="W150" i="3"/>
  <c r="W182" i="3"/>
  <c r="W214" i="3"/>
  <c r="W240" i="3"/>
  <c r="W268" i="3"/>
  <c r="W293" i="3"/>
  <c r="W318" i="3"/>
  <c r="W343" i="3"/>
  <c r="W368" i="3"/>
  <c r="W396" i="3"/>
  <c r="W421" i="3"/>
  <c r="W446" i="3"/>
  <c r="W468" i="3"/>
  <c r="W487" i="3"/>
  <c r="W505" i="3"/>
  <c r="W524" i="3"/>
  <c r="W542" i="3"/>
  <c r="W560" i="3"/>
  <c r="W578" i="3"/>
  <c r="W597" i="3"/>
  <c r="W615" i="3"/>
  <c r="W633" i="3"/>
  <c r="W652" i="3"/>
  <c r="W670" i="3"/>
  <c r="W688" i="3"/>
  <c r="W702" i="3"/>
  <c r="W713" i="3"/>
  <c r="W727" i="3"/>
  <c r="W738" i="3"/>
  <c r="W752" i="3"/>
  <c r="W766" i="3"/>
  <c r="W777" i="3"/>
  <c r="W791" i="3"/>
  <c r="W802" i="3"/>
  <c r="W816" i="3"/>
  <c r="W830" i="3"/>
  <c r="W841" i="3"/>
  <c r="W855" i="3"/>
  <c r="W865" i="3"/>
  <c r="W875" i="3"/>
  <c r="W887" i="3"/>
  <c r="W897" i="3"/>
  <c r="W907" i="3"/>
  <c r="W918" i="3"/>
  <c r="W927" i="3"/>
  <c r="W936" i="3"/>
  <c r="W945" i="3"/>
  <c r="W954" i="3"/>
  <c r="W963" i="3"/>
  <c r="W972" i="3"/>
  <c r="W982" i="3"/>
  <c r="W991" i="3"/>
  <c r="W1000" i="3"/>
  <c r="W5" i="3"/>
  <c r="W38" i="3"/>
  <c r="W70" i="3"/>
  <c r="W102" i="3"/>
  <c r="W134" i="3"/>
  <c r="W166" i="3"/>
  <c r="W198" i="3"/>
  <c r="W229" i="3"/>
  <c r="W254" i="3"/>
  <c r="W279" i="3"/>
  <c r="W304" i="3"/>
  <c r="W332" i="3"/>
  <c r="W357" i="3"/>
  <c r="W382" i="3"/>
  <c r="W407" i="3"/>
  <c r="W432" i="3"/>
  <c r="W456" i="3"/>
  <c r="W478" i="3"/>
  <c r="W496" i="3"/>
  <c r="W514" i="3"/>
  <c r="W533" i="3"/>
  <c r="W551" i="3"/>
  <c r="W569" i="3"/>
  <c r="W588" i="3"/>
  <c r="W606" i="3"/>
  <c r="W624" i="3"/>
  <c r="W642" i="3"/>
  <c r="W661" i="3"/>
  <c r="W679" i="3"/>
  <c r="W695" i="3"/>
  <c r="W706" i="3"/>
  <c r="W720" i="3"/>
  <c r="W734" i="3"/>
  <c r="W745" i="3"/>
  <c r="W759" i="3"/>
  <c r="W770" i="3"/>
  <c r="W784" i="3"/>
  <c r="W798" i="3"/>
  <c r="W809" i="3"/>
  <c r="W823" i="3"/>
  <c r="W834" i="3"/>
  <c r="W848" i="3"/>
  <c r="W859" i="3"/>
  <c r="W871" i="3"/>
  <c r="W881" i="3"/>
  <c r="W891" i="3"/>
  <c r="W903" i="3"/>
  <c r="W913" i="3"/>
  <c r="W922" i="3"/>
  <c r="W931" i="3"/>
  <c r="W940" i="3"/>
  <c r="W950" i="3"/>
  <c r="W959" i="3"/>
  <c r="W968" i="3"/>
  <c r="W977" i="3"/>
  <c r="W986" i="3"/>
  <c r="W995" i="3"/>
  <c r="W4" i="3"/>
  <c r="W6" i="3"/>
  <c r="W39" i="3"/>
  <c r="W71" i="3"/>
  <c r="W103" i="3"/>
  <c r="W135" i="3"/>
  <c r="W167" i="3"/>
  <c r="W199" i="3"/>
  <c r="W230" i="3"/>
  <c r="W255" i="3"/>
  <c r="W280" i="3"/>
  <c r="W308" i="3"/>
  <c r="W333" i="3"/>
  <c r="W358" i="3"/>
  <c r="W383" i="3"/>
  <c r="W408" i="3"/>
  <c r="W436" i="3"/>
  <c r="W457" i="3"/>
  <c r="W479" i="3"/>
  <c r="W497" i="3"/>
  <c r="W516" i="3"/>
  <c r="W534" i="3"/>
  <c r="W552" i="3"/>
  <c r="W570" i="3"/>
  <c r="W589" i="3"/>
  <c r="W607" i="3"/>
  <c r="W625" i="3"/>
  <c r="W69" i="3"/>
  <c r="W993" i="3"/>
  <c r="W975" i="3"/>
  <c r="W956" i="3"/>
  <c r="W938" i="3"/>
  <c r="W920" i="3"/>
  <c r="W899" i="3"/>
  <c r="W879" i="3"/>
  <c r="W857" i="3"/>
  <c r="W832" i="3"/>
  <c r="W807" i="3"/>
  <c r="W782" i="3"/>
  <c r="W754" i="3"/>
  <c r="W729" i="3"/>
  <c r="W704" i="3"/>
  <c r="W677" i="3"/>
  <c r="W640" i="3"/>
  <c r="W586" i="3"/>
  <c r="W543" i="3"/>
  <c r="W494" i="3"/>
  <c r="W431" i="3"/>
  <c r="W372" i="3"/>
  <c r="W302" i="3"/>
  <c r="W228" i="3"/>
  <c r="W151" i="3"/>
  <c r="W68" i="3"/>
  <c r="W996" i="3"/>
  <c r="W960" i="3"/>
  <c r="W862" i="3"/>
  <c r="W810" i="3"/>
  <c r="W735" i="3"/>
  <c r="W604" i="3"/>
  <c r="W976" i="3"/>
  <c r="W939" i="3"/>
  <c r="W902" i="3"/>
  <c r="W858" i="3"/>
  <c r="W808" i="3"/>
  <c r="W758" i="3"/>
  <c r="W705" i="3"/>
  <c r="W641" i="3"/>
  <c r="W598" i="3"/>
  <c r="W495" i="3"/>
  <c r="W447" i="3"/>
  <c r="W380" i="3"/>
  <c r="W303" i="3"/>
  <c r="W992" i="3"/>
  <c r="W974" i="3"/>
  <c r="W955" i="3"/>
  <c r="W937" i="3"/>
  <c r="W919" i="3"/>
  <c r="W898" i="3"/>
  <c r="W878" i="3"/>
  <c r="W856" i="3"/>
  <c r="W831" i="3"/>
  <c r="W806" i="3"/>
  <c r="W778" i="3"/>
  <c r="W753" i="3"/>
  <c r="W728" i="3"/>
  <c r="W703" i="3"/>
  <c r="W671" i="3"/>
  <c r="W634" i="3"/>
  <c r="W585" i="3"/>
  <c r="W532" i="3"/>
  <c r="W488" i="3"/>
  <c r="W430" i="3"/>
  <c r="W356" i="3"/>
  <c r="W294" i="3"/>
  <c r="W224" i="3"/>
  <c r="W133" i="3"/>
  <c r="W55" i="3"/>
  <c r="W923" i="3"/>
  <c r="W252" i="3"/>
  <c r="W244" i="3"/>
  <c r="W987" i="3"/>
  <c r="W969" i="3"/>
  <c r="W951" i="3"/>
  <c r="W932" i="3"/>
  <c r="W914" i="3"/>
  <c r="W894" i="3"/>
  <c r="W872" i="3"/>
  <c r="W849" i="3"/>
  <c r="W824" i="3"/>
  <c r="W799" i="3"/>
  <c r="W774" i="3"/>
  <c r="W746" i="3"/>
  <c r="W721" i="3"/>
  <c r="W696" i="3"/>
  <c r="W662" i="3"/>
  <c r="W623" i="3"/>
  <c r="W580" i="3"/>
  <c r="W530" i="3"/>
  <c r="W477" i="3"/>
  <c r="W422" i="3"/>
  <c r="W352" i="3"/>
  <c r="W278" i="3"/>
  <c r="W215" i="3"/>
  <c r="W132" i="3"/>
  <c r="W36" i="3"/>
  <c r="AC15" i="2" l="1"/>
  <c r="W15" i="2"/>
  <c r="AA15" i="2"/>
  <c r="Z15" i="2"/>
  <c r="Y15" i="2"/>
  <c r="X15" i="2"/>
  <c r="AC12" i="2"/>
  <c r="X12" i="2"/>
  <c r="AA12" i="2"/>
  <c r="W12" i="2"/>
  <c r="Z12" i="2"/>
  <c r="Y12" i="2"/>
  <c r="AC22" i="2"/>
  <c r="W22" i="2"/>
  <c r="X22" i="2"/>
  <c r="Z22" i="2"/>
  <c r="AA22" i="2"/>
  <c r="Y22" i="2"/>
  <c r="AC21" i="2"/>
  <c r="X21" i="2"/>
  <c r="Y21" i="2"/>
  <c r="W21" i="2"/>
  <c r="Z21" i="2"/>
  <c r="AA21" i="2"/>
  <c r="AC17" i="2"/>
  <c r="Y17" i="2"/>
  <c r="AA17" i="2"/>
  <c r="W17" i="2"/>
  <c r="X17" i="2"/>
  <c r="Z17" i="2"/>
  <c r="AC13" i="2"/>
  <c r="X13" i="2"/>
  <c r="W13" i="2"/>
  <c r="Z13" i="2"/>
  <c r="AA13" i="2"/>
  <c r="Y13" i="2"/>
  <c r="AC23" i="2"/>
  <c r="W23" i="2"/>
  <c r="Z23" i="2"/>
  <c r="Y23" i="2"/>
  <c r="AA23" i="2"/>
  <c r="X23" i="2"/>
  <c r="AC19" i="2"/>
  <c r="AA19" i="2"/>
  <c r="X19" i="2"/>
  <c r="W19" i="2"/>
  <c r="Y19" i="2"/>
  <c r="Z19" i="2"/>
  <c r="AC16" i="2"/>
  <c r="AA16" i="2"/>
  <c r="X16" i="2"/>
  <c r="Y16" i="2"/>
  <c r="Z16" i="2"/>
  <c r="W16" i="2"/>
  <c r="AC18" i="2"/>
  <c r="W18" i="2"/>
  <c r="AA18" i="2"/>
  <c r="X18" i="2"/>
  <c r="Z18" i="2"/>
  <c r="Y18" i="2"/>
  <c r="AC24" i="2"/>
  <c r="X24" i="2"/>
  <c r="AA24" i="2"/>
  <c r="W24" i="2"/>
  <c r="Y24" i="2"/>
  <c r="Z24" i="2"/>
  <c r="AC14" i="2"/>
  <c r="Y14" i="2"/>
  <c r="X14" i="2"/>
  <c r="AA14" i="2"/>
  <c r="Z14" i="2"/>
  <c r="W14" i="2"/>
  <c r="AC11" i="2"/>
  <c r="Y11" i="2"/>
  <c r="W11" i="2"/>
  <c r="X11" i="2"/>
  <c r="Z11" i="2"/>
  <c r="AA11" i="2"/>
  <c r="AC20" i="2"/>
  <c r="Z20" i="2"/>
  <c r="X20" i="2"/>
  <c r="W20" i="2"/>
  <c r="AA20" i="2"/>
  <c r="Y20" i="2"/>
  <c r="AC10" i="2"/>
  <c r="X10" i="2"/>
  <c r="AA10" i="2"/>
  <c r="W10" i="2"/>
  <c r="Y10" i="2"/>
  <c r="Z10" i="2"/>
  <c r="AC9" i="2"/>
  <c r="Z9" i="2"/>
  <c r="Y9" i="2"/>
  <c r="AA9" i="2"/>
  <c r="X9" i="2"/>
  <c r="W9" i="2"/>
  <c r="AB12" i="2"/>
  <c r="AD12" i="2"/>
  <c r="AB13" i="2"/>
  <c r="AD13" i="2"/>
  <c r="AB19" i="2"/>
  <c r="AD19" i="2"/>
  <c r="AB14" i="2"/>
  <c r="AD14" i="2"/>
  <c r="AD11" i="2"/>
  <c r="AB11" i="2"/>
  <c r="AB16" i="2"/>
  <c r="AD16" i="2"/>
  <c r="AB18" i="2"/>
  <c r="AD18" i="2"/>
  <c r="AB20" i="2"/>
  <c r="AD20" i="2"/>
  <c r="AB10" i="2"/>
  <c r="AD10" i="2"/>
  <c r="AB23" i="2"/>
  <c r="AD23" i="2"/>
  <c r="AB24" i="2"/>
  <c r="AD24" i="2"/>
  <c r="AB15" i="2"/>
  <c r="AD15" i="2"/>
  <c r="AB22" i="2"/>
  <c r="AD22" i="2"/>
  <c r="AB21" i="2"/>
  <c r="AD21" i="2"/>
  <c r="AB17" i="2"/>
  <c r="AD17" i="2"/>
  <c r="AB9" i="2"/>
  <c r="AD9" i="2"/>
  <c r="AE11" i="2" l="1"/>
  <c r="AI11" i="2" s="1"/>
  <c r="AE9" i="2"/>
  <c r="AL9" i="2" s="1"/>
  <c r="AE15" i="2"/>
  <c r="AJ15" i="2" s="1"/>
  <c r="AE24" i="2"/>
  <c r="AL24" i="2" s="1"/>
  <c r="AE21" i="2"/>
  <c r="AJ21" i="2" s="1"/>
  <c r="AE13" i="2"/>
  <c r="AH13" i="2" s="1"/>
  <c r="AE14" i="2"/>
  <c r="AK14" i="2" s="1"/>
  <c r="AE18" i="2"/>
  <c r="AJ18" i="2" s="1"/>
  <c r="AE23" i="2"/>
  <c r="AL23" i="2" s="1"/>
  <c r="AE20" i="2"/>
  <c r="AI20" i="2" s="1"/>
  <c r="AE17" i="2"/>
  <c r="AI17" i="2" s="1"/>
  <c r="AE19" i="2"/>
  <c r="AI19" i="2" s="1"/>
  <c r="AE16" i="2"/>
  <c r="AH16" i="2" s="1"/>
  <c r="AE22" i="2"/>
  <c r="AJ22" i="2" s="1"/>
  <c r="AE10" i="2"/>
  <c r="AH10" i="2" s="1"/>
  <c r="AE12" i="2"/>
  <c r="AH12" i="2" s="1"/>
  <c r="AL13" i="2" l="1"/>
  <c r="AK13" i="2"/>
  <c r="AJ24" i="2"/>
  <c r="AH21" i="2"/>
  <c r="AK21" i="2"/>
  <c r="AL21" i="2"/>
  <c r="AI21" i="2"/>
  <c r="AI14" i="2"/>
  <c r="AK12" i="2"/>
  <c r="AJ12" i="2"/>
  <c r="AL12" i="2"/>
  <c r="AI12" i="2"/>
  <c r="AH18" i="2"/>
  <c r="AI18" i="2"/>
  <c r="AK24" i="2"/>
  <c r="AK18" i="2"/>
  <c r="AI24" i="2"/>
  <c r="AJ14" i="2"/>
  <c r="AL18" i="2"/>
  <c r="AH24" i="2"/>
  <c r="AL14" i="2"/>
  <c r="AJ13" i="2"/>
  <c r="AH14" i="2"/>
  <c r="AI13" i="2"/>
  <c r="AK16" i="2"/>
  <c r="AJ16" i="2"/>
  <c r="AL16" i="2"/>
  <c r="AI16" i="2"/>
  <c r="AL22" i="2"/>
  <c r="AJ17" i="2"/>
  <c r="AH17" i="2"/>
  <c r="AI22" i="2"/>
  <c r="AH22" i="2"/>
  <c r="AL17" i="2"/>
  <c r="AK17" i="2"/>
  <c r="AK9" i="2"/>
  <c r="AK23" i="2"/>
  <c r="AH23" i="2"/>
  <c r="AI23" i="2"/>
  <c r="AI10" i="2"/>
  <c r="AJ23" i="2"/>
  <c r="AH9" i="2"/>
  <c r="AL20" i="2"/>
  <c r="AI9" i="2"/>
  <c r="AH15" i="2"/>
  <c r="AI15" i="2"/>
  <c r="AJ19" i="2"/>
  <c r="AL19" i="2"/>
  <c r="AK19" i="2"/>
  <c r="AH19" i="2"/>
  <c r="AJ9" i="2"/>
  <c r="AK15" i="2"/>
  <c r="AK11" i="2"/>
  <c r="AH20" i="2"/>
  <c r="AJ11" i="2"/>
  <c r="AL10" i="2"/>
  <c r="AL11" i="2"/>
  <c r="AK22" i="2"/>
  <c r="AK10" i="2"/>
  <c r="AK20" i="2"/>
  <c r="AL15" i="2"/>
  <c r="AH11" i="2"/>
  <c r="AJ10" i="2"/>
  <c r="AJ2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Nofziger, Jesse</author>
  </authors>
  <commentList>
    <comment ref="C3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Nofziger, Jesse:</t>
        </r>
        <r>
          <rPr>
            <sz val="9"/>
            <color indexed="81"/>
            <rFont val="Tahoma"/>
            <family val="2"/>
          </rPr>
          <t xml:space="preserve">
Discharge piping, size 1</t>
        </r>
      </text>
    </comment>
  </commentList>
</comments>
</file>

<file path=xl/sharedStrings.xml><?xml version="1.0" encoding="utf-8"?>
<sst xmlns="http://schemas.openxmlformats.org/spreadsheetml/2006/main" count="464" uniqueCount="217">
  <si>
    <t>x</t>
  </si>
  <si>
    <t>y</t>
  </si>
  <si>
    <t>Operating Point</t>
  </si>
  <si>
    <t>Overflow</t>
  </si>
  <si>
    <t>Static Head</t>
  </si>
  <si>
    <t>Flow, GPM</t>
  </si>
  <si>
    <t>Static Head, ft</t>
  </si>
  <si>
    <t>Total Head, ft</t>
  </si>
  <si>
    <t>Velocity, ft/s</t>
  </si>
  <si>
    <t>NPSHr, ft</t>
  </si>
  <si>
    <t>NPSHa, ft</t>
  </si>
  <si>
    <t>% of BEP</t>
  </si>
  <si>
    <t>Efficiency</t>
  </si>
  <si>
    <t>Pump Efficiency, %</t>
  </si>
  <si>
    <t>Pump BHP, HP</t>
  </si>
  <si>
    <t>% Of Motor Capacity</t>
  </si>
  <si>
    <t>Make</t>
  </si>
  <si>
    <t>Model</t>
  </si>
  <si>
    <t>Impeller Size</t>
  </si>
  <si>
    <t>BEP</t>
  </si>
  <si>
    <t>Material</t>
  </si>
  <si>
    <t>Hazen-Williams 'C'</t>
  </si>
  <si>
    <t>Pump</t>
  </si>
  <si>
    <t>Motor</t>
  </si>
  <si>
    <t>Force Main</t>
  </si>
  <si>
    <t>System Performance</t>
  </si>
  <si>
    <t>System Efficiency</t>
  </si>
  <si>
    <t>in</t>
  </si>
  <si>
    <t>GPM</t>
  </si>
  <si>
    <t>Min</t>
  </si>
  <si>
    <t>Max</t>
  </si>
  <si>
    <t>Age</t>
  </si>
  <si>
    <t>Pump Station Design Summary Sheet</t>
  </si>
  <si>
    <t>Station</t>
  </si>
  <si>
    <t>Address</t>
  </si>
  <si>
    <t>Assumptions for Analysis:</t>
  </si>
  <si>
    <t>By</t>
  </si>
  <si>
    <t>AOR Chart</t>
  </si>
  <si>
    <t>POR</t>
  </si>
  <si>
    <t>Head(ft)</t>
  </si>
  <si>
    <t>Flow, GPM (1 Pump)</t>
  </si>
  <si>
    <t>Flow, GPM (2 Pumps)</t>
  </si>
  <si>
    <t>BEP Chart</t>
  </si>
  <si>
    <t>Invert at Discharge</t>
  </si>
  <si>
    <t>WW Transducer Tip El</t>
  </si>
  <si>
    <t>Lead Off Setpoint</t>
  </si>
  <si>
    <t>Lag Off Setpoint</t>
  </si>
  <si>
    <t>High WW Setpoint</t>
  </si>
  <si>
    <t>Overflow Setpoint</t>
  </si>
  <si>
    <t>WW Plan Area</t>
  </si>
  <si>
    <t>WW Storage Volume</t>
  </si>
  <si>
    <t>Response Time</t>
  </si>
  <si>
    <t>Enter Per NAVD88</t>
  </si>
  <si>
    <t>Enter Per Wonderware/ SCADA</t>
  </si>
  <si>
    <t>Storage Volume, gal</t>
  </si>
  <si>
    <t>Inflow</t>
  </si>
  <si>
    <t>Dry</t>
  </si>
  <si>
    <t>Wet</t>
  </si>
  <si>
    <t>BEP, GPM</t>
  </si>
  <si>
    <t>Preferred Operating Range, GPM</t>
  </si>
  <si>
    <t>Impeller Size, in</t>
  </si>
  <si>
    <t>Rated Capacity, HP</t>
  </si>
  <si>
    <t>Diameter, in</t>
  </si>
  <si>
    <t>gal</t>
  </si>
  <si>
    <t>Pump Curve Input</t>
  </si>
  <si>
    <t>Instructions: Input data to shaded cells only. Remaining cells are calculated.</t>
  </si>
  <si>
    <t>System Curve Input</t>
  </si>
  <si>
    <t>Instructions: Input data to shaded cells only. Remaining cells are calculated</t>
  </si>
  <si>
    <t>Suction Length, ft</t>
  </si>
  <si>
    <t>Suction Fittings</t>
  </si>
  <si>
    <t>TDH Lead Off, ft</t>
  </si>
  <si>
    <t>TDH Lead On, ft</t>
  </si>
  <si>
    <t>TDH Lead+Lag Off, ft</t>
  </si>
  <si>
    <t>TDH Lead+Lag On, ft</t>
  </si>
  <si>
    <t>TDH Overflow, ft</t>
  </si>
  <si>
    <t>Flow Rate, GPM</t>
  </si>
  <si>
    <r>
      <t>V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/2g, ft</t>
    </r>
  </si>
  <si>
    <t>Total Length, ft</t>
  </si>
  <si>
    <t>Storage Time, hr</t>
  </si>
  <si>
    <t>Response Time, hr</t>
  </si>
  <si>
    <t>Avg Inflow Rate, wet/dry</t>
  </si>
  <si>
    <t>Pump Info</t>
  </si>
  <si>
    <t>Flow (GPM)</t>
  </si>
  <si>
    <t>Mfr's NPSHr Curve</t>
  </si>
  <si>
    <t>NPSHA</t>
  </si>
  <si>
    <t>Lead off</t>
  </si>
  <si>
    <t>Lead on</t>
  </si>
  <si>
    <t>LeadLag off</t>
  </si>
  <si>
    <t>LeadLag on</t>
  </si>
  <si>
    <t xml:space="preserve">Flow, GPM </t>
  </si>
  <si>
    <t>Impeller Eye El</t>
  </si>
  <si>
    <r>
      <t>H</t>
    </r>
    <r>
      <rPr>
        <vertAlign val="subscript"/>
        <sz val="11"/>
        <color theme="1"/>
        <rFont val="Calibri"/>
        <family val="2"/>
        <scheme val="minor"/>
      </rPr>
      <t>atm</t>
    </r>
  </si>
  <si>
    <r>
      <t>H</t>
    </r>
    <r>
      <rPr>
        <vertAlign val="subscript"/>
        <sz val="11"/>
        <color theme="1"/>
        <rFont val="Calibri"/>
        <family val="2"/>
        <scheme val="minor"/>
      </rPr>
      <t>sub</t>
    </r>
  </si>
  <si>
    <r>
      <t>H</t>
    </r>
    <r>
      <rPr>
        <vertAlign val="subscript"/>
        <sz val="11"/>
        <color theme="1"/>
        <rFont val="Calibri"/>
        <family val="2"/>
        <scheme val="minor"/>
      </rPr>
      <t>vp</t>
    </r>
  </si>
  <si>
    <r>
      <t>H</t>
    </r>
    <r>
      <rPr>
        <vertAlign val="subscript"/>
        <sz val="11"/>
        <color theme="1"/>
        <rFont val="Calibri"/>
        <family val="2"/>
        <scheme val="minor"/>
      </rPr>
      <t>L</t>
    </r>
  </si>
  <si>
    <t>WW Level (NAVD88)</t>
  </si>
  <si>
    <r>
      <t>Calculated NPSHa Curve @ Sea Level and 40</t>
    </r>
    <r>
      <rPr>
        <b/>
        <sz val="11"/>
        <color theme="1"/>
        <rFont val="Calibri"/>
        <family val="2"/>
      </rPr>
      <t>°</t>
    </r>
    <r>
      <rPr>
        <b/>
        <sz val="11"/>
        <color theme="1"/>
        <rFont val="Calibri"/>
        <family val="2"/>
        <scheme val="minor"/>
      </rPr>
      <t xml:space="preserve"> F</t>
    </r>
  </si>
  <si>
    <t>Safe NPSHr, ft</t>
  </si>
  <si>
    <t>Find Minor Loss Coefficients Here</t>
  </si>
  <si>
    <t>chart title</t>
  </si>
  <si>
    <t>Pump Station #</t>
  </si>
  <si>
    <t>Station #</t>
  </si>
  <si>
    <t>C=</t>
  </si>
  <si>
    <t xml:space="preserve"> Impeller, </t>
  </si>
  <si>
    <t xml:space="preserve"> Force Main, </t>
  </si>
  <si>
    <t xml:space="preserve"> Pumps, </t>
  </si>
  <si>
    <t xml:space="preserve"> in.</t>
  </si>
  <si>
    <t xml:space="preserve"> Pump Curves: </t>
  </si>
  <si>
    <t xml:space="preserve"> </t>
  </si>
  <si>
    <t>Input operating points in shaded cells from pump curves</t>
  </si>
  <si>
    <t>c3</t>
  </si>
  <si>
    <t>c2</t>
  </si>
  <si>
    <t>c1</t>
  </si>
  <si>
    <t>b</t>
  </si>
  <si>
    <t>npshr coefficients</t>
  </si>
  <si>
    <t>Diameter</t>
  </si>
  <si>
    <t>Length</t>
  </si>
  <si>
    <t>Force Main 1</t>
  </si>
  <si>
    <t>Fitting Type</t>
  </si>
  <si>
    <t>K</t>
  </si>
  <si>
    <t>Size Index</t>
  </si>
  <si>
    <r>
      <t>Area, ft</t>
    </r>
    <r>
      <rPr>
        <vertAlign val="superscript"/>
        <sz val="11"/>
        <color theme="1"/>
        <rFont val="Calibri"/>
        <family val="2"/>
        <scheme val="minor"/>
      </rPr>
      <t>2</t>
    </r>
  </si>
  <si>
    <t>Note: for reducing/increasing fittings, use the exit size</t>
  </si>
  <si>
    <t>Size, in</t>
  </si>
  <si>
    <t>Friction Losses, ft</t>
  </si>
  <si>
    <t>FM 1</t>
  </si>
  <si>
    <t>FM 2</t>
  </si>
  <si>
    <t>Affinity Law Calculator</t>
  </si>
  <si>
    <t>Given Impeller</t>
  </si>
  <si>
    <t>Target Impeller</t>
  </si>
  <si>
    <t>Head (ft)</t>
  </si>
  <si>
    <t>Efficiency (%)</t>
  </si>
  <si>
    <t>Efficiency(%)</t>
  </si>
  <si>
    <t xml:space="preserve">Use to generate pump curves for a specific impeller diameter from a given diameter. Use the closest available curve. </t>
  </si>
  <si>
    <t>***Works only with constant casing and speed***</t>
  </si>
  <si>
    <r>
      <t>Suction Area, ft</t>
    </r>
    <r>
      <rPr>
        <vertAlign val="superscript"/>
        <sz val="11"/>
        <color theme="1"/>
        <rFont val="Calibri"/>
        <family val="2"/>
        <scheme val="minor"/>
      </rPr>
      <t>2</t>
    </r>
  </si>
  <si>
    <t>Suction Piping</t>
  </si>
  <si>
    <t>Length, ft</t>
  </si>
  <si>
    <t>Flow, GPM (1 pump)</t>
  </si>
  <si>
    <t>072</t>
  </si>
  <si>
    <t>2600 13th Ave SW</t>
  </si>
  <si>
    <t>Jesse Nofziger, P.E.</t>
  </si>
  <si>
    <t>CI</t>
  </si>
  <si>
    <t>Entrance</t>
  </si>
  <si>
    <t>DDGV</t>
  </si>
  <si>
    <t>10x8 Red</t>
  </si>
  <si>
    <t>90 Ell</t>
  </si>
  <si>
    <t>SCV</t>
  </si>
  <si>
    <t>Plug V</t>
  </si>
  <si>
    <t>8x10 Ell</t>
  </si>
  <si>
    <t>6x8 Ell</t>
  </si>
  <si>
    <t>Tee-Line</t>
  </si>
  <si>
    <t>LR Ell</t>
  </si>
  <si>
    <t>10x12 Ell</t>
  </si>
  <si>
    <t>90 Bend</t>
  </si>
  <si>
    <t>Exit</t>
  </si>
  <si>
    <t>Manufacturer's Pump Curve</t>
  </si>
  <si>
    <t>Derated Values (w/ Header Loss)</t>
  </si>
  <si>
    <t>Head</t>
  </si>
  <si>
    <t>1 Pump, GPM</t>
  </si>
  <si>
    <t>2 Pump, GPM</t>
  </si>
  <si>
    <t>Individual Pump Discharge Piping</t>
  </si>
  <si>
    <t>Common Force Main Fittings</t>
  </si>
  <si>
    <t>Individual Pump Discharge Fittings</t>
  </si>
  <si>
    <t xml:space="preserve">Header </t>
  </si>
  <si>
    <t>FM Minor Loss, ft</t>
  </si>
  <si>
    <t>Area, ft2</t>
  </si>
  <si>
    <t>Force Main Segment 1</t>
  </si>
  <si>
    <t>Force Main Segment 2</t>
  </si>
  <si>
    <t>Calculations for Pump Derating</t>
  </si>
  <si>
    <t>Minor Loss of Individual Discharge Fittings</t>
  </si>
  <si>
    <t>Sum of Minor Losses, ft</t>
  </si>
  <si>
    <t>Friction Loss, ft</t>
  </si>
  <si>
    <t>Total Loss, ft</t>
  </si>
  <si>
    <t>Variable Speed Pump Data</t>
  </si>
  <si>
    <t>Min Speed</t>
  </si>
  <si>
    <t>Max Speed</t>
  </si>
  <si>
    <t>Design Speed</t>
  </si>
  <si>
    <t>rpm</t>
  </si>
  <si>
    <t>BEC</t>
  </si>
  <si>
    <t>Min Flow (30%)</t>
  </si>
  <si>
    <t>Min Flow (50%)</t>
  </si>
  <si>
    <t>RPM</t>
  </si>
  <si>
    <t>H</t>
  </si>
  <si>
    <t>Q</t>
  </si>
  <si>
    <t>Lower Bound</t>
  </si>
  <si>
    <t>Upper Bound</t>
  </si>
  <si>
    <t>Series Labels</t>
  </si>
  <si>
    <t>Level Control Setpoint</t>
  </si>
  <si>
    <t>Lag On Setpoint</t>
  </si>
  <si>
    <t>Fill/Draw</t>
  </si>
  <si>
    <t>Design Point</t>
  </si>
  <si>
    <t>Load Share</t>
  </si>
  <si>
    <t>Speed, rpm</t>
  </si>
  <si>
    <t>Max 2 Pump</t>
  </si>
  <si>
    <t>Max 1 Pump</t>
  </si>
  <si>
    <t>Single Pump</t>
  </si>
  <si>
    <t>Dual Pump</t>
  </si>
  <si>
    <t>Note: Values calculated from affinity laws. Values in red are outside the recommended performance envelope. Values are not derated for header loss</t>
  </si>
  <si>
    <t>Raw Pump Data</t>
  </si>
  <si>
    <t>Pumping Unit Data</t>
  </si>
  <si>
    <t>Pump curve minus suction and individual discharge fitting losses</t>
  </si>
  <si>
    <t>Misc Fittings 2</t>
  </si>
  <si>
    <t>Force main 2</t>
  </si>
  <si>
    <t>Misc Fittings 1</t>
  </si>
  <si>
    <t>Flows</t>
  </si>
  <si>
    <t>%Speed</t>
  </si>
  <si>
    <t>Suction Friction Loss</t>
  </si>
  <si>
    <t>Sum of Suction Losses</t>
  </si>
  <si>
    <t>Sum of Discharge Friction Loss</t>
  </si>
  <si>
    <t>Sum of Discharge Losses</t>
  </si>
  <si>
    <t>Sum of all Pump Unit Losses</t>
  </si>
  <si>
    <t>Sum of Suction Minor Losses</t>
  </si>
  <si>
    <t>Sum of Discharge Minor Losses</t>
  </si>
  <si>
    <t>Select values for this column</t>
  </si>
  <si>
    <t>from sum of suction losses</t>
  </si>
  <si>
    <t>on the System Curve tab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</si>
</sst>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79">
    <xf numFmtId="0" fontId="0" fillId="0" borderId="0" xfId="0"/>
    <xf numFmtId="0" fontId="0" fillId="0" borderId="0" xfId="0" applyProtection="1">
      <protection locked="0"/>
    </xf>
    <xf numFmtId="49" fontId="0" fillId="2" borderId="0" xfId="0" applyNumberFormat="1" applyFill="1" applyProtection="1"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</xf>
    <xf numFmtId="0" fontId="0" fillId="0" borderId="4" xfId="0" applyBorder="1" applyProtection="1"/>
    <xf numFmtId="0" fontId="0" fillId="0" borderId="0" xfId="0" applyBorder="1" applyAlignment="1" applyProtection="1">
      <alignment horizontal="center"/>
    </xf>
    <xf numFmtId="0" fontId="0" fillId="0" borderId="6" xfId="0" applyBorder="1" applyProtection="1"/>
    <xf numFmtId="2" fontId="0" fillId="0" borderId="8" xfId="0" applyNumberFormat="1" applyBorder="1" applyAlignment="1" applyProtection="1">
      <alignment horizontal="center"/>
    </xf>
    <xf numFmtId="0" fontId="0" fillId="0" borderId="9" xfId="0" applyBorder="1" applyProtection="1"/>
    <xf numFmtId="0" fontId="0" fillId="0" borderId="3" xfId="0" applyBorder="1" applyProtection="1"/>
    <xf numFmtId="0" fontId="0" fillId="0" borderId="0" xfId="0" applyBorder="1" applyProtection="1"/>
    <xf numFmtId="0" fontId="0" fillId="0" borderId="8" xfId="0" applyBorder="1" applyAlignment="1" applyProtection="1">
      <alignment horizontal="center"/>
    </xf>
    <xf numFmtId="0" fontId="0" fillId="0" borderId="8" xfId="0" applyBorder="1" applyProtection="1"/>
    <xf numFmtId="0" fontId="0" fillId="0" borderId="6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1" fillId="0" borderId="12" xfId="0" applyFont="1" applyFill="1" applyBorder="1" applyProtection="1"/>
    <xf numFmtId="0" fontId="1" fillId="0" borderId="1" xfId="0" applyFont="1" applyFill="1" applyBorder="1" applyAlignment="1" applyProtection="1">
      <alignment horizontal="center"/>
    </xf>
    <xf numFmtId="0" fontId="1" fillId="0" borderId="14" xfId="0" applyFont="1" applyFill="1" applyBorder="1" applyAlignment="1" applyProtection="1">
      <alignment horizontal="center"/>
    </xf>
    <xf numFmtId="0" fontId="0" fillId="0" borderId="11" xfId="0" applyFill="1" applyBorder="1" applyAlignment="1" applyProtection="1">
      <alignment horizontal="center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0" fontId="0" fillId="0" borderId="10" xfId="0" applyBorder="1" applyAlignment="1" applyProtection="1">
      <alignment horizontal="center"/>
    </xf>
    <xf numFmtId="2" fontId="0" fillId="0" borderId="10" xfId="0" applyNumberFormat="1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2" fontId="0" fillId="0" borderId="11" xfId="0" applyNumberFormat="1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2" fontId="0" fillId="0" borderId="12" xfId="0" applyNumberFormat="1" applyBorder="1" applyAlignment="1" applyProtection="1">
      <alignment horizontal="center"/>
    </xf>
    <xf numFmtId="0" fontId="0" fillId="0" borderId="2" xfId="0" applyBorder="1" applyProtection="1"/>
    <xf numFmtId="0" fontId="0" fillId="0" borderId="5" xfId="0" applyBorder="1" applyProtection="1"/>
    <xf numFmtId="0" fontId="0" fillId="0" borderId="7" xfId="0" applyBorder="1" applyProtection="1"/>
    <xf numFmtId="0" fontId="0" fillId="0" borderId="10" xfId="0" applyBorder="1" applyAlignment="1" applyProtection="1"/>
    <xf numFmtId="0" fontId="0" fillId="0" borderId="11" xfId="0" applyBorder="1" applyProtection="1"/>
    <xf numFmtId="0" fontId="0" fillId="0" borderId="12" xfId="0" applyBorder="1" applyProtection="1"/>
    <xf numFmtId="0" fontId="0" fillId="0" borderId="10" xfId="0" applyFill="1" applyBorder="1" applyProtection="1"/>
    <xf numFmtId="0" fontId="0" fillId="0" borderId="11" xfId="0" applyFill="1" applyBorder="1" applyProtection="1"/>
    <xf numFmtId="0" fontId="0" fillId="0" borderId="12" xfId="0" applyFill="1" applyBorder="1" applyProtection="1"/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49" fontId="0" fillId="2" borderId="3" xfId="0" applyNumberFormat="1" applyFill="1" applyBorder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49" fontId="0" fillId="2" borderId="0" xfId="0" applyNumberFormat="1" applyFill="1" applyBorder="1" applyAlignment="1" applyProtection="1">
      <alignment horizontal="center"/>
      <protection locked="0"/>
    </xf>
    <xf numFmtId="0" fontId="0" fillId="0" borderId="0" xfId="0" applyProtection="1"/>
    <xf numFmtId="0" fontId="0" fillId="0" borderId="14" xfId="0" applyBorder="1" applyProtection="1"/>
    <xf numFmtId="2" fontId="0" fillId="0" borderId="6" xfId="0" applyNumberFormat="1" applyFill="1" applyBorder="1" applyAlignment="1" applyProtection="1">
      <alignment horizontal="center"/>
    </xf>
    <xf numFmtId="0" fontId="0" fillId="0" borderId="1" xfId="0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 wrapText="1"/>
    </xf>
    <xf numFmtId="2" fontId="0" fillId="0" borderId="6" xfId="0" applyNumberFormat="1" applyBorder="1" applyAlignment="1" applyProtection="1">
      <alignment horizontal="center"/>
    </xf>
    <xf numFmtId="0" fontId="0" fillId="0" borderId="12" xfId="0" applyFill="1" applyBorder="1" applyAlignment="1" applyProtection="1">
      <alignment horizontal="center"/>
    </xf>
    <xf numFmtId="2" fontId="0" fillId="0" borderId="9" xfId="0" applyNumberFormat="1" applyBorder="1" applyAlignment="1" applyProtection="1">
      <alignment horizontal="center"/>
    </xf>
    <xf numFmtId="0" fontId="0" fillId="0" borderId="1" xfId="0" applyBorder="1" applyProtection="1"/>
    <xf numFmtId="0" fontId="0" fillId="0" borderId="10" xfId="0" applyBorder="1" applyProtection="1"/>
    <xf numFmtId="0" fontId="2" fillId="0" borderId="0" xfId="0" applyFont="1" applyProtection="1"/>
    <xf numFmtId="0" fontId="1" fillId="0" borderId="0" xfId="0" applyFont="1" applyProtection="1"/>
    <xf numFmtId="0" fontId="1" fillId="0" borderId="10" xfId="0" applyFont="1" applyBorder="1" applyAlignment="1" applyProtection="1">
      <alignment horizontal="center" vertical="center" textRotation="90" wrapText="1"/>
    </xf>
    <xf numFmtId="2" fontId="0" fillId="0" borderId="8" xfId="0" applyNumberFormat="1" applyFill="1" applyBorder="1" applyAlignment="1" applyProtection="1">
      <alignment horizontal="center"/>
    </xf>
    <xf numFmtId="0" fontId="1" fillId="0" borderId="0" xfId="0" applyFont="1" applyBorder="1" applyAlignment="1" applyProtection="1">
      <alignment vertical="center" textRotation="90"/>
    </xf>
    <xf numFmtId="2" fontId="0" fillId="2" borderId="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10" fillId="0" borderId="0" xfId="1" applyProtection="1"/>
    <xf numFmtId="0" fontId="0" fillId="0" borderId="0" xfId="0" applyAlignment="1" applyProtection="1">
      <alignment horizontal="center"/>
    </xf>
    <xf numFmtId="0" fontId="0" fillId="0" borderId="0" xfId="0" applyBorder="1" applyAlignment="1" applyProtection="1"/>
    <xf numFmtId="0" fontId="1" fillId="0" borderId="0" xfId="0" applyFont="1" applyAlignment="1" applyProtection="1">
      <alignment horizontal="left"/>
    </xf>
    <xf numFmtId="2" fontId="0" fillId="0" borderId="0" xfId="0" applyNumberFormat="1" applyProtection="1"/>
    <xf numFmtId="2" fontId="0" fillId="2" borderId="3" xfId="0" applyNumberFormat="1" applyFill="1" applyBorder="1" applyAlignment="1" applyProtection="1">
      <alignment horizontal="center"/>
      <protection locked="0"/>
    </xf>
    <xf numFmtId="0" fontId="3" fillId="0" borderId="0" xfId="0" applyFont="1" applyProtection="1"/>
    <xf numFmtId="49" fontId="0" fillId="0" borderId="0" xfId="0" applyNumberFormat="1" applyProtection="1"/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0" fillId="5" borderId="1" xfId="0" applyFill="1" applyBorder="1" applyProtection="1">
      <protection locked="0"/>
    </xf>
    <xf numFmtId="0" fontId="0" fillId="4" borderId="11" xfId="0" applyFill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0" fontId="0" fillId="4" borderId="12" xfId="0" applyFill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9" fontId="0" fillId="0" borderId="11" xfId="0" applyNumberFormat="1" applyBorder="1" applyAlignment="1" applyProtection="1">
      <alignment horizontal="center"/>
      <protection locked="0"/>
    </xf>
    <xf numFmtId="9" fontId="0" fillId="4" borderId="11" xfId="0" applyNumberFormat="1" applyFill="1" applyBorder="1" applyAlignment="1" applyProtection="1">
      <alignment horizontal="center"/>
      <protection locked="0"/>
    </xf>
    <xf numFmtId="9" fontId="0" fillId="4" borderId="12" xfId="0" applyNumberFormat="1" applyFill="1" applyBorder="1" applyAlignment="1" applyProtection="1">
      <alignment horizontal="center"/>
      <protection locked="0"/>
    </xf>
    <xf numFmtId="2" fontId="0" fillId="0" borderId="10" xfId="0" applyNumberFormat="1" applyBorder="1" applyAlignment="1" applyProtection="1">
      <alignment horizontal="center"/>
      <protection locked="0"/>
    </xf>
    <xf numFmtId="9" fontId="0" fillId="0" borderId="10" xfId="0" applyNumberFormat="1" applyBorder="1" applyAlignment="1" applyProtection="1">
      <alignment horizontal="center"/>
      <protection locked="0"/>
    </xf>
    <xf numFmtId="9" fontId="0" fillId="0" borderId="12" xfId="0" applyNumberFormat="1" applyBorder="1" applyAlignment="1" applyProtection="1">
      <alignment horizontal="center"/>
      <protection locked="0"/>
    </xf>
    <xf numFmtId="2" fontId="0" fillId="6" borderId="0" xfId="0" applyNumberFormat="1" applyFill="1" applyProtection="1">
      <protection locked="0"/>
    </xf>
    <xf numFmtId="0" fontId="0" fillId="0" borderId="6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0" xfId="0" applyAlignment="1">
      <alignment horizontal="right"/>
    </xf>
    <xf numFmtId="0" fontId="0" fillId="0" borderId="8" xfId="0" applyBorder="1" applyAlignment="1">
      <alignment horizontal="center"/>
    </xf>
    <xf numFmtId="0" fontId="0" fillId="0" borderId="0" xfId="0" applyFill="1" applyBorder="1" applyAlignment="1" applyProtection="1">
      <alignment horizontal="center"/>
    </xf>
    <xf numFmtId="0" fontId="0" fillId="0" borderId="0" xfId="0" applyFill="1"/>
    <xf numFmtId="0" fontId="0" fillId="0" borderId="9" xfId="0" applyBorder="1" applyAlignment="1" applyProtection="1">
      <alignment horizontal="center"/>
    </xf>
    <xf numFmtId="0" fontId="0" fillId="0" borderId="0" xfId="0" applyAlignment="1" applyProtection="1">
      <alignment horizontal="center"/>
    </xf>
    <xf numFmtId="2" fontId="0" fillId="0" borderId="0" xfId="0" applyNumberFormat="1" applyBorder="1" applyAlignment="1" applyProtection="1">
      <alignment horizontal="center"/>
    </xf>
    <xf numFmtId="2" fontId="0" fillId="2" borderId="0" xfId="0" applyNumberFormat="1" applyFill="1" applyBorder="1" applyAlignment="1" applyProtection="1">
      <alignment horizontal="center"/>
    </xf>
    <xf numFmtId="2" fontId="0" fillId="0" borderId="4" xfId="0" applyNumberFormat="1" applyBorder="1" applyAlignment="1" applyProtection="1">
      <alignment horizontal="center"/>
    </xf>
    <xf numFmtId="2" fontId="0" fillId="0" borderId="2" xfId="0" applyNumberFormat="1" applyBorder="1" applyAlignment="1" applyProtection="1">
      <alignment horizontal="center"/>
    </xf>
    <xf numFmtId="2" fontId="0" fillId="0" borderId="5" xfId="0" applyNumberFormat="1" applyBorder="1" applyAlignment="1" applyProtection="1">
      <alignment horizontal="center"/>
    </xf>
    <xf numFmtId="0" fontId="1" fillId="0" borderId="12" xfId="0" applyFont="1" applyFill="1" applyBorder="1" applyAlignment="1" applyProtection="1">
      <alignment horizontal="center"/>
    </xf>
    <xf numFmtId="2" fontId="0" fillId="0" borderId="13" xfId="0" applyNumberFormat="1" applyBorder="1" applyAlignment="1" applyProtection="1">
      <alignment horizontal="center"/>
    </xf>
    <xf numFmtId="0" fontId="0" fillId="0" borderId="15" xfId="0" applyBorder="1" applyAlignment="1" applyProtection="1">
      <alignment horizontal="center" wrapText="1"/>
    </xf>
    <xf numFmtId="0" fontId="0" fillId="0" borderId="1" xfId="0" applyBorder="1" applyAlignment="1" applyProtection="1">
      <alignment horizontal="center" wrapText="1"/>
    </xf>
    <xf numFmtId="0" fontId="0" fillId="0" borderId="0" xfId="0" applyAlignment="1" applyProtection="1">
      <alignment horizontal="center"/>
    </xf>
    <xf numFmtId="0" fontId="1" fillId="0" borderId="16" xfId="0" applyFont="1" applyFill="1" applyBorder="1" applyProtection="1"/>
    <xf numFmtId="0" fontId="0" fillId="0" borderId="16" xfId="0" applyFill="1" applyBorder="1" applyAlignment="1" applyProtection="1">
      <alignment horizontal="center"/>
    </xf>
    <xf numFmtId="0" fontId="0" fillId="0" borderId="17" xfId="0" applyFill="1" applyBorder="1" applyAlignment="1" applyProtection="1">
      <alignment horizontal="center"/>
    </xf>
    <xf numFmtId="0" fontId="1" fillId="0" borderId="18" xfId="0" applyFont="1" applyFill="1" applyBorder="1" applyProtection="1"/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9" fontId="0" fillId="0" borderId="18" xfId="0" applyNumberFormat="1" applyFill="1" applyBorder="1" applyAlignment="1" applyProtection="1">
      <alignment horizontal="center"/>
    </xf>
    <xf numFmtId="9" fontId="0" fillId="0" borderId="19" xfId="0" applyNumberFormat="1" applyFill="1" applyBorder="1" applyAlignment="1" applyProtection="1">
      <alignment horizontal="center"/>
    </xf>
    <xf numFmtId="164" fontId="0" fillId="0" borderId="18" xfId="0" applyNumberFormat="1" applyFill="1" applyBorder="1" applyAlignment="1" applyProtection="1">
      <alignment horizontal="center"/>
    </xf>
    <xf numFmtId="164" fontId="0" fillId="0" borderId="19" xfId="0" applyNumberFormat="1" applyFill="1" applyBorder="1" applyAlignment="1" applyProtection="1">
      <alignment horizontal="center"/>
    </xf>
    <xf numFmtId="9" fontId="0" fillId="2" borderId="18" xfId="0" applyNumberFormat="1" applyFill="1" applyBorder="1" applyAlignment="1" applyProtection="1">
      <alignment horizontal="center"/>
      <protection locked="0"/>
    </xf>
    <xf numFmtId="9" fontId="0" fillId="2" borderId="19" xfId="0" applyNumberFormat="1" applyFill="1" applyBorder="1" applyAlignment="1" applyProtection="1">
      <alignment horizontal="center"/>
      <protection locked="0"/>
    </xf>
    <xf numFmtId="0" fontId="1" fillId="0" borderId="20" xfId="0" applyFont="1" applyFill="1" applyBorder="1" applyProtection="1"/>
    <xf numFmtId="9" fontId="0" fillId="0" borderId="20" xfId="0" applyNumberFormat="1" applyFill="1" applyBorder="1" applyAlignment="1" applyProtection="1">
      <alignment horizontal="center"/>
    </xf>
    <xf numFmtId="9" fontId="0" fillId="0" borderId="21" xfId="0" applyNumberFormat="1" applyFill="1" applyBorder="1" applyAlignment="1" applyProtection="1">
      <alignment horizontal="center"/>
    </xf>
    <xf numFmtId="0" fontId="1" fillId="0" borderId="16" xfId="0" applyFont="1" applyBorder="1" applyProtection="1"/>
    <xf numFmtId="0" fontId="1" fillId="0" borderId="18" xfId="0" applyFont="1" applyBorder="1" applyProtection="1"/>
    <xf numFmtId="0" fontId="1" fillId="0" borderId="20" xfId="0" applyFont="1" applyBorder="1" applyProtection="1"/>
    <xf numFmtId="0" fontId="0" fillId="0" borderId="23" xfId="0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1" fontId="0" fillId="0" borderId="24" xfId="0" applyNumberFormat="1" applyBorder="1" applyAlignment="1" applyProtection="1">
      <alignment horizontal="center"/>
    </xf>
    <xf numFmtId="0" fontId="0" fillId="0" borderId="25" xfId="0" applyBorder="1" applyAlignment="1" applyProtection="1">
      <alignment horizontal="center"/>
    </xf>
    <xf numFmtId="2" fontId="0" fillId="0" borderId="26" xfId="0" applyNumberFormat="1" applyBorder="1" applyAlignment="1" applyProtection="1">
      <alignment horizontal="center"/>
    </xf>
    <xf numFmtId="0" fontId="0" fillId="0" borderId="24" xfId="0" applyBorder="1" applyAlignment="1" applyProtection="1">
      <alignment horizontal="center"/>
    </xf>
    <xf numFmtId="1" fontId="0" fillId="0" borderId="26" xfId="0" applyNumberFormat="1" applyBorder="1" applyAlignment="1" applyProtection="1">
      <alignment horizontal="center"/>
    </xf>
    <xf numFmtId="0" fontId="0" fillId="2" borderId="24" xfId="0" applyFill="1" applyBorder="1" applyAlignment="1" applyProtection="1">
      <alignment horizontal="left"/>
      <protection locked="0"/>
    </xf>
    <xf numFmtId="0" fontId="0" fillId="2" borderId="25" xfId="0" applyFill="1" applyBorder="1" applyAlignment="1" applyProtection="1">
      <alignment horizontal="left"/>
      <protection locked="0"/>
    </xf>
    <xf numFmtId="0" fontId="0" fillId="2" borderId="25" xfId="0" applyFill="1" applyBorder="1" applyAlignment="1" applyProtection="1">
      <alignment horizontal="center"/>
      <protection locked="0"/>
    </xf>
    <xf numFmtId="9" fontId="0" fillId="2" borderId="26" xfId="0" applyNumberFormat="1" applyFill="1" applyBorder="1" applyAlignment="1" applyProtection="1">
      <alignment horizontal="center"/>
      <protection locked="0"/>
    </xf>
    <xf numFmtId="49" fontId="0" fillId="0" borderId="24" xfId="0" applyNumberFormat="1" applyBorder="1" applyAlignment="1" applyProtection="1">
      <alignment horizontal="center"/>
    </xf>
    <xf numFmtId="49" fontId="0" fillId="0" borderId="25" xfId="0" applyNumberFormat="1" applyBorder="1" applyAlignment="1" applyProtection="1">
      <alignment horizontal="center"/>
    </xf>
    <xf numFmtId="0" fontId="0" fillId="0" borderId="26" xfId="0" applyBorder="1" applyAlignment="1" applyProtection="1">
      <alignment horizontal="center"/>
    </xf>
    <xf numFmtId="0" fontId="0" fillId="0" borderId="27" xfId="0" applyBorder="1" applyAlignment="1" applyProtection="1">
      <alignment horizontal="center"/>
    </xf>
    <xf numFmtId="0" fontId="0" fillId="0" borderId="28" xfId="0" applyBorder="1" applyAlignment="1" applyProtection="1">
      <alignment horizontal="center"/>
    </xf>
    <xf numFmtId="2" fontId="0" fillId="0" borderId="29" xfId="0" applyNumberFormat="1" applyBorder="1" applyAlignment="1" applyProtection="1">
      <alignment horizontal="center"/>
    </xf>
    <xf numFmtId="2" fontId="0" fillId="0" borderId="7" xfId="0" applyNumberForma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</xf>
    <xf numFmtId="0" fontId="0" fillId="3" borderId="0" xfId="0" applyFill="1" applyBorder="1" applyAlignment="1" applyProtection="1">
      <alignment horizont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0" borderId="7" xfId="0" applyNumberForma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2" borderId="2" xfId="0" applyFill="1" applyBorder="1" applyAlignment="1" applyProtection="1">
      <alignment horizontal="center"/>
    </xf>
    <xf numFmtId="0" fontId="0" fillId="2" borderId="5" xfId="0" applyFill="1" applyBorder="1" applyAlignment="1" applyProtection="1">
      <alignment horizontal="center"/>
    </xf>
    <xf numFmtId="2" fontId="0" fillId="2" borderId="5" xfId="0" applyNumberFormat="1" applyFill="1" applyBorder="1" applyAlignment="1" applyProtection="1">
      <alignment horizontal="center"/>
    </xf>
    <xf numFmtId="0" fontId="0" fillId="0" borderId="0" xfId="0" applyBorder="1" applyProtection="1">
      <protection locked="0"/>
    </xf>
    <xf numFmtId="0" fontId="0" fillId="0" borderId="0" xfId="0" quotePrefix="1" applyProtection="1">
      <protection locked="0"/>
    </xf>
    <xf numFmtId="2" fontId="0" fillId="0" borderId="0" xfId="0" applyNumberFormat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right" wrapText="1"/>
      <protection locked="0"/>
    </xf>
    <xf numFmtId="0" fontId="0" fillId="0" borderId="0" xfId="0" applyBorder="1" applyAlignment="1" applyProtection="1">
      <alignment horizontal="right"/>
      <protection locked="0"/>
    </xf>
    <xf numFmtId="2" fontId="0" fillId="0" borderId="0" xfId="0" applyNumberFormat="1" applyAlignment="1" applyProtection="1">
      <alignment horizontal="center"/>
    </xf>
    <xf numFmtId="1" fontId="0" fillId="0" borderId="0" xfId="0" applyNumberFormat="1" applyAlignment="1" applyProtection="1">
      <alignment horizontal="center"/>
    </xf>
    <xf numFmtId="0" fontId="3" fillId="0" borderId="0" xfId="0" applyFont="1"/>
    <xf numFmtId="0" fontId="0" fillId="2" borderId="0" xfId="0" applyFill="1"/>
    <xf numFmtId="164" fontId="0" fillId="0" borderId="0" xfId="0" applyNumberFormat="1"/>
    <xf numFmtId="9" fontId="0" fillId="7" borderId="2" xfId="0" applyNumberFormat="1" applyFill="1" applyBorder="1"/>
    <xf numFmtId="0" fontId="0" fillId="7" borderId="4" xfId="0" applyFill="1" applyBorder="1"/>
    <xf numFmtId="0" fontId="0" fillId="2" borderId="5" xfId="0" applyFill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2" borderId="7" xfId="0" applyFill="1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1" fillId="0" borderId="30" xfId="0" applyFont="1" applyBorder="1" applyProtection="1"/>
    <xf numFmtId="0" fontId="0" fillId="2" borderId="31" xfId="0" applyFill="1" applyBorder="1" applyAlignment="1" applyProtection="1">
      <alignment horizontal="center"/>
      <protection locked="0"/>
    </xf>
    <xf numFmtId="0" fontId="0" fillId="0" borderId="5" xfId="0" applyFill="1" applyBorder="1" applyAlignment="1">
      <alignment horizontal="center"/>
    </xf>
    <xf numFmtId="164" fontId="0" fillId="0" borderId="6" xfId="0" applyNumberForma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164" fontId="0" fillId="0" borderId="4" xfId="0" applyNumberFormat="1" applyFill="1" applyBorder="1" applyAlignment="1">
      <alignment horizontal="center"/>
    </xf>
    <xf numFmtId="0" fontId="0" fillId="0" borderId="0" xfId="0" applyAlignment="1" applyProtection="1">
      <alignment horizontal="center"/>
    </xf>
    <xf numFmtId="2" fontId="0" fillId="0" borderId="7" xfId="0" applyNumberFormat="1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15" xfId="0" applyBorder="1" applyAlignment="1" applyProtection="1"/>
    <xf numFmtId="0" fontId="0" fillId="0" borderId="13" xfId="0" applyBorder="1" applyAlignment="1" applyProtection="1"/>
    <xf numFmtId="0" fontId="0" fillId="0" borderId="14" xfId="0" applyBorder="1" applyAlignment="1" applyProtection="1"/>
    <xf numFmtId="2" fontId="0" fillId="0" borderId="3" xfId="0" applyNumberFormat="1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 applyProtection="1">
      <alignment vertical="center"/>
    </xf>
    <xf numFmtId="2" fontId="0" fillId="0" borderId="0" xfId="0" applyNumberFormat="1" applyFill="1" applyBorder="1" applyAlignment="1" applyProtection="1">
      <alignment horizontal="center"/>
    </xf>
    <xf numFmtId="2" fontId="0" fillId="0" borderId="0" xfId="0" applyNumberFormat="1" applyBorder="1" applyAlignment="1" applyProtection="1">
      <alignment horizontal="center" vertical="center"/>
    </xf>
    <xf numFmtId="2" fontId="0" fillId="0" borderId="0" xfId="0" applyNumberFormat="1" applyFill="1" applyBorder="1" applyAlignment="1" applyProtection="1">
      <alignment horizontal="center" vertical="center"/>
    </xf>
    <xf numFmtId="2" fontId="0" fillId="0" borderId="3" xfId="0" applyNumberFormat="1" applyFill="1" applyBorder="1" applyAlignment="1" applyProtection="1">
      <alignment horizontal="center"/>
    </xf>
    <xf numFmtId="2" fontId="0" fillId="0" borderId="8" xfId="0" applyNumberFormat="1" applyBorder="1" applyAlignment="1" applyProtection="1">
      <alignment horizontal="center" vertical="center"/>
    </xf>
    <xf numFmtId="2" fontId="0" fillId="0" borderId="8" xfId="0" applyNumberFormat="1" applyFill="1" applyBorder="1" applyAlignment="1" applyProtection="1">
      <alignment horizontal="center" vertical="center"/>
    </xf>
    <xf numFmtId="2" fontId="0" fillId="0" borderId="9" xfId="0" applyNumberForma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horizontal="center" vertical="center"/>
    </xf>
    <xf numFmtId="2" fontId="0" fillId="0" borderId="3" xfId="0" applyNumberFormat="1" applyFill="1" applyBorder="1" applyAlignment="1" applyProtection="1">
      <alignment horizontal="center" vertical="center"/>
    </xf>
    <xf numFmtId="2" fontId="0" fillId="0" borderId="4" xfId="0" applyNumberFormat="1" applyBorder="1" applyAlignment="1" applyProtection="1">
      <alignment horizontal="center" vertical="center"/>
    </xf>
    <xf numFmtId="2" fontId="0" fillId="0" borderId="6" xfId="0" applyNumberFormat="1" applyBorder="1" applyAlignment="1" applyProtection="1">
      <alignment horizontal="center" vertical="center"/>
    </xf>
    <xf numFmtId="164" fontId="0" fillId="0" borderId="10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1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3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0" fontId="0" fillId="0" borderId="3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2" fontId="0" fillId="2" borderId="10" xfId="0" applyNumberFormat="1" applyFill="1" applyBorder="1" applyAlignment="1" applyProtection="1">
      <alignment horizontal="center"/>
    </xf>
    <xf numFmtId="2" fontId="0" fillId="2" borderId="11" xfId="0" applyNumberFormat="1" applyFill="1" applyBorder="1" applyAlignment="1" applyProtection="1">
      <alignment horizontal="center"/>
    </xf>
    <xf numFmtId="2" fontId="0" fillId="2" borderId="12" xfId="0" applyNumberFormat="1" applyFill="1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2" fontId="0" fillId="6" borderId="7" xfId="0" applyNumberFormat="1" applyFill="1" applyBorder="1" applyAlignment="1" applyProtection="1">
      <alignment horizontal="center"/>
    </xf>
    <xf numFmtId="2" fontId="0" fillId="6" borderId="9" xfId="0" applyNumberFormat="1" applyFill="1" applyBorder="1" applyAlignment="1" applyProtection="1">
      <alignment horizontal="center"/>
    </xf>
    <xf numFmtId="0" fontId="0" fillId="0" borderId="10" xfId="0" applyBorder="1" applyAlignment="1" applyProtection="1">
      <alignment horizontal="center" wrapText="1"/>
    </xf>
    <xf numFmtId="0" fontId="0" fillId="0" borderId="11" xfId="0" applyBorder="1" applyAlignment="1" applyProtection="1">
      <alignment horizontal="center" wrapText="1"/>
    </xf>
    <xf numFmtId="0" fontId="1" fillId="0" borderId="10" xfId="0" applyFont="1" applyBorder="1" applyAlignment="1" applyProtection="1">
      <alignment horizontal="center" vertical="center" textRotation="90" wrapText="1"/>
    </xf>
    <xf numFmtId="0" fontId="1" fillId="0" borderId="11" xfId="0" applyFont="1" applyBorder="1" applyAlignment="1" applyProtection="1">
      <alignment horizontal="center" vertical="center" textRotation="90" wrapText="1"/>
    </xf>
    <xf numFmtId="0" fontId="1" fillId="0" borderId="12" xfId="0" applyFont="1" applyBorder="1" applyAlignment="1" applyProtection="1">
      <alignment horizontal="center" vertical="center" textRotation="90" wrapText="1"/>
    </xf>
    <xf numFmtId="2" fontId="0" fillId="0" borderId="7" xfId="0" applyNumberFormat="1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1" fillId="0" borderId="2" xfId="0" applyFont="1" applyBorder="1" applyAlignment="1" applyProtection="1">
      <alignment horizontal="center" vertical="center" textRotation="90"/>
    </xf>
    <xf numFmtId="0" fontId="1" fillId="0" borderId="5" xfId="0" applyFont="1" applyBorder="1" applyAlignment="1" applyProtection="1">
      <alignment horizontal="center" vertical="center" textRotation="90"/>
    </xf>
    <xf numFmtId="0" fontId="1" fillId="0" borderId="7" xfId="0" applyFont="1" applyBorder="1" applyAlignment="1" applyProtection="1">
      <alignment horizontal="center" vertical="center" textRotation="90"/>
    </xf>
    <xf numFmtId="9" fontId="0" fillId="0" borderId="2" xfId="0" applyNumberFormat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wrapText="1"/>
    </xf>
    <xf numFmtId="0" fontId="0" fillId="0" borderId="15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0" fillId="0" borderId="10" xfId="0" quotePrefix="1" applyBorder="1" applyAlignment="1" applyProtection="1">
      <alignment horizontal="center" wrapText="1"/>
    </xf>
    <xf numFmtId="0" fontId="0" fillId="0" borderId="11" xfId="0" quotePrefix="1" applyBorder="1" applyAlignment="1" applyProtection="1">
      <alignment horizontal="center" wrapText="1"/>
    </xf>
    <xf numFmtId="0" fontId="0" fillId="0" borderId="3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0" xfId="0" applyAlignment="1" applyProtection="1">
      <alignment horizontal="center" wrapText="1"/>
    </xf>
    <xf numFmtId="0" fontId="0" fillId="0" borderId="5" xfId="0" applyBorder="1" applyAlignment="1" applyProtection="1">
      <alignment horizontal="center" wrapText="1"/>
    </xf>
    <xf numFmtId="0" fontId="0" fillId="0" borderId="0" xfId="0" applyAlignment="1">
      <alignment horizontal="center"/>
    </xf>
    <xf numFmtId="0" fontId="0" fillId="0" borderId="3" xfId="0" applyBorder="1" applyAlignment="1" applyProtection="1">
      <alignment horizontal="center"/>
    </xf>
    <xf numFmtId="0" fontId="1" fillId="0" borderId="10" xfId="0" applyFont="1" applyBorder="1" applyAlignment="1" applyProtection="1">
      <alignment horizontal="center" vertical="center" textRotation="90"/>
      <protection locked="0"/>
    </xf>
    <xf numFmtId="0" fontId="1" fillId="0" borderId="11" xfId="0" applyFont="1" applyBorder="1" applyAlignment="1" applyProtection="1">
      <alignment horizontal="center" vertical="center" textRotation="90"/>
      <protection locked="0"/>
    </xf>
    <xf numFmtId="0" fontId="1" fillId="0" borderId="12" xfId="0" applyFont="1" applyBorder="1" applyAlignment="1" applyProtection="1">
      <alignment horizontal="center" vertical="center" textRotation="90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textRotation="90"/>
    </xf>
    <xf numFmtId="0" fontId="1" fillId="0" borderId="11" xfId="0" applyFont="1" applyBorder="1" applyAlignment="1" applyProtection="1">
      <alignment horizontal="center" vertical="center" textRotation="90"/>
    </xf>
    <xf numFmtId="0" fontId="1" fillId="0" borderId="12" xfId="0" applyFont="1" applyBorder="1" applyAlignment="1" applyProtection="1">
      <alignment horizontal="center" vertical="center" textRotation="90"/>
    </xf>
    <xf numFmtId="0" fontId="0" fillId="0" borderId="5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1" fillId="0" borderId="18" xfId="0" applyFont="1" applyBorder="1" applyAlignment="1" applyProtection="1">
      <alignment horizontal="left" vertical="center" wrapText="1"/>
    </xf>
    <xf numFmtId="0" fontId="2" fillId="0" borderId="10" xfId="0" applyFont="1" applyBorder="1" applyAlignment="1" applyProtection="1">
      <alignment horizontal="center" vertical="center" textRotation="90"/>
    </xf>
    <xf numFmtId="0" fontId="2" fillId="0" borderId="11" xfId="0" applyFont="1" applyBorder="1" applyAlignment="1" applyProtection="1">
      <alignment horizontal="center" vertical="center" textRotation="90"/>
    </xf>
    <xf numFmtId="0" fontId="2" fillId="0" borderId="12" xfId="0" applyFont="1" applyBorder="1" applyAlignment="1" applyProtection="1">
      <alignment horizontal="center" vertical="center" textRotation="90"/>
    </xf>
    <xf numFmtId="0" fontId="2" fillId="0" borderId="10" xfId="0" applyFont="1" applyBorder="1" applyAlignment="1" applyProtection="1">
      <alignment horizontal="center" vertical="center" textRotation="90" wrapText="1"/>
    </xf>
    <xf numFmtId="0" fontId="2" fillId="0" borderId="11" xfId="0" applyFont="1" applyBorder="1" applyAlignment="1" applyProtection="1">
      <alignment horizontal="center" vertical="center" textRotation="90" wrapText="1"/>
    </xf>
    <xf numFmtId="0" fontId="2" fillId="0" borderId="12" xfId="0" applyFont="1" applyBorder="1" applyAlignment="1" applyProtection="1">
      <alignment horizontal="center" vertical="center" textRotation="90" wrapText="1"/>
    </xf>
    <xf numFmtId="0" fontId="2" fillId="0" borderId="2" xfId="0" applyFont="1" applyBorder="1" applyAlignment="1" applyProtection="1">
      <alignment horizontal="center" vertical="center" textRotation="90" wrapText="1"/>
    </xf>
    <xf numFmtId="0" fontId="2" fillId="0" borderId="5" xfId="0" applyFont="1" applyBorder="1" applyAlignment="1" applyProtection="1">
      <alignment horizontal="center" vertical="center" textRotation="90" wrapText="1"/>
    </xf>
    <xf numFmtId="0" fontId="2" fillId="0" borderId="7" xfId="0" applyFont="1" applyBorder="1" applyAlignment="1" applyProtection="1">
      <alignment horizontal="center" vertical="center" textRotation="90" wrapText="1"/>
    </xf>
    <xf numFmtId="0" fontId="2" fillId="0" borderId="2" xfId="0" applyFont="1" applyBorder="1" applyAlignment="1" applyProtection="1">
      <alignment horizontal="center" vertical="center" textRotation="90"/>
    </xf>
    <xf numFmtId="0" fontId="2" fillId="0" borderId="5" xfId="0" applyFont="1" applyBorder="1" applyAlignment="1" applyProtection="1">
      <alignment horizontal="center" vertical="center" textRotation="90"/>
    </xf>
    <xf numFmtId="0" fontId="2" fillId="0" borderId="7" xfId="0" applyFont="1" applyBorder="1" applyAlignment="1" applyProtection="1">
      <alignment horizontal="center" vertical="center" textRotation="90"/>
    </xf>
    <xf numFmtId="0" fontId="1" fillId="0" borderId="18" xfId="0" applyFont="1" applyBorder="1" applyAlignment="1" applyProtection="1">
      <alignment horizontal="left" wrapText="1"/>
    </xf>
    <xf numFmtId="0" fontId="1" fillId="0" borderId="20" xfId="0" applyFont="1" applyBorder="1" applyAlignment="1" applyProtection="1">
      <alignment horizontal="left" wrapText="1"/>
    </xf>
  </cellXfs>
  <cellStyles count="2">
    <cellStyle name="Hyperlink" xfId="1" builtinId="8"/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NPSHr</c:v>
          </c:tx>
          <c:spPr>
            <a:ln w="28575">
              <a:solidFill>
                <a:srgbClr val="002060"/>
              </a:solidFill>
              <a:prstDash val="sysDash"/>
            </a:ln>
          </c:spPr>
          <c:marker>
            <c:symbol val="none"/>
          </c:marker>
          <c:trendline>
            <c:trendlineType val="poly"/>
            <c:order val="3"/>
            <c:dispRSqr val="0"/>
            <c:dispEq val="0"/>
          </c:trendline>
          <c:xVal>
            <c:numRef>
              <c:f>'Pump Curve'!$D$20:$D$24</c:f>
              <c:numCache>
                <c:formatCode>General</c:formatCode>
                <c:ptCount val="5"/>
              </c:numCache>
            </c:numRef>
          </c:xVal>
          <c:yVal>
            <c:numRef>
              <c:f>'Pump Curve'!$C$20:$C$24</c:f>
              <c:numCache>
                <c:formatCode>General</c:formatCode>
                <c:ptCount val="5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74A-4264-9F37-03FCB8845714}"/>
            </c:ext>
          </c:extLst>
        </c:ser>
        <c:ser>
          <c:idx val="1"/>
          <c:order val="1"/>
          <c:tx>
            <c:v>Safe NPSHr</c:v>
          </c:tx>
          <c:spPr>
            <a:ln w="28575">
              <a:solidFill>
                <a:srgbClr val="002060"/>
              </a:solidFill>
            </a:ln>
          </c:spPr>
          <c:marker>
            <c:symbol val="none"/>
          </c:marker>
          <c:xVal>
            <c:numRef>
              <c:f>'Pump Curve'!$D$20:$D$24</c:f>
              <c:numCache>
                <c:formatCode>General</c:formatCode>
                <c:ptCount val="5"/>
              </c:numCache>
            </c:numRef>
          </c:xVal>
          <c:yVal>
            <c:numRef>
              <c:f>'Pump Curve'!$E$20:$E$24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74A-4264-9F37-03FCB8845714}"/>
            </c:ext>
          </c:extLst>
        </c:ser>
        <c:ser>
          <c:idx val="2"/>
          <c:order val="2"/>
          <c:tx>
            <c:v>NPSHA</c:v>
          </c:tx>
          <c:spPr>
            <a:ln w="28575">
              <a:noFill/>
            </a:ln>
          </c:spPr>
          <c:xVal>
            <c:numRef>
              <c:f>'Pump Curve'!$E$26:$E$30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'Pump Curve'!$J$26:$J$30</c:f>
              <c:numCache>
                <c:formatCode>0.00</c:formatCode>
                <c:ptCount val="5"/>
                <c:pt idx="0">
                  <c:v>33.380000000000003</c:v>
                </c:pt>
                <c:pt idx="1">
                  <c:v>40.61</c:v>
                </c:pt>
                <c:pt idx="2">
                  <c:v>33.380000000000003</c:v>
                </c:pt>
                <c:pt idx="3">
                  <c:v>40.96</c:v>
                </c:pt>
                <c:pt idx="4">
                  <c:v>54.17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74A-4264-9F37-03FCB8845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1734152"/>
        <c:axId val="271734544"/>
      </c:scatterChart>
      <c:valAx>
        <c:axId val="271734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Flow, GPM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71734544"/>
        <c:crosses val="autoZero"/>
        <c:crossBetween val="midCat"/>
      </c:valAx>
      <c:valAx>
        <c:axId val="2717345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NPSH, ft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71734152"/>
        <c:crosses val="autoZero"/>
        <c:crossBetween val="midCat"/>
      </c:valAx>
    </c:plotArea>
    <c:legend>
      <c:legendPos val="r"/>
      <c:legendEntry>
        <c:idx val="3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60181442683785"/>
          <c:y val="3.4987081160309505E-2"/>
          <c:w val="0.78268294615926115"/>
          <c:h val="0.80481657974571363"/>
        </c:manualLayout>
      </c:layout>
      <c:scatterChart>
        <c:scatterStyle val="lineMarker"/>
        <c:varyColors val="0"/>
        <c:ser>
          <c:idx val="0"/>
          <c:order val="0"/>
          <c:tx>
            <c:v>Given Impeller</c:v>
          </c:tx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'Pump Curve'!$D$42:$D$51</c:f>
              <c:numCache>
                <c:formatCode>General</c:formatCode>
                <c:ptCount val="10"/>
              </c:numCache>
            </c:numRef>
          </c:xVal>
          <c:yVal>
            <c:numRef>
              <c:f>'Pump Curve'!$C$42:$C$51</c:f>
              <c:numCache>
                <c:formatCode>General</c:formatCode>
                <c:ptCount val="10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3B6-4789-BFBC-D0D0D66BF056}"/>
            </c:ext>
          </c:extLst>
        </c:ser>
        <c:ser>
          <c:idx val="1"/>
          <c:order val="1"/>
          <c:tx>
            <c:v>Target Impeller</c:v>
          </c:tx>
          <c:spPr>
            <a:ln w="28575"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'Pump Curve'!$G$42:$G$51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xVal>
          <c:yVal>
            <c:numRef>
              <c:f>'Pump Curve'!$F$42:$F$51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3B6-4789-BFBC-D0D0D66BF0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2867728"/>
        <c:axId val="272868120"/>
      </c:scatterChart>
      <c:scatterChart>
        <c:scatterStyle val="lineMarker"/>
        <c:varyColors val="0"/>
        <c:ser>
          <c:idx val="2"/>
          <c:order val="2"/>
          <c:tx>
            <c:v>Given Efficiency</c:v>
          </c:tx>
          <c:spPr>
            <a:ln w="28575">
              <a:solidFill>
                <a:schemeClr val="accent1"/>
              </a:solidFill>
              <a:prstDash val="sysDash"/>
            </a:ln>
          </c:spPr>
          <c:marker>
            <c:symbol val="none"/>
          </c:marker>
          <c:xVal>
            <c:numRef>
              <c:f>'Pump Curve'!$D$42:$D$51</c:f>
              <c:numCache>
                <c:formatCode>General</c:formatCode>
                <c:ptCount val="10"/>
              </c:numCache>
            </c:numRef>
          </c:xVal>
          <c:yVal>
            <c:numRef>
              <c:f>'Pump Curve'!$E$42:$E$51</c:f>
              <c:numCache>
                <c:formatCode>0%</c:formatCode>
                <c:ptCount val="10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3B6-4789-BFBC-D0D0D66BF056}"/>
            </c:ext>
          </c:extLst>
        </c:ser>
        <c:ser>
          <c:idx val="3"/>
          <c:order val="3"/>
          <c:tx>
            <c:v>Target Efficiency</c:v>
          </c:tx>
          <c:spPr>
            <a:ln w="28575">
              <a:solidFill>
                <a:schemeClr val="accent2"/>
              </a:solidFill>
              <a:prstDash val="sysDash"/>
            </a:ln>
          </c:spPr>
          <c:marker>
            <c:symbol val="none"/>
          </c:marker>
          <c:xVal>
            <c:numRef>
              <c:f>'Pump Curve'!$G$42:$G$51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xVal>
          <c:yVal>
            <c:numRef>
              <c:f>'Pump Curve'!$H$42:$H$51</c:f>
              <c:numCache>
                <c:formatCode>0%</c:formatCode>
                <c:ptCount val="10"/>
                <c:pt idx="0">
                  <c:v>8.1311607174336942E-3</c:v>
                </c:pt>
                <c:pt idx="1">
                  <c:v>8.1311607174336942E-3</c:v>
                </c:pt>
                <c:pt idx="2">
                  <c:v>8.1311607174336942E-3</c:v>
                </c:pt>
                <c:pt idx="3">
                  <c:v>8.1311607174336942E-3</c:v>
                </c:pt>
                <c:pt idx="4">
                  <c:v>8.1311607174336942E-3</c:v>
                </c:pt>
                <c:pt idx="5">
                  <c:v>8.1311607174336942E-3</c:v>
                </c:pt>
                <c:pt idx="6">
                  <c:v>8.1311607174336942E-3</c:v>
                </c:pt>
                <c:pt idx="7">
                  <c:v>8.1311607174336942E-3</c:v>
                </c:pt>
                <c:pt idx="8">
                  <c:v>8.1311607174336942E-3</c:v>
                </c:pt>
                <c:pt idx="9">
                  <c:v>8.1311607174336942E-3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3B6-4789-BFBC-D0D0D66BF0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2868904"/>
        <c:axId val="272868512"/>
      </c:scatterChart>
      <c:valAx>
        <c:axId val="272867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Flow, GPM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72868120"/>
        <c:crosses val="autoZero"/>
        <c:crossBetween val="midCat"/>
      </c:valAx>
      <c:valAx>
        <c:axId val="2728681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Head, ft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72867728"/>
        <c:crosses val="autoZero"/>
        <c:crossBetween val="midCat"/>
      </c:valAx>
      <c:valAx>
        <c:axId val="272868512"/>
        <c:scaling>
          <c:orientation val="minMax"/>
          <c:max val="1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Efficiency 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272868904"/>
        <c:crosses val="max"/>
        <c:crossBetween val="midCat"/>
      </c:valAx>
      <c:valAx>
        <c:axId val="272868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286851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6789723220654262"/>
          <c:y val="4.5745918123870889E-2"/>
          <c:w val="0.2480293515708405"/>
          <c:h val="0.2504992330504141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'Pump Design Summary'!$K$62</c:f>
          <c:strCache>
            <c:ptCount val="1"/>
            <c:pt idx="0">
              <c:v>Pump Station #072 Pump Curves: 0 0 Pumps, 0 in. Impeller, 10 in. CI Force Main, C=100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BEP</c:v>
          </c:tx>
          <c:spPr>
            <a:ln w="47625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'Pump Curve'!$T$3:$T$4</c:f>
              <c:numCache>
                <c:formatCode>General</c:formatCode>
                <c:ptCount val="2"/>
                <c:pt idx="0">
                  <c:v>0</c:v>
                </c:pt>
                <c:pt idx="1">
                  <c:v>1E-4</c:v>
                </c:pt>
              </c:numCache>
            </c:numRef>
          </c:xVal>
          <c:yVal>
            <c:numRef>
              <c:f>'Pump Curve'!$U$3:$U$4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271-4FA2-AD62-BE87C759A07A}"/>
            </c:ext>
          </c:extLst>
        </c:ser>
        <c:ser>
          <c:idx val="1"/>
          <c:order val="1"/>
          <c:tx>
            <c:v>POR</c:v>
          </c:tx>
          <c:spPr>
            <a:ln w="0">
              <a:solidFill>
                <a:schemeClr val="accent3">
                  <a:lumMod val="60000"/>
                  <a:lumOff val="40000"/>
                  <a:alpha val="27000"/>
                </a:schemeClr>
              </a:solidFill>
            </a:ln>
          </c:spPr>
          <c:marker>
            <c:symbol val="none"/>
          </c:marker>
          <c:xVal>
            <c:numRef>
              <c:f>'Pump Curve'!$W$3:$W$1003</c:f>
              <c:numCache>
                <c:formatCode>General</c:formatCode>
                <c:ptCount val="10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</c:numCache>
            </c:numRef>
          </c:xVal>
          <c:yVal>
            <c:numRef>
              <c:f>'Pump Curve'!$X$3:$X$1003</c:f>
              <c:numCache>
                <c:formatCode>General</c:formatCode>
                <c:ptCount val="1001"/>
                <c:pt idx="0">
                  <c:v>0</c:v>
                </c:pt>
                <c:pt idx="1">
                  <c:v>50</c:v>
                </c:pt>
                <c:pt idx="2">
                  <c:v>0</c:v>
                </c:pt>
                <c:pt idx="3">
                  <c:v>50</c:v>
                </c:pt>
                <c:pt idx="4">
                  <c:v>0</c:v>
                </c:pt>
                <c:pt idx="5">
                  <c:v>50</c:v>
                </c:pt>
                <c:pt idx="6">
                  <c:v>0</c:v>
                </c:pt>
                <c:pt idx="7">
                  <c:v>50</c:v>
                </c:pt>
                <c:pt idx="8">
                  <c:v>0</c:v>
                </c:pt>
                <c:pt idx="9">
                  <c:v>50</c:v>
                </c:pt>
                <c:pt idx="10">
                  <c:v>0</c:v>
                </c:pt>
                <c:pt idx="11">
                  <c:v>50</c:v>
                </c:pt>
                <c:pt idx="12">
                  <c:v>0</c:v>
                </c:pt>
                <c:pt idx="13">
                  <c:v>50</c:v>
                </c:pt>
                <c:pt idx="14">
                  <c:v>0</c:v>
                </c:pt>
                <c:pt idx="15">
                  <c:v>50</c:v>
                </c:pt>
                <c:pt idx="16">
                  <c:v>0</c:v>
                </c:pt>
                <c:pt idx="17">
                  <c:v>50</c:v>
                </c:pt>
                <c:pt idx="18">
                  <c:v>0</c:v>
                </c:pt>
                <c:pt idx="19">
                  <c:v>50</c:v>
                </c:pt>
                <c:pt idx="20">
                  <c:v>0</c:v>
                </c:pt>
                <c:pt idx="21">
                  <c:v>50</c:v>
                </c:pt>
                <c:pt idx="22">
                  <c:v>0</c:v>
                </c:pt>
                <c:pt idx="23">
                  <c:v>50</c:v>
                </c:pt>
                <c:pt idx="24">
                  <c:v>0</c:v>
                </c:pt>
                <c:pt idx="25">
                  <c:v>50</c:v>
                </c:pt>
                <c:pt idx="26">
                  <c:v>0</c:v>
                </c:pt>
                <c:pt idx="27">
                  <c:v>50</c:v>
                </c:pt>
                <c:pt idx="28">
                  <c:v>0</c:v>
                </c:pt>
                <c:pt idx="29">
                  <c:v>50</c:v>
                </c:pt>
                <c:pt idx="30">
                  <c:v>0</c:v>
                </c:pt>
                <c:pt idx="31">
                  <c:v>50</c:v>
                </c:pt>
                <c:pt idx="32">
                  <c:v>0</c:v>
                </c:pt>
                <c:pt idx="33">
                  <c:v>50</c:v>
                </c:pt>
                <c:pt idx="35">
                  <c:v>0</c:v>
                </c:pt>
                <c:pt idx="36">
                  <c:v>50</c:v>
                </c:pt>
                <c:pt idx="37">
                  <c:v>0</c:v>
                </c:pt>
                <c:pt idx="38">
                  <c:v>50</c:v>
                </c:pt>
                <c:pt idx="39">
                  <c:v>0</c:v>
                </c:pt>
                <c:pt idx="40">
                  <c:v>50</c:v>
                </c:pt>
                <c:pt idx="41">
                  <c:v>0</c:v>
                </c:pt>
                <c:pt idx="42">
                  <c:v>50</c:v>
                </c:pt>
                <c:pt idx="43">
                  <c:v>0</c:v>
                </c:pt>
                <c:pt idx="44">
                  <c:v>50</c:v>
                </c:pt>
                <c:pt idx="45">
                  <c:v>0</c:v>
                </c:pt>
                <c:pt idx="46">
                  <c:v>50</c:v>
                </c:pt>
                <c:pt idx="47">
                  <c:v>0</c:v>
                </c:pt>
                <c:pt idx="48">
                  <c:v>50</c:v>
                </c:pt>
                <c:pt idx="49">
                  <c:v>0</c:v>
                </c:pt>
                <c:pt idx="50">
                  <c:v>50</c:v>
                </c:pt>
                <c:pt idx="51">
                  <c:v>0</c:v>
                </c:pt>
                <c:pt idx="52">
                  <c:v>50</c:v>
                </c:pt>
                <c:pt idx="53">
                  <c:v>0</c:v>
                </c:pt>
                <c:pt idx="54">
                  <c:v>50</c:v>
                </c:pt>
                <c:pt idx="55">
                  <c:v>0</c:v>
                </c:pt>
                <c:pt idx="56">
                  <c:v>50</c:v>
                </c:pt>
                <c:pt idx="57">
                  <c:v>0</c:v>
                </c:pt>
                <c:pt idx="58">
                  <c:v>50</c:v>
                </c:pt>
                <c:pt idx="59">
                  <c:v>0</c:v>
                </c:pt>
                <c:pt idx="60">
                  <c:v>50</c:v>
                </c:pt>
                <c:pt idx="61">
                  <c:v>0</c:v>
                </c:pt>
                <c:pt idx="62">
                  <c:v>50</c:v>
                </c:pt>
                <c:pt idx="63">
                  <c:v>0</c:v>
                </c:pt>
                <c:pt idx="64">
                  <c:v>50</c:v>
                </c:pt>
                <c:pt idx="65">
                  <c:v>0</c:v>
                </c:pt>
                <c:pt idx="66">
                  <c:v>50</c:v>
                </c:pt>
                <c:pt idx="67">
                  <c:v>0</c:v>
                </c:pt>
                <c:pt idx="68">
                  <c:v>50</c:v>
                </c:pt>
                <c:pt idx="69">
                  <c:v>0</c:v>
                </c:pt>
                <c:pt idx="70">
                  <c:v>50</c:v>
                </c:pt>
                <c:pt idx="71">
                  <c:v>0</c:v>
                </c:pt>
                <c:pt idx="72">
                  <c:v>50</c:v>
                </c:pt>
                <c:pt idx="73">
                  <c:v>0</c:v>
                </c:pt>
                <c:pt idx="74">
                  <c:v>50</c:v>
                </c:pt>
                <c:pt idx="75">
                  <c:v>0</c:v>
                </c:pt>
                <c:pt idx="76">
                  <c:v>50</c:v>
                </c:pt>
                <c:pt idx="77">
                  <c:v>0</c:v>
                </c:pt>
                <c:pt idx="78">
                  <c:v>50</c:v>
                </c:pt>
                <c:pt idx="79">
                  <c:v>0</c:v>
                </c:pt>
                <c:pt idx="80">
                  <c:v>50</c:v>
                </c:pt>
                <c:pt idx="81">
                  <c:v>0</c:v>
                </c:pt>
                <c:pt idx="82">
                  <c:v>50</c:v>
                </c:pt>
                <c:pt idx="83">
                  <c:v>0</c:v>
                </c:pt>
                <c:pt idx="84">
                  <c:v>50</c:v>
                </c:pt>
                <c:pt idx="85">
                  <c:v>0</c:v>
                </c:pt>
                <c:pt idx="86">
                  <c:v>50</c:v>
                </c:pt>
                <c:pt idx="87">
                  <c:v>0</c:v>
                </c:pt>
                <c:pt idx="88">
                  <c:v>50</c:v>
                </c:pt>
                <c:pt idx="89">
                  <c:v>0</c:v>
                </c:pt>
                <c:pt idx="90">
                  <c:v>50</c:v>
                </c:pt>
                <c:pt idx="91">
                  <c:v>0</c:v>
                </c:pt>
                <c:pt idx="92">
                  <c:v>50</c:v>
                </c:pt>
                <c:pt idx="93">
                  <c:v>0</c:v>
                </c:pt>
                <c:pt idx="94">
                  <c:v>50</c:v>
                </c:pt>
                <c:pt idx="95">
                  <c:v>0</c:v>
                </c:pt>
                <c:pt idx="96">
                  <c:v>50</c:v>
                </c:pt>
                <c:pt idx="97">
                  <c:v>0</c:v>
                </c:pt>
                <c:pt idx="98">
                  <c:v>50</c:v>
                </c:pt>
                <c:pt idx="99">
                  <c:v>0</c:v>
                </c:pt>
                <c:pt idx="100">
                  <c:v>50</c:v>
                </c:pt>
                <c:pt idx="101">
                  <c:v>0</c:v>
                </c:pt>
                <c:pt idx="102">
                  <c:v>50</c:v>
                </c:pt>
                <c:pt idx="103">
                  <c:v>0</c:v>
                </c:pt>
                <c:pt idx="104">
                  <c:v>50</c:v>
                </c:pt>
                <c:pt idx="105">
                  <c:v>0</c:v>
                </c:pt>
                <c:pt idx="106">
                  <c:v>50</c:v>
                </c:pt>
                <c:pt idx="107">
                  <c:v>0</c:v>
                </c:pt>
                <c:pt idx="108">
                  <c:v>50</c:v>
                </c:pt>
                <c:pt idx="109">
                  <c:v>0</c:v>
                </c:pt>
                <c:pt idx="110">
                  <c:v>50</c:v>
                </c:pt>
                <c:pt idx="111">
                  <c:v>0</c:v>
                </c:pt>
                <c:pt idx="112">
                  <c:v>50</c:v>
                </c:pt>
                <c:pt idx="113">
                  <c:v>0</c:v>
                </c:pt>
                <c:pt idx="114">
                  <c:v>50</c:v>
                </c:pt>
                <c:pt idx="115">
                  <c:v>0</c:v>
                </c:pt>
                <c:pt idx="116">
                  <c:v>50</c:v>
                </c:pt>
                <c:pt idx="117">
                  <c:v>0</c:v>
                </c:pt>
                <c:pt idx="118">
                  <c:v>50</c:v>
                </c:pt>
                <c:pt idx="119">
                  <c:v>0</c:v>
                </c:pt>
                <c:pt idx="120">
                  <c:v>50</c:v>
                </c:pt>
                <c:pt idx="121">
                  <c:v>0</c:v>
                </c:pt>
                <c:pt idx="122">
                  <c:v>50</c:v>
                </c:pt>
                <c:pt idx="123">
                  <c:v>0</c:v>
                </c:pt>
                <c:pt idx="124">
                  <c:v>50</c:v>
                </c:pt>
                <c:pt idx="125">
                  <c:v>0</c:v>
                </c:pt>
                <c:pt idx="126">
                  <c:v>50</c:v>
                </c:pt>
                <c:pt idx="127">
                  <c:v>0</c:v>
                </c:pt>
                <c:pt idx="128">
                  <c:v>50</c:v>
                </c:pt>
                <c:pt idx="129">
                  <c:v>0</c:v>
                </c:pt>
                <c:pt idx="130">
                  <c:v>50</c:v>
                </c:pt>
                <c:pt idx="131">
                  <c:v>0</c:v>
                </c:pt>
                <c:pt idx="132">
                  <c:v>50</c:v>
                </c:pt>
                <c:pt idx="133">
                  <c:v>0</c:v>
                </c:pt>
                <c:pt idx="134">
                  <c:v>50</c:v>
                </c:pt>
                <c:pt idx="135">
                  <c:v>0</c:v>
                </c:pt>
                <c:pt idx="136">
                  <c:v>50</c:v>
                </c:pt>
                <c:pt idx="137">
                  <c:v>0</c:v>
                </c:pt>
                <c:pt idx="138">
                  <c:v>50</c:v>
                </c:pt>
                <c:pt idx="139">
                  <c:v>0</c:v>
                </c:pt>
                <c:pt idx="140">
                  <c:v>50</c:v>
                </c:pt>
                <c:pt idx="141">
                  <c:v>0</c:v>
                </c:pt>
                <c:pt idx="142">
                  <c:v>50</c:v>
                </c:pt>
                <c:pt idx="143">
                  <c:v>0</c:v>
                </c:pt>
                <c:pt idx="144">
                  <c:v>50</c:v>
                </c:pt>
                <c:pt idx="145">
                  <c:v>0</c:v>
                </c:pt>
                <c:pt idx="146">
                  <c:v>50</c:v>
                </c:pt>
                <c:pt idx="147">
                  <c:v>0</c:v>
                </c:pt>
                <c:pt idx="148">
                  <c:v>50</c:v>
                </c:pt>
                <c:pt idx="149">
                  <c:v>0</c:v>
                </c:pt>
                <c:pt idx="150">
                  <c:v>50</c:v>
                </c:pt>
                <c:pt idx="151">
                  <c:v>0</c:v>
                </c:pt>
                <c:pt idx="152">
                  <c:v>50</c:v>
                </c:pt>
                <c:pt idx="153">
                  <c:v>0</c:v>
                </c:pt>
                <c:pt idx="154">
                  <c:v>50</c:v>
                </c:pt>
                <c:pt idx="155">
                  <c:v>0</c:v>
                </c:pt>
                <c:pt idx="156">
                  <c:v>50</c:v>
                </c:pt>
                <c:pt idx="157">
                  <c:v>0</c:v>
                </c:pt>
                <c:pt idx="158">
                  <c:v>50</c:v>
                </c:pt>
                <c:pt idx="159">
                  <c:v>0</c:v>
                </c:pt>
                <c:pt idx="160">
                  <c:v>50</c:v>
                </c:pt>
                <c:pt idx="161">
                  <c:v>0</c:v>
                </c:pt>
                <c:pt idx="162">
                  <c:v>50</c:v>
                </c:pt>
                <c:pt idx="163">
                  <c:v>0</c:v>
                </c:pt>
                <c:pt idx="164">
                  <c:v>50</c:v>
                </c:pt>
                <c:pt idx="165">
                  <c:v>0</c:v>
                </c:pt>
                <c:pt idx="166">
                  <c:v>50</c:v>
                </c:pt>
                <c:pt idx="167">
                  <c:v>0</c:v>
                </c:pt>
                <c:pt idx="168">
                  <c:v>50</c:v>
                </c:pt>
                <c:pt idx="169">
                  <c:v>0</c:v>
                </c:pt>
                <c:pt idx="170">
                  <c:v>50</c:v>
                </c:pt>
                <c:pt idx="171">
                  <c:v>0</c:v>
                </c:pt>
                <c:pt idx="172">
                  <c:v>50</c:v>
                </c:pt>
                <c:pt idx="173">
                  <c:v>0</c:v>
                </c:pt>
                <c:pt idx="174">
                  <c:v>50</c:v>
                </c:pt>
                <c:pt idx="175">
                  <c:v>0</c:v>
                </c:pt>
                <c:pt idx="176">
                  <c:v>50</c:v>
                </c:pt>
                <c:pt idx="177">
                  <c:v>0</c:v>
                </c:pt>
                <c:pt idx="178">
                  <c:v>50</c:v>
                </c:pt>
                <c:pt idx="179">
                  <c:v>0</c:v>
                </c:pt>
                <c:pt idx="180">
                  <c:v>50</c:v>
                </c:pt>
                <c:pt idx="181">
                  <c:v>0</c:v>
                </c:pt>
                <c:pt idx="182">
                  <c:v>50</c:v>
                </c:pt>
                <c:pt idx="183">
                  <c:v>0</c:v>
                </c:pt>
                <c:pt idx="184">
                  <c:v>50</c:v>
                </c:pt>
                <c:pt idx="185">
                  <c:v>0</c:v>
                </c:pt>
                <c:pt idx="186">
                  <c:v>50</c:v>
                </c:pt>
                <c:pt idx="187">
                  <c:v>0</c:v>
                </c:pt>
                <c:pt idx="188">
                  <c:v>50</c:v>
                </c:pt>
                <c:pt idx="189">
                  <c:v>0</c:v>
                </c:pt>
                <c:pt idx="190">
                  <c:v>50</c:v>
                </c:pt>
                <c:pt idx="191">
                  <c:v>0</c:v>
                </c:pt>
                <c:pt idx="192">
                  <c:v>50</c:v>
                </c:pt>
                <c:pt idx="193">
                  <c:v>0</c:v>
                </c:pt>
                <c:pt idx="194">
                  <c:v>50</c:v>
                </c:pt>
                <c:pt idx="195">
                  <c:v>0</c:v>
                </c:pt>
                <c:pt idx="196">
                  <c:v>50</c:v>
                </c:pt>
                <c:pt idx="197">
                  <c:v>0</c:v>
                </c:pt>
                <c:pt idx="198">
                  <c:v>50</c:v>
                </c:pt>
                <c:pt idx="199">
                  <c:v>0</c:v>
                </c:pt>
                <c:pt idx="200">
                  <c:v>50</c:v>
                </c:pt>
                <c:pt idx="201">
                  <c:v>0</c:v>
                </c:pt>
                <c:pt idx="202">
                  <c:v>50</c:v>
                </c:pt>
                <c:pt idx="203">
                  <c:v>0</c:v>
                </c:pt>
                <c:pt idx="204">
                  <c:v>50</c:v>
                </c:pt>
                <c:pt idx="205">
                  <c:v>0</c:v>
                </c:pt>
                <c:pt idx="206">
                  <c:v>50</c:v>
                </c:pt>
                <c:pt idx="207">
                  <c:v>0</c:v>
                </c:pt>
                <c:pt idx="208">
                  <c:v>50</c:v>
                </c:pt>
                <c:pt idx="209">
                  <c:v>0</c:v>
                </c:pt>
                <c:pt idx="210">
                  <c:v>50</c:v>
                </c:pt>
                <c:pt idx="211">
                  <c:v>0</c:v>
                </c:pt>
                <c:pt idx="212">
                  <c:v>50</c:v>
                </c:pt>
                <c:pt idx="213">
                  <c:v>0</c:v>
                </c:pt>
                <c:pt idx="214">
                  <c:v>50</c:v>
                </c:pt>
                <c:pt idx="215">
                  <c:v>0</c:v>
                </c:pt>
                <c:pt idx="216">
                  <c:v>50</c:v>
                </c:pt>
                <c:pt idx="217">
                  <c:v>0</c:v>
                </c:pt>
                <c:pt idx="218">
                  <c:v>50</c:v>
                </c:pt>
                <c:pt idx="219">
                  <c:v>0</c:v>
                </c:pt>
                <c:pt idx="220">
                  <c:v>50</c:v>
                </c:pt>
                <c:pt idx="221">
                  <c:v>0</c:v>
                </c:pt>
                <c:pt idx="222">
                  <c:v>50</c:v>
                </c:pt>
                <c:pt idx="223">
                  <c:v>0</c:v>
                </c:pt>
                <c:pt idx="224">
                  <c:v>50</c:v>
                </c:pt>
                <c:pt idx="225">
                  <c:v>0</c:v>
                </c:pt>
                <c:pt idx="226">
                  <c:v>50</c:v>
                </c:pt>
                <c:pt idx="227">
                  <c:v>0</c:v>
                </c:pt>
                <c:pt idx="228">
                  <c:v>50</c:v>
                </c:pt>
                <c:pt idx="229">
                  <c:v>0</c:v>
                </c:pt>
                <c:pt idx="230">
                  <c:v>50</c:v>
                </c:pt>
                <c:pt idx="231">
                  <c:v>0</c:v>
                </c:pt>
                <c:pt idx="232">
                  <c:v>50</c:v>
                </c:pt>
                <c:pt idx="233">
                  <c:v>0</c:v>
                </c:pt>
                <c:pt idx="234">
                  <c:v>50</c:v>
                </c:pt>
                <c:pt idx="235">
                  <c:v>0</c:v>
                </c:pt>
                <c:pt idx="236">
                  <c:v>50</c:v>
                </c:pt>
                <c:pt idx="237">
                  <c:v>0</c:v>
                </c:pt>
                <c:pt idx="238">
                  <c:v>50</c:v>
                </c:pt>
                <c:pt idx="239">
                  <c:v>0</c:v>
                </c:pt>
                <c:pt idx="240">
                  <c:v>50</c:v>
                </c:pt>
                <c:pt idx="241">
                  <c:v>0</c:v>
                </c:pt>
                <c:pt idx="242">
                  <c:v>50</c:v>
                </c:pt>
                <c:pt idx="243">
                  <c:v>0</c:v>
                </c:pt>
                <c:pt idx="244">
                  <c:v>50</c:v>
                </c:pt>
                <c:pt idx="245">
                  <c:v>0</c:v>
                </c:pt>
                <c:pt idx="246">
                  <c:v>50</c:v>
                </c:pt>
                <c:pt idx="247">
                  <c:v>0</c:v>
                </c:pt>
                <c:pt idx="248">
                  <c:v>50</c:v>
                </c:pt>
                <c:pt idx="249">
                  <c:v>0</c:v>
                </c:pt>
                <c:pt idx="250">
                  <c:v>50</c:v>
                </c:pt>
                <c:pt idx="251">
                  <c:v>0</c:v>
                </c:pt>
                <c:pt idx="252">
                  <c:v>50</c:v>
                </c:pt>
                <c:pt idx="253">
                  <c:v>0</c:v>
                </c:pt>
                <c:pt idx="254">
                  <c:v>50</c:v>
                </c:pt>
                <c:pt idx="255">
                  <c:v>0</c:v>
                </c:pt>
                <c:pt idx="256">
                  <c:v>50</c:v>
                </c:pt>
                <c:pt idx="257">
                  <c:v>0</c:v>
                </c:pt>
                <c:pt idx="258">
                  <c:v>50</c:v>
                </c:pt>
                <c:pt idx="259">
                  <c:v>0</c:v>
                </c:pt>
                <c:pt idx="260">
                  <c:v>50</c:v>
                </c:pt>
                <c:pt idx="261">
                  <c:v>0</c:v>
                </c:pt>
                <c:pt idx="262">
                  <c:v>50</c:v>
                </c:pt>
                <c:pt idx="263">
                  <c:v>0</c:v>
                </c:pt>
                <c:pt idx="264">
                  <c:v>50</c:v>
                </c:pt>
                <c:pt idx="265">
                  <c:v>0</c:v>
                </c:pt>
                <c:pt idx="266">
                  <c:v>50</c:v>
                </c:pt>
                <c:pt idx="267">
                  <c:v>0</c:v>
                </c:pt>
                <c:pt idx="268">
                  <c:v>50</c:v>
                </c:pt>
                <c:pt idx="269">
                  <c:v>0</c:v>
                </c:pt>
                <c:pt idx="270">
                  <c:v>50</c:v>
                </c:pt>
                <c:pt idx="271">
                  <c:v>0</c:v>
                </c:pt>
                <c:pt idx="272">
                  <c:v>50</c:v>
                </c:pt>
                <c:pt idx="273">
                  <c:v>0</c:v>
                </c:pt>
                <c:pt idx="274">
                  <c:v>50</c:v>
                </c:pt>
                <c:pt idx="275">
                  <c:v>0</c:v>
                </c:pt>
                <c:pt idx="276">
                  <c:v>50</c:v>
                </c:pt>
                <c:pt idx="277">
                  <c:v>0</c:v>
                </c:pt>
                <c:pt idx="278">
                  <c:v>50</c:v>
                </c:pt>
                <c:pt idx="279">
                  <c:v>0</c:v>
                </c:pt>
                <c:pt idx="280">
                  <c:v>50</c:v>
                </c:pt>
                <c:pt idx="281">
                  <c:v>0</c:v>
                </c:pt>
                <c:pt idx="282">
                  <c:v>50</c:v>
                </c:pt>
                <c:pt idx="283">
                  <c:v>0</c:v>
                </c:pt>
                <c:pt idx="284">
                  <c:v>50</c:v>
                </c:pt>
                <c:pt idx="285">
                  <c:v>0</c:v>
                </c:pt>
                <c:pt idx="286">
                  <c:v>50</c:v>
                </c:pt>
                <c:pt idx="287">
                  <c:v>0</c:v>
                </c:pt>
                <c:pt idx="288">
                  <c:v>50</c:v>
                </c:pt>
                <c:pt idx="289">
                  <c:v>0</c:v>
                </c:pt>
                <c:pt idx="290">
                  <c:v>50</c:v>
                </c:pt>
                <c:pt idx="291">
                  <c:v>0</c:v>
                </c:pt>
                <c:pt idx="292">
                  <c:v>50</c:v>
                </c:pt>
                <c:pt idx="293">
                  <c:v>0</c:v>
                </c:pt>
                <c:pt idx="294">
                  <c:v>50</c:v>
                </c:pt>
                <c:pt idx="295">
                  <c:v>0</c:v>
                </c:pt>
                <c:pt idx="296">
                  <c:v>50</c:v>
                </c:pt>
                <c:pt idx="297">
                  <c:v>0</c:v>
                </c:pt>
                <c:pt idx="298">
                  <c:v>50</c:v>
                </c:pt>
                <c:pt idx="299">
                  <c:v>0</c:v>
                </c:pt>
                <c:pt idx="300">
                  <c:v>50</c:v>
                </c:pt>
                <c:pt idx="301">
                  <c:v>0</c:v>
                </c:pt>
                <c:pt idx="302">
                  <c:v>50</c:v>
                </c:pt>
                <c:pt idx="303">
                  <c:v>0</c:v>
                </c:pt>
                <c:pt idx="304">
                  <c:v>50</c:v>
                </c:pt>
                <c:pt idx="305">
                  <c:v>0</c:v>
                </c:pt>
                <c:pt idx="306">
                  <c:v>50</c:v>
                </c:pt>
                <c:pt idx="307">
                  <c:v>0</c:v>
                </c:pt>
                <c:pt idx="308">
                  <c:v>50</c:v>
                </c:pt>
                <c:pt idx="309">
                  <c:v>0</c:v>
                </c:pt>
                <c:pt idx="310">
                  <c:v>50</c:v>
                </c:pt>
                <c:pt idx="311">
                  <c:v>0</c:v>
                </c:pt>
                <c:pt idx="312">
                  <c:v>50</c:v>
                </c:pt>
                <c:pt idx="313">
                  <c:v>0</c:v>
                </c:pt>
                <c:pt idx="314">
                  <c:v>50</c:v>
                </c:pt>
                <c:pt idx="315">
                  <c:v>0</c:v>
                </c:pt>
                <c:pt idx="316">
                  <c:v>50</c:v>
                </c:pt>
                <c:pt idx="317">
                  <c:v>0</c:v>
                </c:pt>
                <c:pt idx="318">
                  <c:v>50</c:v>
                </c:pt>
                <c:pt idx="319">
                  <c:v>0</c:v>
                </c:pt>
                <c:pt idx="320">
                  <c:v>50</c:v>
                </c:pt>
                <c:pt idx="321">
                  <c:v>0</c:v>
                </c:pt>
                <c:pt idx="322">
                  <c:v>50</c:v>
                </c:pt>
                <c:pt idx="323">
                  <c:v>0</c:v>
                </c:pt>
                <c:pt idx="324">
                  <c:v>50</c:v>
                </c:pt>
                <c:pt idx="325">
                  <c:v>0</c:v>
                </c:pt>
                <c:pt idx="326">
                  <c:v>50</c:v>
                </c:pt>
                <c:pt idx="327">
                  <c:v>0</c:v>
                </c:pt>
                <c:pt idx="328">
                  <c:v>50</c:v>
                </c:pt>
                <c:pt idx="329">
                  <c:v>0</c:v>
                </c:pt>
                <c:pt idx="330">
                  <c:v>50</c:v>
                </c:pt>
                <c:pt idx="331">
                  <c:v>0</c:v>
                </c:pt>
                <c:pt idx="332">
                  <c:v>50</c:v>
                </c:pt>
                <c:pt idx="333">
                  <c:v>0</c:v>
                </c:pt>
                <c:pt idx="334">
                  <c:v>50</c:v>
                </c:pt>
                <c:pt idx="335">
                  <c:v>0</c:v>
                </c:pt>
                <c:pt idx="336">
                  <c:v>50</c:v>
                </c:pt>
                <c:pt idx="337">
                  <c:v>0</c:v>
                </c:pt>
                <c:pt idx="338">
                  <c:v>50</c:v>
                </c:pt>
                <c:pt idx="339">
                  <c:v>0</c:v>
                </c:pt>
                <c:pt idx="340">
                  <c:v>50</c:v>
                </c:pt>
                <c:pt idx="341">
                  <c:v>0</c:v>
                </c:pt>
                <c:pt idx="342">
                  <c:v>50</c:v>
                </c:pt>
                <c:pt idx="343">
                  <c:v>0</c:v>
                </c:pt>
                <c:pt idx="344">
                  <c:v>50</c:v>
                </c:pt>
                <c:pt idx="345">
                  <c:v>0</c:v>
                </c:pt>
                <c:pt idx="346">
                  <c:v>50</c:v>
                </c:pt>
                <c:pt idx="347">
                  <c:v>0</c:v>
                </c:pt>
                <c:pt idx="348">
                  <c:v>50</c:v>
                </c:pt>
                <c:pt idx="349">
                  <c:v>0</c:v>
                </c:pt>
                <c:pt idx="350">
                  <c:v>50</c:v>
                </c:pt>
                <c:pt idx="351">
                  <c:v>0</c:v>
                </c:pt>
                <c:pt idx="352">
                  <c:v>50</c:v>
                </c:pt>
                <c:pt idx="353">
                  <c:v>0</c:v>
                </c:pt>
                <c:pt idx="354">
                  <c:v>50</c:v>
                </c:pt>
                <c:pt idx="355">
                  <c:v>0</c:v>
                </c:pt>
                <c:pt idx="356">
                  <c:v>50</c:v>
                </c:pt>
                <c:pt idx="357">
                  <c:v>0</c:v>
                </c:pt>
                <c:pt idx="358">
                  <c:v>50</c:v>
                </c:pt>
                <c:pt idx="359">
                  <c:v>0</c:v>
                </c:pt>
                <c:pt idx="360">
                  <c:v>50</c:v>
                </c:pt>
                <c:pt idx="361">
                  <c:v>0</c:v>
                </c:pt>
                <c:pt idx="362">
                  <c:v>50</c:v>
                </c:pt>
                <c:pt idx="363">
                  <c:v>0</c:v>
                </c:pt>
                <c:pt idx="364">
                  <c:v>50</c:v>
                </c:pt>
                <c:pt idx="365">
                  <c:v>0</c:v>
                </c:pt>
                <c:pt idx="366">
                  <c:v>50</c:v>
                </c:pt>
                <c:pt idx="367">
                  <c:v>0</c:v>
                </c:pt>
                <c:pt idx="368">
                  <c:v>50</c:v>
                </c:pt>
                <c:pt idx="369">
                  <c:v>0</c:v>
                </c:pt>
                <c:pt idx="370">
                  <c:v>50</c:v>
                </c:pt>
                <c:pt idx="371">
                  <c:v>0</c:v>
                </c:pt>
                <c:pt idx="372">
                  <c:v>50</c:v>
                </c:pt>
                <c:pt idx="373">
                  <c:v>0</c:v>
                </c:pt>
                <c:pt idx="374">
                  <c:v>50</c:v>
                </c:pt>
                <c:pt idx="375">
                  <c:v>0</c:v>
                </c:pt>
                <c:pt idx="376">
                  <c:v>50</c:v>
                </c:pt>
                <c:pt idx="377">
                  <c:v>0</c:v>
                </c:pt>
                <c:pt idx="378">
                  <c:v>50</c:v>
                </c:pt>
                <c:pt idx="379">
                  <c:v>0</c:v>
                </c:pt>
                <c:pt idx="380">
                  <c:v>50</c:v>
                </c:pt>
                <c:pt idx="381">
                  <c:v>0</c:v>
                </c:pt>
                <c:pt idx="382">
                  <c:v>50</c:v>
                </c:pt>
                <c:pt idx="383">
                  <c:v>0</c:v>
                </c:pt>
                <c:pt idx="384">
                  <c:v>50</c:v>
                </c:pt>
                <c:pt idx="385">
                  <c:v>0</c:v>
                </c:pt>
                <c:pt idx="386">
                  <c:v>50</c:v>
                </c:pt>
                <c:pt idx="387">
                  <c:v>0</c:v>
                </c:pt>
                <c:pt idx="388">
                  <c:v>50</c:v>
                </c:pt>
                <c:pt idx="389">
                  <c:v>0</c:v>
                </c:pt>
                <c:pt idx="390">
                  <c:v>50</c:v>
                </c:pt>
                <c:pt idx="391">
                  <c:v>0</c:v>
                </c:pt>
                <c:pt idx="392">
                  <c:v>50</c:v>
                </c:pt>
                <c:pt idx="393">
                  <c:v>0</c:v>
                </c:pt>
                <c:pt idx="394">
                  <c:v>50</c:v>
                </c:pt>
                <c:pt idx="395">
                  <c:v>0</c:v>
                </c:pt>
                <c:pt idx="396">
                  <c:v>50</c:v>
                </c:pt>
                <c:pt idx="397">
                  <c:v>0</c:v>
                </c:pt>
                <c:pt idx="398">
                  <c:v>50</c:v>
                </c:pt>
                <c:pt idx="399">
                  <c:v>0</c:v>
                </c:pt>
                <c:pt idx="400">
                  <c:v>50</c:v>
                </c:pt>
                <c:pt idx="401">
                  <c:v>0</c:v>
                </c:pt>
                <c:pt idx="402">
                  <c:v>50</c:v>
                </c:pt>
                <c:pt idx="403">
                  <c:v>0</c:v>
                </c:pt>
                <c:pt idx="404">
                  <c:v>50</c:v>
                </c:pt>
                <c:pt idx="405">
                  <c:v>0</c:v>
                </c:pt>
                <c:pt idx="406">
                  <c:v>50</c:v>
                </c:pt>
                <c:pt idx="407">
                  <c:v>0</c:v>
                </c:pt>
                <c:pt idx="408">
                  <c:v>50</c:v>
                </c:pt>
                <c:pt idx="409">
                  <c:v>0</c:v>
                </c:pt>
                <c:pt idx="410">
                  <c:v>50</c:v>
                </c:pt>
                <c:pt idx="411">
                  <c:v>0</c:v>
                </c:pt>
                <c:pt idx="412">
                  <c:v>50</c:v>
                </c:pt>
                <c:pt idx="413">
                  <c:v>0</c:v>
                </c:pt>
                <c:pt idx="414">
                  <c:v>50</c:v>
                </c:pt>
                <c:pt idx="415">
                  <c:v>0</c:v>
                </c:pt>
                <c:pt idx="416">
                  <c:v>50</c:v>
                </c:pt>
                <c:pt idx="417">
                  <c:v>0</c:v>
                </c:pt>
                <c:pt idx="418">
                  <c:v>50</c:v>
                </c:pt>
                <c:pt idx="419">
                  <c:v>0</c:v>
                </c:pt>
                <c:pt idx="420">
                  <c:v>50</c:v>
                </c:pt>
                <c:pt idx="421">
                  <c:v>0</c:v>
                </c:pt>
                <c:pt idx="422">
                  <c:v>50</c:v>
                </c:pt>
                <c:pt idx="423">
                  <c:v>0</c:v>
                </c:pt>
                <c:pt idx="424">
                  <c:v>50</c:v>
                </c:pt>
                <c:pt idx="425">
                  <c:v>0</c:v>
                </c:pt>
                <c:pt idx="426">
                  <c:v>50</c:v>
                </c:pt>
                <c:pt idx="427">
                  <c:v>0</c:v>
                </c:pt>
                <c:pt idx="428">
                  <c:v>50</c:v>
                </c:pt>
                <c:pt idx="429">
                  <c:v>0</c:v>
                </c:pt>
                <c:pt idx="430">
                  <c:v>50</c:v>
                </c:pt>
                <c:pt idx="431">
                  <c:v>0</c:v>
                </c:pt>
                <c:pt idx="432">
                  <c:v>50</c:v>
                </c:pt>
                <c:pt idx="433">
                  <c:v>0</c:v>
                </c:pt>
                <c:pt idx="434">
                  <c:v>50</c:v>
                </c:pt>
                <c:pt idx="435">
                  <c:v>0</c:v>
                </c:pt>
                <c:pt idx="436">
                  <c:v>50</c:v>
                </c:pt>
                <c:pt idx="437">
                  <c:v>0</c:v>
                </c:pt>
                <c:pt idx="438">
                  <c:v>50</c:v>
                </c:pt>
                <c:pt idx="439">
                  <c:v>0</c:v>
                </c:pt>
                <c:pt idx="440">
                  <c:v>50</c:v>
                </c:pt>
                <c:pt idx="441">
                  <c:v>0</c:v>
                </c:pt>
                <c:pt idx="442">
                  <c:v>50</c:v>
                </c:pt>
                <c:pt idx="443">
                  <c:v>0</c:v>
                </c:pt>
                <c:pt idx="444">
                  <c:v>50</c:v>
                </c:pt>
                <c:pt idx="445">
                  <c:v>0</c:v>
                </c:pt>
                <c:pt idx="446">
                  <c:v>50</c:v>
                </c:pt>
                <c:pt idx="447">
                  <c:v>0</c:v>
                </c:pt>
                <c:pt idx="448">
                  <c:v>50</c:v>
                </c:pt>
                <c:pt idx="449">
                  <c:v>0</c:v>
                </c:pt>
                <c:pt idx="450">
                  <c:v>50</c:v>
                </c:pt>
                <c:pt idx="451">
                  <c:v>0</c:v>
                </c:pt>
                <c:pt idx="452">
                  <c:v>50</c:v>
                </c:pt>
                <c:pt idx="453">
                  <c:v>0</c:v>
                </c:pt>
                <c:pt idx="454">
                  <c:v>50</c:v>
                </c:pt>
                <c:pt idx="455">
                  <c:v>0</c:v>
                </c:pt>
                <c:pt idx="456">
                  <c:v>50</c:v>
                </c:pt>
                <c:pt idx="457">
                  <c:v>0</c:v>
                </c:pt>
                <c:pt idx="458">
                  <c:v>50</c:v>
                </c:pt>
                <c:pt idx="459">
                  <c:v>0</c:v>
                </c:pt>
                <c:pt idx="460">
                  <c:v>50</c:v>
                </c:pt>
                <c:pt idx="461">
                  <c:v>0</c:v>
                </c:pt>
                <c:pt idx="462">
                  <c:v>50</c:v>
                </c:pt>
                <c:pt idx="463">
                  <c:v>0</c:v>
                </c:pt>
                <c:pt idx="464">
                  <c:v>50</c:v>
                </c:pt>
                <c:pt idx="465">
                  <c:v>0</c:v>
                </c:pt>
                <c:pt idx="466">
                  <c:v>50</c:v>
                </c:pt>
                <c:pt idx="467">
                  <c:v>0</c:v>
                </c:pt>
                <c:pt idx="468">
                  <c:v>50</c:v>
                </c:pt>
                <c:pt idx="469">
                  <c:v>0</c:v>
                </c:pt>
                <c:pt idx="470">
                  <c:v>50</c:v>
                </c:pt>
                <c:pt idx="471">
                  <c:v>0</c:v>
                </c:pt>
                <c:pt idx="472">
                  <c:v>50</c:v>
                </c:pt>
                <c:pt idx="473">
                  <c:v>0</c:v>
                </c:pt>
                <c:pt idx="474">
                  <c:v>50</c:v>
                </c:pt>
                <c:pt idx="475">
                  <c:v>0</c:v>
                </c:pt>
                <c:pt idx="476">
                  <c:v>50</c:v>
                </c:pt>
                <c:pt idx="477">
                  <c:v>0</c:v>
                </c:pt>
                <c:pt idx="478">
                  <c:v>50</c:v>
                </c:pt>
                <c:pt idx="479">
                  <c:v>0</c:v>
                </c:pt>
                <c:pt idx="480">
                  <c:v>50</c:v>
                </c:pt>
                <c:pt idx="481">
                  <c:v>0</c:v>
                </c:pt>
                <c:pt idx="482">
                  <c:v>50</c:v>
                </c:pt>
                <c:pt idx="483">
                  <c:v>0</c:v>
                </c:pt>
                <c:pt idx="484">
                  <c:v>50</c:v>
                </c:pt>
                <c:pt idx="485">
                  <c:v>0</c:v>
                </c:pt>
                <c:pt idx="486">
                  <c:v>50</c:v>
                </c:pt>
                <c:pt idx="487">
                  <c:v>0</c:v>
                </c:pt>
                <c:pt idx="488">
                  <c:v>50</c:v>
                </c:pt>
                <c:pt idx="489">
                  <c:v>0</c:v>
                </c:pt>
                <c:pt idx="490">
                  <c:v>50</c:v>
                </c:pt>
                <c:pt idx="491">
                  <c:v>0</c:v>
                </c:pt>
                <c:pt idx="492">
                  <c:v>50</c:v>
                </c:pt>
                <c:pt idx="493">
                  <c:v>0</c:v>
                </c:pt>
                <c:pt idx="494">
                  <c:v>50</c:v>
                </c:pt>
                <c:pt idx="495">
                  <c:v>0</c:v>
                </c:pt>
                <c:pt idx="496">
                  <c:v>50</c:v>
                </c:pt>
                <c:pt idx="497">
                  <c:v>0</c:v>
                </c:pt>
                <c:pt idx="498">
                  <c:v>50</c:v>
                </c:pt>
                <c:pt idx="499">
                  <c:v>0</c:v>
                </c:pt>
                <c:pt idx="500">
                  <c:v>50</c:v>
                </c:pt>
                <c:pt idx="501">
                  <c:v>0</c:v>
                </c:pt>
                <c:pt idx="502">
                  <c:v>50</c:v>
                </c:pt>
                <c:pt idx="503">
                  <c:v>0</c:v>
                </c:pt>
                <c:pt idx="504">
                  <c:v>50</c:v>
                </c:pt>
                <c:pt idx="505">
                  <c:v>0</c:v>
                </c:pt>
                <c:pt idx="506">
                  <c:v>50</c:v>
                </c:pt>
                <c:pt idx="507">
                  <c:v>0</c:v>
                </c:pt>
                <c:pt idx="508">
                  <c:v>50</c:v>
                </c:pt>
                <c:pt idx="509">
                  <c:v>0</c:v>
                </c:pt>
                <c:pt idx="510">
                  <c:v>50</c:v>
                </c:pt>
                <c:pt idx="511">
                  <c:v>0</c:v>
                </c:pt>
                <c:pt idx="512">
                  <c:v>50</c:v>
                </c:pt>
                <c:pt idx="513">
                  <c:v>0</c:v>
                </c:pt>
                <c:pt idx="514">
                  <c:v>50</c:v>
                </c:pt>
                <c:pt idx="515">
                  <c:v>0</c:v>
                </c:pt>
                <c:pt idx="516">
                  <c:v>50</c:v>
                </c:pt>
                <c:pt idx="517">
                  <c:v>0</c:v>
                </c:pt>
                <c:pt idx="518">
                  <c:v>50</c:v>
                </c:pt>
                <c:pt idx="519">
                  <c:v>0</c:v>
                </c:pt>
                <c:pt idx="520">
                  <c:v>50</c:v>
                </c:pt>
                <c:pt idx="521">
                  <c:v>0</c:v>
                </c:pt>
                <c:pt idx="522">
                  <c:v>50</c:v>
                </c:pt>
                <c:pt idx="523">
                  <c:v>0</c:v>
                </c:pt>
                <c:pt idx="524">
                  <c:v>50</c:v>
                </c:pt>
                <c:pt idx="525">
                  <c:v>0</c:v>
                </c:pt>
                <c:pt idx="526">
                  <c:v>50</c:v>
                </c:pt>
                <c:pt idx="527">
                  <c:v>0</c:v>
                </c:pt>
                <c:pt idx="528">
                  <c:v>50</c:v>
                </c:pt>
                <c:pt idx="529">
                  <c:v>0</c:v>
                </c:pt>
                <c:pt idx="530">
                  <c:v>50</c:v>
                </c:pt>
                <c:pt idx="531">
                  <c:v>0</c:v>
                </c:pt>
                <c:pt idx="532">
                  <c:v>50</c:v>
                </c:pt>
                <c:pt idx="533">
                  <c:v>0</c:v>
                </c:pt>
                <c:pt idx="534">
                  <c:v>50</c:v>
                </c:pt>
                <c:pt idx="535">
                  <c:v>0</c:v>
                </c:pt>
                <c:pt idx="536">
                  <c:v>50</c:v>
                </c:pt>
                <c:pt idx="537">
                  <c:v>0</c:v>
                </c:pt>
                <c:pt idx="538">
                  <c:v>50</c:v>
                </c:pt>
                <c:pt idx="539">
                  <c:v>0</c:v>
                </c:pt>
                <c:pt idx="540">
                  <c:v>50</c:v>
                </c:pt>
                <c:pt idx="541">
                  <c:v>0</c:v>
                </c:pt>
                <c:pt idx="542">
                  <c:v>50</c:v>
                </c:pt>
                <c:pt idx="543">
                  <c:v>0</c:v>
                </c:pt>
                <c:pt idx="544">
                  <c:v>50</c:v>
                </c:pt>
                <c:pt idx="545">
                  <c:v>0</c:v>
                </c:pt>
                <c:pt idx="546">
                  <c:v>50</c:v>
                </c:pt>
                <c:pt idx="547">
                  <c:v>0</c:v>
                </c:pt>
                <c:pt idx="548">
                  <c:v>50</c:v>
                </c:pt>
                <c:pt idx="549">
                  <c:v>0</c:v>
                </c:pt>
                <c:pt idx="550">
                  <c:v>50</c:v>
                </c:pt>
                <c:pt idx="551">
                  <c:v>0</c:v>
                </c:pt>
                <c:pt idx="552">
                  <c:v>50</c:v>
                </c:pt>
                <c:pt idx="553">
                  <c:v>0</c:v>
                </c:pt>
                <c:pt idx="554">
                  <c:v>50</c:v>
                </c:pt>
                <c:pt idx="555">
                  <c:v>0</c:v>
                </c:pt>
                <c:pt idx="556">
                  <c:v>50</c:v>
                </c:pt>
                <c:pt idx="557">
                  <c:v>0</c:v>
                </c:pt>
                <c:pt idx="558">
                  <c:v>50</c:v>
                </c:pt>
                <c:pt idx="559">
                  <c:v>0</c:v>
                </c:pt>
                <c:pt idx="560">
                  <c:v>50</c:v>
                </c:pt>
                <c:pt idx="561">
                  <c:v>0</c:v>
                </c:pt>
                <c:pt idx="562">
                  <c:v>50</c:v>
                </c:pt>
                <c:pt idx="563">
                  <c:v>0</c:v>
                </c:pt>
                <c:pt idx="564">
                  <c:v>50</c:v>
                </c:pt>
                <c:pt idx="565">
                  <c:v>0</c:v>
                </c:pt>
                <c:pt idx="566">
                  <c:v>50</c:v>
                </c:pt>
                <c:pt idx="567">
                  <c:v>0</c:v>
                </c:pt>
                <c:pt idx="568">
                  <c:v>50</c:v>
                </c:pt>
                <c:pt idx="569">
                  <c:v>0</c:v>
                </c:pt>
                <c:pt idx="570">
                  <c:v>50</c:v>
                </c:pt>
                <c:pt idx="571">
                  <c:v>0</c:v>
                </c:pt>
                <c:pt idx="572">
                  <c:v>50</c:v>
                </c:pt>
                <c:pt idx="573">
                  <c:v>0</c:v>
                </c:pt>
                <c:pt idx="574">
                  <c:v>50</c:v>
                </c:pt>
                <c:pt idx="575">
                  <c:v>0</c:v>
                </c:pt>
                <c:pt idx="576">
                  <c:v>50</c:v>
                </c:pt>
                <c:pt idx="577">
                  <c:v>0</c:v>
                </c:pt>
                <c:pt idx="578">
                  <c:v>50</c:v>
                </c:pt>
                <c:pt idx="579">
                  <c:v>0</c:v>
                </c:pt>
                <c:pt idx="580">
                  <c:v>50</c:v>
                </c:pt>
                <c:pt idx="581">
                  <c:v>0</c:v>
                </c:pt>
                <c:pt idx="582">
                  <c:v>50</c:v>
                </c:pt>
                <c:pt idx="583">
                  <c:v>0</c:v>
                </c:pt>
                <c:pt idx="584">
                  <c:v>50</c:v>
                </c:pt>
                <c:pt idx="585">
                  <c:v>0</c:v>
                </c:pt>
                <c:pt idx="586">
                  <c:v>50</c:v>
                </c:pt>
                <c:pt idx="587">
                  <c:v>0</c:v>
                </c:pt>
                <c:pt idx="588">
                  <c:v>50</c:v>
                </c:pt>
                <c:pt idx="589">
                  <c:v>0</c:v>
                </c:pt>
                <c:pt idx="590">
                  <c:v>50</c:v>
                </c:pt>
                <c:pt idx="591">
                  <c:v>0</c:v>
                </c:pt>
                <c:pt idx="592">
                  <c:v>50</c:v>
                </c:pt>
                <c:pt idx="593">
                  <c:v>0</c:v>
                </c:pt>
                <c:pt idx="594">
                  <c:v>50</c:v>
                </c:pt>
                <c:pt idx="595">
                  <c:v>0</c:v>
                </c:pt>
                <c:pt idx="596">
                  <c:v>50</c:v>
                </c:pt>
                <c:pt idx="597">
                  <c:v>0</c:v>
                </c:pt>
                <c:pt idx="598">
                  <c:v>50</c:v>
                </c:pt>
                <c:pt idx="599">
                  <c:v>0</c:v>
                </c:pt>
                <c:pt idx="600">
                  <c:v>50</c:v>
                </c:pt>
                <c:pt idx="601">
                  <c:v>0</c:v>
                </c:pt>
                <c:pt idx="602">
                  <c:v>50</c:v>
                </c:pt>
                <c:pt idx="603">
                  <c:v>0</c:v>
                </c:pt>
                <c:pt idx="604">
                  <c:v>50</c:v>
                </c:pt>
                <c:pt idx="605">
                  <c:v>0</c:v>
                </c:pt>
                <c:pt idx="606">
                  <c:v>50</c:v>
                </c:pt>
                <c:pt idx="607">
                  <c:v>0</c:v>
                </c:pt>
                <c:pt idx="608">
                  <c:v>50</c:v>
                </c:pt>
                <c:pt idx="609">
                  <c:v>0</c:v>
                </c:pt>
                <c:pt idx="610">
                  <c:v>50</c:v>
                </c:pt>
                <c:pt idx="611">
                  <c:v>0</c:v>
                </c:pt>
                <c:pt idx="612">
                  <c:v>50</c:v>
                </c:pt>
                <c:pt idx="613">
                  <c:v>0</c:v>
                </c:pt>
                <c:pt idx="614">
                  <c:v>50</c:v>
                </c:pt>
                <c:pt idx="615">
                  <c:v>0</c:v>
                </c:pt>
                <c:pt idx="616">
                  <c:v>50</c:v>
                </c:pt>
                <c:pt idx="617">
                  <c:v>0</c:v>
                </c:pt>
                <c:pt idx="618">
                  <c:v>50</c:v>
                </c:pt>
                <c:pt idx="619">
                  <c:v>0</c:v>
                </c:pt>
                <c:pt idx="620">
                  <c:v>50</c:v>
                </c:pt>
                <c:pt idx="621">
                  <c:v>0</c:v>
                </c:pt>
                <c:pt idx="622">
                  <c:v>50</c:v>
                </c:pt>
                <c:pt idx="623">
                  <c:v>0</c:v>
                </c:pt>
                <c:pt idx="624">
                  <c:v>50</c:v>
                </c:pt>
                <c:pt idx="625">
                  <c:v>0</c:v>
                </c:pt>
                <c:pt idx="626">
                  <c:v>50</c:v>
                </c:pt>
                <c:pt idx="627">
                  <c:v>0</c:v>
                </c:pt>
                <c:pt idx="628">
                  <c:v>50</c:v>
                </c:pt>
                <c:pt idx="629">
                  <c:v>0</c:v>
                </c:pt>
                <c:pt idx="630">
                  <c:v>50</c:v>
                </c:pt>
                <c:pt idx="631">
                  <c:v>0</c:v>
                </c:pt>
                <c:pt idx="632">
                  <c:v>50</c:v>
                </c:pt>
                <c:pt idx="633">
                  <c:v>0</c:v>
                </c:pt>
                <c:pt idx="634">
                  <c:v>50</c:v>
                </c:pt>
                <c:pt idx="635">
                  <c:v>0</c:v>
                </c:pt>
                <c:pt idx="636">
                  <c:v>50</c:v>
                </c:pt>
                <c:pt idx="637">
                  <c:v>0</c:v>
                </c:pt>
                <c:pt idx="638">
                  <c:v>50</c:v>
                </c:pt>
                <c:pt idx="639">
                  <c:v>0</c:v>
                </c:pt>
                <c:pt idx="640">
                  <c:v>50</c:v>
                </c:pt>
                <c:pt idx="641">
                  <c:v>0</c:v>
                </c:pt>
                <c:pt idx="642">
                  <c:v>50</c:v>
                </c:pt>
                <c:pt idx="643">
                  <c:v>0</c:v>
                </c:pt>
                <c:pt idx="644">
                  <c:v>50</c:v>
                </c:pt>
                <c:pt idx="645">
                  <c:v>0</c:v>
                </c:pt>
                <c:pt idx="646">
                  <c:v>50</c:v>
                </c:pt>
                <c:pt idx="647">
                  <c:v>0</c:v>
                </c:pt>
                <c:pt idx="648">
                  <c:v>50</c:v>
                </c:pt>
                <c:pt idx="649">
                  <c:v>0</c:v>
                </c:pt>
                <c:pt idx="650">
                  <c:v>50</c:v>
                </c:pt>
                <c:pt idx="651">
                  <c:v>0</c:v>
                </c:pt>
                <c:pt idx="652">
                  <c:v>50</c:v>
                </c:pt>
                <c:pt idx="653">
                  <c:v>0</c:v>
                </c:pt>
                <c:pt idx="654">
                  <c:v>50</c:v>
                </c:pt>
                <c:pt idx="655">
                  <c:v>0</c:v>
                </c:pt>
                <c:pt idx="656">
                  <c:v>50</c:v>
                </c:pt>
                <c:pt idx="657">
                  <c:v>0</c:v>
                </c:pt>
                <c:pt idx="658">
                  <c:v>50</c:v>
                </c:pt>
                <c:pt idx="659">
                  <c:v>0</c:v>
                </c:pt>
                <c:pt idx="660">
                  <c:v>50</c:v>
                </c:pt>
                <c:pt idx="661">
                  <c:v>0</c:v>
                </c:pt>
                <c:pt idx="662">
                  <c:v>50</c:v>
                </c:pt>
                <c:pt idx="663">
                  <c:v>0</c:v>
                </c:pt>
                <c:pt idx="664">
                  <c:v>50</c:v>
                </c:pt>
                <c:pt idx="665">
                  <c:v>0</c:v>
                </c:pt>
                <c:pt idx="666">
                  <c:v>50</c:v>
                </c:pt>
                <c:pt idx="667">
                  <c:v>0</c:v>
                </c:pt>
                <c:pt idx="668">
                  <c:v>50</c:v>
                </c:pt>
                <c:pt idx="669">
                  <c:v>0</c:v>
                </c:pt>
                <c:pt idx="670">
                  <c:v>50</c:v>
                </c:pt>
                <c:pt idx="671">
                  <c:v>0</c:v>
                </c:pt>
                <c:pt idx="672">
                  <c:v>50</c:v>
                </c:pt>
                <c:pt idx="673">
                  <c:v>0</c:v>
                </c:pt>
                <c:pt idx="674">
                  <c:v>50</c:v>
                </c:pt>
                <c:pt idx="675">
                  <c:v>0</c:v>
                </c:pt>
                <c:pt idx="676">
                  <c:v>50</c:v>
                </c:pt>
                <c:pt idx="677">
                  <c:v>0</c:v>
                </c:pt>
                <c:pt idx="678">
                  <c:v>50</c:v>
                </c:pt>
                <c:pt idx="679">
                  <c:v>0</c:v>
                </c:pt>
                <c:pt idx="680">
                  <c:v>50</c:v>
                </c:pt>
                <c:pt idx="681">
                  <c:v>0</c:v>
                </c:pt>
                <c:pt idx="682">
                  <c:v>50</c:v>
                </c:pt>
                <c:pt idx="683">
                  <c:v>0</c:v>
                </c:pt>
                <c:pt idx="684">
                  <c:v>50</c:v>
                </c:pt>
                <c:pt idx="685">
                  <c:v>0</c:v>
                </c:pt>
                <c:pt idx="686">
                  <c:v>50</c:v>
                </c:pt>
                <c:pt idx="687">
                  <c:v>0</c:v>
                </c:pt>
                <c:pt idx="688">
                  <c:v>50</c:v>
                </c:pt>
                <c:pt idx="689">
                  <c:v>0</c:v>
                </c:pt>
                <c:pt idx="690">
                  <c:v>50</c:v>
                </c:pt>
                <c:pt idx="691">
                  <c:v>0</c:v>
                </c:pt>
                <c:pt idx="692">
                  <c:v>50</c:v>
                </c:pt>
                <c:pt idx="693">
                  <c:v>0</c:v>
                </c:pt>
                <c:pt idx="694">
                  <c:v>50</c:v>
                </c:pt>
                <c:pt idx="695">
                  <c:v>0</c:v>
                </c:pt>
                <c:pt idx="696">
                  <c:v>50</c:v>
                </c:pt>
                <c:pt idx="697">
                  <c:v>0</c:v>
                </c:pt>
                <c:pt idx="698">
                  <c:v>50</c:v>
                </c:pt>
                <c:pt idx="699">
                  <c:v>0</c:v>
                </c:pt>
                <c:pt idx="700">
                  <c:v>50</c:v>
                </c:pt>
                <c:pt idx="701">
                  <c:v>0</c:v>
                </c:pt>
                <c:pt idx="702">
                  <c:v>50</c:v>
                </c:pt>
                <c:pt idx="703">
                  <c:v>0</c:v>
                </c:pt>
                <c:pt idx="704">
                  <c:v>50</c:v>
                </c:pt>
                <c:pt idx="705">
                  <c:v>0</c:v>
                </c:pt>
                <c:pt idx="706">
                  <c:v>50</c:v>
                </c:pt>
                <c:pt idx="707">
                  <c:v>0</c:v>
                </c:pt>
                <c:pt idx="708">
                  <c:v>50</c:v>
                </c:pt>
                <c:pt idx="709">
                  <c:v>0</c:v>
                </c:pt>
                <c:pt idx="710">
                  <c:v>50</c:v>
                </c:pt>
                <c:pt idx="711">
                  <c:v>0</c:v>
                </c:pt>
                <c:pt idx="712">
                  <c:v>50</c:v>
                </c:pt>
                <c:pt idx="713">
                  <c:v>0</c:v>
                </c:pt>
                <c:pt idx="714">
                  <c:v>50</c:v>
                </c:pt>
                <c:pt idx="715">
                  <c:v>0</c:v>
                </c:pt>
                <c:pt idx="716">
                  <c:v>50</c:v>
                </c:pt>
                <c:pt idx="717">
                  <c:v>0</c:v>
                </c:pt>
                <c:pt idx="718">
                  <c:v>50</c:v>
                </c:pt>
                <c:pt idx="719">
                  <c:v>0</c:v>
                </c:pt>
                <c:pt idx="720">
                  <c:v>50</c:v>
                </c:pt>
                <c:pt idx="721">
                  <c:v>0</c:v>
                </c:pt>
                <c:pt idx="722">
                  <c:v>50</c:v>
                </c:pt>
                <c:pt idx="723">
                  <c:v>0</c:v>
                </c:pt>
                <c:pt idx="724">
                  <c:v>50</c:v>
                </c:pt>
                <c:pt idx="725">
                  <c:v>0</c:v>
                </c:pt>
                <c:pt idx="726">
                  <c:v>50</c:v>
                </c:pt>
                <c:pt idx="727">
                  <c:v>0</c:v>
                </c:pt>
                <c:pt idx="728">
                  <c:v>50</c:v>
                </c:pt>
                <c:pt idx="729">
                  <c:v>0</c:v>
                </c:pt>
                <c:pt idx="730">
                  <c:v>50</c:v>
                </c:pt>
                <c:pt idx="731">
                  <c:v>0</c:v>
                </c:pt>
                <c:pt idx="732">
                  <c:v>50</c:v>
                </c:pt>
                <c:pt idx="733">
                  <c:v>0</c:v>
                </c:pt>
                <c:pt idx="734">
                  <c:v>50</c:v>
                </c:pt>
                <c:pt idx="735">
                  <c:v>0</c:v>
                </c:pt>
                <c:pt idx="736">
                  <c:v>50</c:v>
                </c:pt>
                <c:pt idx="737">
                  <c:v>0</c:v>
                </c:pt>
                <c:pt idx="738">
                  <c:v>50</c:v>
                </c:pt>
                <c:pt idx="739">
                  <c:v>0</c:v>
                </c:pt>
                <c:pt idx="740">
                  <c:v>50</c:v>
                </c:pt>
                <c:pt idx="741">
                  <c:v>0</c:v>
                </c:pt>
                <c:pt idx="742">
                  <c:v>50</c:v>
                </c:pt>
                <c:pt idx="743">
                  <c:v>0</c:v>
                </c:pt>
                <c:pt idx="744">
                  <c:v>50</c:v>
                </c:pt>
                <c:pt idx="745">
                  <c:v>0</c:v>
                </c:pt>
                <c:pt idx="746">
                  <c:v>50</c:v>
                </c:pt>
                <c:pt idx="747">
                  <c:v>0</c:v>
                </c:pt>
                <c:pt idx="748">
                  <c:v>50</c:v>
                </c:pt>
                <c:pt idx="749">
                  <c:v>0</c:v>
                </c:pt>
                <c:pt idx="750">
                  <c:v>50</c:v>
                </c:pt>
                <c:pt idx="751">
                  <c:v>0</c:v>
                </c:pt>
                <c:pt idx="752">
                  <c:v>50</c:v>
                </c:pt>
                <c:pt idx="753">
                  <c:v>0</c:v>
                </c:pt>
                <c:pt idx="754">
                  <c:v>50</c:v>
                </c:pt>
                <c:pt idx="755">
                  <c:v>0</c:v>
                </c:pt>
                <c:pt idx="756">
                  <c:v>50</c:v>
                </c:pt>
                <c:pt idx="757">
                  <c:v>0</c:v>
                </c:pt>
                <c:pt idx="758">
                  <c:v>50</c:v>
                </c:pt>
                <c:pt idx="759">
                  <c:v>0</c:v>
                </c:pt>
                <c:pt idx="760">
                  <c:v>50</c:v>
                </c:pt>
                <c:pt idx="761">
                  <c:v>0</c:v>
                </c:pt>
                <c:pt idx="762">
                  <c:v>50</c:v>
                </c:pt>
                <c:pt idx="763">
                  <c:v>0</c:v>
                </c:pt>
                <c:pt idx="764">
                  <c:v>50</c:v>
                </c:pt>
                <c:pt idx="765">
                  <c:v>0</c:v>
                </c:pt>
                <c:pt idx="766">
                  <c:v>50</c:v>
                </c:pt>
                <c:pt idx="767">
                  <c:v>0</c:v>
                </c:pt>
                <c:pt idx="768">
                  <c:v>50</c:v>
                </c:pt>
                <c:pt idx="769">
                  <c:v>0</c:v>
                </c:pt>
                <c:pt idx="770">
                  <c:v>50</c:v>
                </c:pt>
                <c:pt idx="771">
                  <c:v>0</c:v>
                </c:pt>
                <c:pt idx="772">
                  <c:v>50</c:v>
                </c:pt>
                <c:pt idx="773">
                  <c:v>0</c:v>
                </c:pt>
                <c:pt idx="774">
                  <c:v>50</c:v>
                </c:pt>
                <c:pt idx="775">
                  <c:v>0</c:v>
                </c:pt>
                <c:pt idx="776">
                  <c:v>50</c:v>
                </c:pt>
                <c:pt idx="777">
                  <c:v>0</c:v>
                </c:pt>
                <c:pt idx="778">
                  <c:v>50</c:v>
                </c:pt>
                <c:pt idx="779">
                  <c:v>0</c:v>
                </c:pt>
                <c:pt idx="780">
                  <c:v>50</c:v>
                </c:pt>
                <c:pt idx="781">
                  <c:v>0</c:v>
                </c:pt>
                <c:pt idx="782">
                  <c:v>50</c:v>
                </c:pt>
                <c:pt idx="783">
                  <c:v>0</c:v>
                </c:pt>
                <c:pt idx="784">
                  <c:v>50</c:v>
                </c:pt>
                <c:pt idx="785">
                  <c:v>0</c:v>
                </c:pt>
                <c:pt idx="786">
                  <c:v>50</c:v>
                </c:pt>
                <c:pt idx="787">
                  <c:v>0</c:v>
                </c:pt>
                <c:pt idx="788">
                  <c:v>50</c:v>
                </c:pt>
                <c:pt idx="789">
                  <c:v>0</c:v>
                </c:pt>
                <c:pt idx="790">
                  <c:v>50</c:v>
                </c:pt>
                <c:pt idx="791">
                  <c:v>0</c:v>
                </c:pt>
                <c:pt idx="792">
                  <c:v>50</c:v>
                </c:pt>
                <c:pt idx="793">
                  <c:v>0</c:v>
                </c:pt>
                <c:pt idx="794">
                  <c:v>50</c:v>
                </c:pt>
                <c:pt idx="795">
                  <c:v>0</c:v>
                </c:pt>
                <c:pt idx="796">
                  <c:v>50</c:v>
                </c:pt>
                <c:pt idx="797">
                  <c:v>0</c:v>
                </c:pt>
                <c:pt idx="798">
                  <c:v>50</c:v>
                </c:pt>
                <c:pt idx="799">
                  <c:v>0</c:v>
                </c:pt>
                <c:pt idx="800">
                  <c:v>50</c:v>
                </c:pt>
                <c:pt idx="801">
                  <c:v>0</c:v>
                </c:pt>
                <c:pt idx="802">
                  <c:v>50</c:v>
                </c:pt>
                <c:pt idx="803">
                  <c:v>0</c:v>
                </c:pt>
                <c:pt idx="804">
                  <c:v>50</c:v>
                </c:pt>
                <c:pt idx="805">
                  <c:v>0</c:v>
                </c:pt>
                <c:pt idx="806">
                  <c:v>50</c:v>
                </c:pt>
                <c:pt idx="807">
                  <c:v>0</c:v>
                </c:pt>
                <c:pt idx="808">
                  <c:v>50</c:v>
                </c:pt>
                <c:pt idx="809">
                  <c:v>0</c:v>
                </c:pt>
                <c:pt idx="810">
                  <c:v>50</c:v>
                </c:pt>
                <c:pt idx="811">
                  <c:v>0</c:v>
                </c:pt>
                <c:pt idx="812">
                  <c:v>50</c:v>
                </c:pt>
                <c:pt idx="813">
                  <c:v>0</c:v>
                </c:pt>
                <c:pt idx="814">
                  <c:v>50</c:v>
                </c:pt>
                <c:pt idx="815">
                  <c:v>0</c:v>
                </c:pt>
                <c:pt idx="816">
                  <c:v>50</c:v>
                </c:pt>
                <c:pt idx="817">
                  <c:v>0</c:v>
                </c:pt>
                <c:pt idx="818">
                  <c:v>50</c:v>
                </c:pt>
                <c:pt idx="819">
                  <c:v>0</c:v>
                </c:pt>
                <c:pt idx="820">
                  <c:v>50</c:v>
                </c:pt>
                <c:pt idx="821">
                  <c:v>0</c:v>
                </c:pt>
                <c:pt idx="822">
                  <c:v>50</c:v>
                </c:pt>
                <c:pt idx="823">
                  <c:v>0</c:v>
                </c:pt>
                <c:pt idx="824">
                  <c:v>50</c:v>
                </c:pt>
                <c:pt idx="825">
                  <c:v>0</c:v>
                </c:pt>
                <c:pt idx="826">
                  <c:v>50</c:v>
                </c:pt>
                <c:pt idx="827">
                  <c:v>0</c:v>
                </c:pt>
                <c:pt idx="828">
                  <c:v>50</c:v>
                </c:pt>
                <c:pt idx="829">
                  <c:v>0</c:v>
                </c:pt>
                <c:pt idx="830">
                  <c:v>50</c:v>
                </c:pt>
                <c:pt idx="831">
                  <c:v>0</c:v>
                </c:pt>
                <c:pt idx="832">
                  <c:v>50</c:v>
                </c:pt>
                <c:pt idx="833">
                  <c:v>0</c:v>
                </c:pt>
                <c:pt idx="834">
                  <c:v>50</c:v>
                </c:pt>
                <c:pt idx="835">
                  <c:v>0</c:v>
                </c:pt>
                <c:pt idx="836">
                  <c:v>50</c:v>
                </c:pt>
                <c:pt idx="837">
                  <c:v>0</c:v>
                </c:pt>
                <c:pt idx="838">
                  <c:v>50</c:v>
                </c:pt>
                <c:pt idx="839">
                  <c:v>0</c:v>
                </c:pt>
                <c:pt idx="840">
                  <c:v>50</c:v>
                </c:pt>
                <c:pt idx="841">
                  <c:v>0</c:v>
                </c:pt>
                <c:pt idx="842">
                  <c:v>50</c:v>
                </c:pt>
                <c:pt idx="843">
                  <c:v>0</c:v>
                </c:pt>
                <c:pt idx="844">
                  <c:v>50</c:v>
                </c:pt>
                <c:pt idx="845">
                  <c:v>0</c:v>
                </c:pt>
                <c:pt idx="846">
                  <c:v>50</c:v>
                </c:pt>
                <c:pt idx="847">
                  <c:v>0</c:v>
                </c:pt>
                <c:pt idx="848">
                  <c:v>50</c:v>
                </c:pt>
                <c:pt idx="849">
                  <c:v>0</c:v>
                </c:pt>
                <c:pt idx="850">
                  <c:v>50</c:v>
                </c:pt>
                <c:pt idx="851">
                  <c:v>0</c:v>
                </c:pt>
                <c:pt idx="852">
                  <c:v>50</c:v>
                </c:pt>
                <c:pt idx="853">
                  <c:v>0</c:v>
                </c:pt>
                <c:pt idx="854">
                  <c:v>50</c:v>
                </c:pt>
                <c:pt idx="855">
                  <c:v>0</c:v>
                </c:pt>
                <c:pt idx="856">
                  <c:v>50</c:v>
                </c:pt>
                <c:pt idx="857">
                  <c:v>0</c:v>
                </c:pt>
                <c:pt idx="858">
                  <c:v>50</c:v>
                </c:pt>
                <c:pt idx="859">
                  <c:v>0</c:v>
                </c:pt>
                <c:pt idx="860">
                  <c:v>50</c:v>
                </c:pt>
                <c:pt idx="861">
                  <c:v>0</c:v>
                </c:pt>
                <c:pt idx="862">
                  <c:v>50</c:v>
                </c:pt>
                <c:pt idx="863">
                  <c:v>0</c:v>
                </c:pt>
                <c:pt idx="864">
                  <c:v>50</c:v>
                </c:pt>
                <c:pt idx="865">
                  <c:v>0</c:v>
                </c:pt>
                <c:pt idx="866">
                  <c:v>50</c:v>
                </c:pt>
                <c:pt idx="867">
                  <c:v>0</c:v>
                </c:pt>
                <c:pt idx="868">
                  <c:v>50</c:v>
                </c:pt>
                <c:pt idx="869">
                  <c:v>0</c:v>
                </c:pt>
                <c:pt idx="870">
                  <c:v>50</c:v>
                </c:pt>
                <c:pt idx="871">
                  <c:v>0</c:v>
                </c:pt>
                <c:pt idx="872">
                  <c:v>50</c:v>
                </c:pt>
                <c:pt idx="873">
                  <c:v>0</c:v>
                </c:pt>
                <c:pt idx="874">
                  <c:v>50</c:v>
                </c:pt>
                <c:pt idx="875">
                  <c:v>0</c:v>
                </c:pt>
                <c:pt idx="876">
                  <c:v>50</c:v>
                </c:pt>
                <c:pt idx="877">
                  <c:v>0</c:v>
                </c:pt>
                <c:pt idx="878">
                  <c:v>50</c:v>
                </c:pt>
                <c:pt idx="879">
                  <c:v>0</c:v>
                </c:pt>
                <c:pt idx="880">
                  <c:v>50</c:v>
                </c:pt>
                <c:pt idx="881">
                  <c:v>0</c:v>
                </c:pt>
                <c:pt idx="882">
                  <c:v>50</c:v>
                </c:pt>
                <c:pt idx="883">
                  <c:v>0</c:v>
                </c:pt>
                <c:pt idx="884">
                  <c:v>50</c:v>
                </c:pt>
                <c:pt idx="885">
                  <c:v>0</c:v>
                </c:pt>
                <c:pt idx="886">
                  <c:v>50</c:v>
                </c:pt>
                <c:pt idx="887">
                  <c:v>0</c:v>
                </c:pt>
                <c:pt idx="888">
                  <c:v>50</c:v>
                </c:pt>
                <c:pt idx="889">
                  <c:v>0</c:v>
                </c:pt>
                <c:pt idx="890">
                  <c:v>50</c:v>
                </c:pt>
                <c:pt idx="891">
                  <c:v>0</c:v>
                </c:pt>
                <c:pt idx="892">
                  <c:v>50</c:v>
                </c:pt>
                <c:pt idx="893">
                  <c:v>0</c:v>
                </c:pt>
                <c:pt idx="894">
                  <c:v>50</c:v>
                </c:pt>
                <c:pt idx="895">
                  <c:v>0</c:v>
                </c:pt>
                <c:pt idx="896">
                  <c:v>50</c:v>
                </c:pt>
                <c:pt idx="897">
                  <c:v>0</c:v>
                </c:pt>
                <c:pt idx="898">
                  <c:v>50</c:v>
                </c:pt>
                <c:pt idx="899">
                  <c:v>0</c:v>
                </c:pt>
                <c:pt idx="900">
                  <c:v>50</c:v>
                </c:pt>
                <c:pt idx="901">
                  <c:v>0</c:v>
                </c:pt>
                <c:pt idx="902">
                  <c:v>50</c:v>
                </c:pt>
                <c:pt idx="903">
                  <c:v>0</c:v>
                </c:pt>
                <c:pt idx="904">
                  <c:v>50</c:v>
                </c:pt>
                <c:pt idx="905">
                  <c:v>0</c:v>
                </c:pt>
                <c:pt idx="906">
                  <c:v>50</c:v>
                </c:pt>
                <c:pt idx="907">
                  <c:v>0</c:v>
                </c:pt>
                <c:pt idx="908">
                  <c:v>50</c:v>
                </c:pt>
                <c:pt idx="909">
                  <c:v>0</c:v>
                </c:pt>
                <c:pt idx="910">
                  <c:v>50</c:v>
                </c:pt>
                <c:pt idx="911">
                  <c:v>0</c:v>
                </c:pt>
                <c:pt idx="912">
                  <c:v>50</c:v>
                </c:pt>
                <c:pt idx="913">
                  <c:v>0</c:v>
                </c:pt>
                <c:pt idx="914">
                  <c:v>50</c:v>
                </c:pt>
                <c:pt idx="915">
                  <c:v>0</c:v>
                </c:pt>
                <c:pt idx="916">
                  <c:v>50</c:v>
                </c:pt>
                <c:pt idx="917">
                  <c:v>0</c:v>
                </c:pt>
                <c:pt idx="918">
                  <c:v>50</c:v>
                </c:pt>
                <c:pt idx="919">
                  <c:v>0</c:v>
                </c:pt>
                <c:pt idx="920">
                  <c:v>50</c:v>
                </c:pt>
                <c:pt idx="921">
                  <c:v>0</c:v>
                </c:pt>
                <c:pt idx="922">
                  <c:v>50</c:v>
                </c:pt>
                <c:pt idx="923">
                  <c:v>0</c:v>
                </c:pt>
                <c:pt idx="924">
                  <c:v>50</c:v>
                </c:pt>
                <c:pt idx="925">
                  <c:v>0</c:v>
                </c:pt>
                <c:pt idx="926">
                  <c:v>50</c:v>
                </c:pt>
                <c:pt idx="927">
                  <c:v>0</c:v>
                </c:pt>
                <c:pt idx="928">
                  <c:v>50</c:v>
                </c:pt>
                <c:pt idx="929">
                  <c:v>0</c:v>
                </c:pt>
                <c:pt idx="930">
                  <c:v>50</c:v>
                </c:pt>
                <c:pt idx="931">
                  <c:v>0</c:v>
                </c:pt>
                <c:pt idx="932">
                  <c:v>50</c:v>
                </c:pt>
                <c:pt idx="933">
                  <c:v>0</c:v>
                </c:pt>
                <c:pt idx="934">
                  <c:v>50</c:v>
                </c:pt>
                <c:pt idx="935">
                  <c:v>0</c:v>
                </c:pt>
                <c:pt idx="936">
                  <c:v>50</c:v>
                </c:pt>
                <c:pt idx="937">
                  <c:v>0</c:v>
                </c:pt>
                <c:pt idx="938">
                  <c:v>50</c:v>
                </c:pt>
                <c:pt idx="939">
                  <c:v>0</c:v>
                </c:pt>
                <c:pt idx="940">
                  <c:v>50</c:v>
                </c:pt>
                <c:pt idx="941">
                  <c:v>0</c:v>
                </c:pt>
                <c:pt idx="942">
                  <c:v>50</c:v>
                </c:pt>
                <c:pt idx="943">
                  <c:v>0</c:v>
                </c:pt>
                <c:pt idx="944">
                  <c:v>50</c:v>
                </c:pt>
                <c:pt idx="945">
                  <c:v>0</c:v>
                </c:pt>
                <c:pt idx="946">
                  <c:v>50</c:v>
                </c:pt>
                <c:pt idx="947">
                  <c:v>0</c:v>
                </c:pt>
                <c:pt idx="948">
                  <c:v>50</c:v>
                </c:pt>
                <c:pt idx="949">
                  <c:v>0</c:v>
                </c:pt>
                <c:pt idx="950">
                  <c:v>50</c:v>
                </c:pt>
                <c:pt idx="951">
                  <c:v>0</c:v>
                </c:pt>
                <c:pt idx="952">
                  <c:v>50</c:v>
                </c:pt>
                <c:pt idx="953">
                  <c:v>0</c:v>
                </c:pt>
                <c:pt idx="954">
                  <c:v>50</c:v>
                </c:pt>
                <c:pt idx="955">
                  <c:v>0</c:v>
                </c:pt>
                <c:pt idx="956">
                  <c:v>50</c:v>
                </c:pt>
                <c:pt idx="957">
                  <c:v>0</c:v>
                </c:pt>
                <c:pt idx="958">
                  <c:v>50</c:v>
                </c:pt>
                <c:pt idx="959">
                  <c:v>0</c:v>
                </c:pt>
                <c:pt idx="960">
                  <c:v>50</c:v>
                </c:pt>
                <c:pt idx="961">
                  <c:v>0</c:v>
                </c:pt>
                <c:pt idx="962">
                  <c:v>50</c:v>
                </c:pt>
                <c:pt idx="963">
                  <c:v>0</c:v>
                </c:pt>
                <c:pt idx="964">
                  <c:v>50</c:v>
                </c:pt>
                <c:pt idx="965">
                  <c:v>0</c:v>
                </c:pt>
                <c:pt idx="966">
                  <c:v>50</c:v>
                </c:pt>
                <c:pt idx="967">
                  <c:v>0</c:v>
                </c:pt>
                <c:pt idx="968">
                  <c:v>50</c:v>
                </c:pt>
                <c:pt idx="969">
                  <c:v>0</c:v>
                </c:pt>
                <c:pt idx="970">
                  <c:v>50</c:v>
                </c:pt>
                <c:pt idx="971">
                  <c:v>0</c:v>
                </c:pt>
                <c:pt idx="972">
                  <c:v>50</c:v>
                </c:pt>
                <c:pt idx="973">
                  <c:v>0</c:v>
                </c:pt>
                <c:pt idx="974">
                  <c:v>50</c:v>
                </c:pt>
                <c:pt idx="975">
                  <c:v>0</c:v>
                </c:pt>
                <c:pt idx="976">
                  <c:v>50</c:v>
                </c:pt>
                <c:pt idx="977">
                  <c:v>0</c:v>
                </c:pt>
                <c:pt idx="978">
                  <c:v>50</c:v>
                </c:pt>
                <c:pt idx="979">
                  <c:v>0</c:v>
                </c:pt>
                <c:pt idx="980">
                  <c:v>50</c:v>
                </c:pt>
                <c:pt idx="981">
                  <c:v>0</c:v>
                </c:pt>
                <c:pt idx="982">
                  <c:v>50</c:v>
                </c:pt>
                <c:pt idx="983">
                  <c:v>0</c:v>
                </c:pt>
                <c:pt idx="984">
                  <c:v>50</c:v>
                </c:pt>
                <c:pt idx="985">
                  <c:v>0</c:v>
                </c:pt>
                <c:pt idx="986">
                  <c:v>50</c:v>
                </c:pt>
                <c:pt idx="987">
                  <c:v>0</c:v>
                </c:pt>
                <c:pt idx="988">
                  <c:v>50</c:v>
                </c:pt>
                <c:pt idx="989">
                  <c:v>0</c:v>
                </c:pt>
                <c:pt idx="990">
                  <c:v>50</c:v>
                </c:pt>
                <c:pt idx="991">
                  <c:v>0</c:v>
                </c:pt>
                <c:pt idx="992">
                  <c:v>50</c:v>
                </c:pt>
                <c:pt idx="993">
                  <c:v>0</c:v>
                </c:pt>
                <c:pt idx="994">
                  <c:v>50</c:v>
                </c:pt>
                <c:pt idx="995">
                  <c:v>0</c:v>
                </c:pt>
                <c:pt idx="996">
                  <c:v>50</c:v>
                </c:pt>
                <c:pt idx="997">
                  <c:v>0</c:v>
                </c:pt>
                <c:pt idx="998">
                  <c:v>50</c:v>
                </c:pt>
                <c:pt idx="999">
                  <c:v>0</c:v>
                </c:pt>
                <c:pt idx="1000">
                  <c:v>50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271-4FA2-AD62-BE87C759A07A}"/>
            </c:ext>
          </c:extLst>
        </c:ser>
        <c:ser>
          <c:idx val="2"/>
          <c:order val="2"/>
          <c:tx>
            <c:v>One Pump</c:v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0271-4FA2-AD62-BE87C759A07A}"/>
              </c:ext>
            </c:extLst>
          </c:dPt>
          <c:dPt>
            <c:idx val="5"/>
            <c:bubble3D val="0"/>
            <c:spPr>
              <a:ln>
                <a:solidFill>
                  <a:srgbClr val="00206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0271-4FA2-AD62-BE87C759A07A}"/>
              </c:ext>
            </c:extLst>
          </c:dPt>
          <c:xVal>
            <c:numRef>
              <c:f>'Pump Curve'!$D$10:$D$18</c:f>
              <c:numCache>
                <c:formatCode>General</c:formatCode>
                <c:ptCount val="9"/>
                <c:pt idx="0">
                  <c:v>0</c:v>
                </c:pt>
                <c:pt idx="1">
                  <c:v>840</c:v>
                </c:pt>
                <c:pt idx="2">
                  <c:v>1260</c:v>
                </c:pt>
                <c:pt idx="3">
                  <c:v>1680</c:v>
                </c:pt>
                <c:pt idx="4">
                  <c:v>2100</c:v>
                </c:pt>
                <c:pt idx="5">
                  <c:v>2520</c:v>
                </c:pt>
              </c:numCache>
            </c:numRef>
          </c:xVal>
          <c:yVal>
            <c:numRef>
              <c:f>'Pump Curve'!$C$10:$C$18</c:f>
              <c:numCache>
                <c:formatCode>General</c:formatCode>
                <c:ptCount val="9"/>
                <c:pt idx="0">
                  <c:v>58</c:v>
                </c:pt>
                <c:pt idx="1">
                  <c:v>49</c:v>
                </c:pt>
                <c:pt idx="2">
                  <c:v>44.1</c:v>
                </c:pt>
                <c:pt idx="3">
                  <c:v>38.6</c:v>
                </c:pt>
                <c:pt idx="4">
                  <c:v>32.700000000000003</c:v>
                </c:pt>
                <c:pt idx="5">
                  <c:v>26.2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0271-4FA2-AD62-BE87C759A07A}"/>
            </c:ext>
          </c:extLst>
        </c:ser>
        <c:ser>
          <c:idx val="3"/>
          <c:order val="3"/>
          <c:tx>
            <c:v>Two Pumps</c:v>
          </c:tx>
          <c:spPr>
            <a:ln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'Pump Curve'!$E$10:$E$18</c:f>
              <c:numCache>
                <c:formatCode>General</c:formatCode>
                <c:ptCount val="9"/>
                <c:pt idx="0">
                  <c:v>0</c:v>
                </c:pt>
                <c:pt idx="1">
                  <c:v>1680</c:v>
                </c:pt>
                <c:pt idx="2">
                  <c:v>2520</c:v>
                </c:pt>
                <c:pt idx="3">
                  <c:v>3360</c:v>
                </c:pt>
                <c:pt idx="4">
                  <c:v>4200</c:v>
                </c:pt>
                <c:pt idx="5">
                  <c:v>5040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xVal>
          <c:yVal>
            <c:numRef>
              <c:f>'Pump Curve'!$C$10:$C$18</c:f>
              <c:numCache>
                <c:formatCode>General</c:formatCode>
                <c:ptCount val="9"/>
                <c:pt idx="0">
                  <c:v>58</c:v>
                </c:pt>
                <c:pt idx="1">
                  <c:v>49</c:v>
                </c:pt>
                <c:pt idx="2">
                  <c:v>44.1</c:v>
                </c:pt>
                <c:pt idx="3">
                  <c:v>38.6</c:v>
                </c:pt>
                <c:pt idx="4">
                  <c:v>32.700000000000003</c:v>
                </c:pt>
                <c:pt idx="5">
                  <c:v>26.2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0271-4FA2-AD62-BE87C759A07A}"/>
            </c:ext>
          </c:extLst>
        </c:ser>
        <c:ser>
          <c:idx val="4"/>
          <c:order val="4"/>
          <c:tx>
            <c:v>Lead Off</c:v>
          </c:tx>
          <c:marker>
            <c:symbol val="none"/>
          </c:marker>
          <c:xVal>
            <c:numRef>
              <c:f>'System Curve'!$I$9:$I$24</c:f>
              <c:numCache>
                <c:formatCode>General</c:formatCode>
                <c:ptCount val="16"/>
                <c:pt idx="0">
                  <c:v>0</c:v>
                </c:pt>
                <c:pt idx="1">
                  <c:v>200</c:v>
                </c:pt>
                <c:pt idx="2">
                  <c:v>400</c:v>
                </c:pt>
                <c:pt idx="3">
                  <c:v>600</c:v>
                </c:pt>
                <c:pt idx="4">
                  <c:v>800</c:v>
                </c:pt>
                <c:pt idx="5">
                  <c:v>1000</c:v>
                </c:pt>
                <c:pt idx="6">
                  <c:v>1200</c:v>
                </c:pt>
                <c:pt idx="7">
                  <c:v>1400</c:v>
                </c:pt>
                <c:pt idx="8">
                  <c:v>1600</c:v>
                </c:pt>
                <c:pt idx="9">
                  <c:v>1800</c:v>
                </c:pt>
                <c:pt idx="10">
                  <c:v>2000</c:v>
                </c:pt>
                <c:pt idx="11">
                  <c:v>2200</c:v>
                </c:pt>
                <c:pt idx="12">
                  <c:v>2400</c:v>
                </c:pt>
                <c:pt idx="13">
                  <c:v>2600</c:v>
                </c:pt>
                <c:pt idx="14">
                  <c:v>2800</c:v>
                </c:pt>
                <c:pt idx="15">
                  <c:v>3000</c:v>
                </c:pt>
              </c:numCache>
            </c:numRef>
          </c:xVal>
          <c:yVal>
            <c:numRef>
              <c:f>'System Curve'!$AH$9:$AH$24</c:f>
              <c:numCache>
                <c:formatCode>0.00</c:formatCode>
                <c:ptCount val="16"/>
                <c:pt idx="0">
                  <c:v>22.799999999999997</c:v>
                </c:pt>
                <c:pt idx="1">
                  <c:v>22.855908566124327</c:v>
                </c:pt>
                <c:pt idx="2">
                  <c:v>23.018755420552406</c:v>
                </c:pt>
                <c:pt idx="3">
                  <c:v>23.286287964588432</c:v>
                </c:pt>
                <c:pt idx="4">
                  <c:v>23.657433440760236</c:v>
                </c:pt>
                <c:pt idx="5">
                  <c:v>24.13148354562302</c:v>
                </c:pt>
                <c:pt idx="6">
                  <c:v>24.70791343815678</c:v>
                </c:pt>
                <c:pt idx="7">
                  <c:v>25.386308634483406</c:v>
                </c:pt>
                <c:pt idx="8">
                  <c:v>26.166328120069828</c:v>
                </c:pt>
                <c:pt idx="9">
                  <c:v>27.047683163917768</c:v>
                </c:pt>
                <c:pt idx="10">
                  <c:v>28.030124051270171</c:v>
                </c:pt>
                <c:pt idx="11">
                  <c:v>29.113431239883262</c:v>
                </c:pt>
                <c:pt idx="12">
                  <c:v>30.297409178909522</c:v>
                </c:pt>
                <c:pt idx="13">
                  <c:v>31.581881824656854</c:v>
                </c:pt>
                <c:pt idx="14">
                  <c:v>32.966689287840339</c:v>
                </c:pt>
                <c:pt idx="15">
                  <c:v>34.451685263625421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0271-4FA2-AD62-BE87C759A07A}"/>
            </c:ext>
          </c:extLst>
        </c:ser>
        <c:ser>
          <c:idx val="5"/>
          <c:order val="5"/>
          <c:tx>
            <c:v>Lead On</c:v>
          </c:tx>
          <c:spPr>
            <a:ln>
              <a:prstDash val="sysDash"/>
              <a:headEnd type="none"/>
            </a:ln>
          </c:spPr>
          <c:marker>
            <c:symbol val="none"/>
          </c:marker>
          <c:xVal>
            <c:numRef>
              <c:f>'System Curve'!$I$9:$I$24</c:f>
              <c:numCache>
                <c:formatCode>General</c:formatCode>
                <c:ptCount val="16"/>
                <c:pt idx="0">
                  <c:v>0</c:v>
                </c:pt>
                <c:pt idx="1">
                  <c:v>200</c:v>
                </c:pt>
                <c:pt idx="2">
                  <c:v>400</c:v>
                </c:pt>
                <c:pt idx="3">
                  <c:v>600</c:v>
                </c:pt>
                <c:pt idx="4">
                  <c:v>800</c:v>
                </c:pt>
                <c:pt idx="5">
                  <c:v>1000</c:v>
                </c:pt>
                <c:pt idx="6">
                  <c:v>1200</c:v>
                </c:pt>
                <c:pt idx="7">
                  <c:v>1400</c:v>
                </c:pt>
                <c:pt idx="8">
                  <c:v>1600</c:v>
                </c:pt>
                <c:pt idx="9">
                  <c:v>1800</c:v>
                </c:pt>
                <c:pt idx="10">
                  <c:v>2000</c:v>
                </c:pt>
                <c:pt idx="11">
                  <c:v>2200</c:v>
                </c:pt>
                <c:pt idx="12">
                  <c:v>2400</c:v>
                </c:pt>
                <c:pt idx="13">
                  <c:v>2600</c:v>
                </c:pt>
                <c:pt idx="14">
                  <c:v>2800</c:v>
                </c:pt>
                <c:pt idx="15">
                  <c:v>3000</c:v>
                </c:pt>
              </c:numCache>
            </c:numRef>
          </c:xVal>
          <c:yVal>
            <c:numRef>
              <c:f>'System Curve'!$AI$9:$AI$24</c:f>
              <c:numCache>
                <c:formatCode>0.00</c:formatCode>
                <c:ptCount val="16"/>
                <c:pt idx="0">
                  <c:v>15.57</c:v>
                </c:pt>
                <c:pt idx="1">
                  <c:v>15.625908566124329</c:v>
                </c:pt>
                <c:pt idx="2">
                  <c:v>15.788755420552411</c:v>
                </c:pt>
                <c:pt idx="3">
                  <c:v>16.056287964588435</c:v>
                </c:pt>
                <c:pt idx="4">
                  <c:v>16.42743344076024</c:v>
                </c:pt>
                <c:pt idx="5">
                  <c:v>16.901483545623023</c:v>
                </c:pt>
                <c:pt idx="6">
                  <c:v>17.477913438156783</c:v>
                </c:pt>
                <c:pt idx="7">
                  <c:v>18.156308634483409</c:v>
                </c:pt>
                <c:pt idx="8">
                  <c:v>18.936328120069831</c:v>
                </c:pt>
                <c:pt idx="9">
                  <c:v>19.817683163917771</c:v>
                </c:pt>
                <c:pt idx="10">
                  <c:v>20.800124051270174</c:v>
                </c:pt>
                <c:pt idx="11">
                  <c:v>21.883431239883265</c:v>
                </c:pt>
                <c:pt idx="12">
                  <c:v>23.067409178909525</c:v>
                </c:pt>
                <c:pt idx="13">
                  <c:v>24.351881824656857</c:v>
                </c:pt>
                <c:pt idx="14">
                  <c:v>25.736689287840338</c:v>
                </c:pt>
                <c:pt idx="15">
                  <c:v>27.221685263625425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0271-4FA2-AD62-BE87C759A07A}"/>
            </c:ext>
          </c:extLst>
        </c:ser>
        <c:ser>
          <c:idx val="6"/>
          <c:order val="6"/>
          <c:tx>
            <c:v>LeadLag Off</c:v>
          </c:tx>
          <c:spPr>
            <a:ln>
              <a:prstDash val="dash"/>
            </a:ln>
          </c:spPr>
          <c:marker>
            <c:symbol val="none"/>
          </c:marker>
          <c:xVal>
            <c:numRef>
              <c:f>'System Curve'!$I$9:$I$24</c:f>
              <c:numCache>
                <c:formatCode>General</c:formatCode>
                <c:ptCount val="16"/>
                <c:pt idx="0">
                  <c:v>0</c:v>
                </c:pt>
                <c:pt idx="1">
                  <c:v>200</c:v>
                </c:pt>
                <c:pt idx="2">
                  <c:v>400</c:v>
                </c:pt>
                <c:pt idx="3">
                  <c:v>600</c:v>
                </c:pt>
                <c:pt idx="4">
                  <c:v>800</c:v>
                </c:pt>
                <c:pt idx="5">
                  <c:v>1000</c:v>
                </c:pt>
                <c:pt idx="6">
                  <c:v>1200</c:v>
                </c:pt>
                <c:pt idx="7">
                  <c:v>1400</c:v>
                </c:pt>
                <c:pt idx="8">
                  <c:v>1600</c:v>
                </c:pt>
                <c:pt idx="9">
                  <c:v>1800</c:v>
                </c:pt>
                <c:pt idx="10">
                  <c:v>2000</c:v>
                </c:pt>
                <c:pt idx="11">
                  <c:v>2200</c:v>
                </c:pt>
                <c:pt idx="12">
                  <c:v>2400</c:v>
                </c:pt>
                <c:pt idx="13">
                  <c:v>2600</c:v>
                </c:pt>
                <c:pt idx="14">
                  <c:v>2800</c:v>
                </c:pt>
                <c:pt idx="15">
                  <c:v>3000</c:v>
                </c:pt>
              </c:numCache>
            </c:numRef>
          </c:xVal>
          <c:yVal>
            <c:numRef>
              <c:f>'System Curve'!$AJ$9:$AJ$24</c:f>
              <c:numCache>
                <c:formatCode>0.00</c:formatCode>
                <c:ptCount val="16"/>
                <c:pt idx="0">
                  <c:v>22.799999999999997</c:v>
                </c:pt>
                <c:pt idx="1">
                  <c:v>22.855908566124327</c:v>
                </c:pt>
                <c:pt idx="2">
                  <c:v>23.018755420552406</c:v>
                </c:pt>
                <c:pt idx="3">
                  <c:v>23.286287964588432</c:v>
                </c:pt>
                <c:pt idx="4">
                  <c:v>23.657433440760236</c:v>
                </c:pt>
                <c:pt idx="5">
                  <c:v>24.13148354562302</c:v>
                </c:pt>
                <c:pt idx="6">
                  <c:v>24.70791343815678</c:v>
                </c:pt>
                <c:pt idx="7">
                  <c:v>25.386308634483406</c:v>
                </c:pt>
                <c:pt idx="8">
                  <c:v>26.166328120069828</c:v>
                </c:pt>
                <c:pt idx="9">
                  <c:v>27.047683163917768</c:v>
                </c:pt>
                <c:pt idx="10">
                  <c:v>28.030124051270171</c:v>
                </c:pt>
                <c:pt idx="11">
                  <c:v>29.113431239883262</c:v>
                </c:pt>
                <c:pt idx="12">
                  <c:v>30.297409178909522</c:v>
                </c:pt>
                <c:pt idx="13">
                  <c:v>31.581881824656854</c:v>
                </c:pt>
                <c:pt idx="14">
                  <c:v>32.966689287840339</c:v>
                </c:pt>
                <c:pt idx="15">
                  <c:v>34.451685263625421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0271-4FA2-AD62-BE87C759A07A}"/>
            </c:ext>
          </c:extLst>
        </c:ser>
        <c:ser>
          <c:idx val="7"/>
          <c:order val="7"/>
          <c:tx>
            <c:v>LeadLag On</c:v>
          </c:tx>
          <c:marker>
            <c:symbol val="none"/>
          </c:marker>
          <c:xVal>
            <c:numRef>
              <c:f>'System Curve'!$I$9:$I$24</c:f>
              <c:numCache>
                <c:formatCode>General</c:formatCode>
                <c:ptCount val="16"/>
                <c:pt idx="0">
                  <c:v>0</c:v>
                </c:pt>
                <c:pt idx="1">
                  <c:v>200</c:v>
                </c:pt>
                <c:pt idx="2">
                  <c:v>400</c:v>
                </c:pt>
                <c:pt idx="3">
                  <c:v>600</c:v>
                </c:pt>
                <c:pt idx="4">
                  <c:v>800</c:v>
                </c:pt>
                <c:pt idx="5">
                  <c:v>1000</c:v>
                </c:pt>
                <c:pt idx="6">
                  <c:v>1200</c:v>
                </c:pt>
                <c:pt idx="7">
                  <c:v>1400</c:v>
                </c:pt>
                <c:pt idx="8">
                  <c:v>1600</c:v>
                </c:pt>
                <c:pt idx="9">
                  <c:v>1800</c:v>
                </c:pt>
                <c:pt idx="10">
                  <c:v>2000</c:v>
                </c:pt>
                <c:pt idx="11">
                  <c:v>2200</c:v>
                </c:pt>
                <c:pt idx="12">
                  <c:v>2400</c:v>
                </c:pt>
                <c:pt idx="13">
                  <c:v>2600</c:v>
                </c:pt>
                <c:pt idx="14">
                  <c:v>2800</c:v>
                </c:pt>
                <c:pt idx="15">
                  <c:v>3000</c:v>
                </c:pt>
              </c:numCache>
            </c:numRef>
          </c:xVal>
          <c:yVal>
            <c:numRef>
              <c:f>'System Curve'!$AK$9:$AK$24</c:f>
              <c:numCache>
                <c:formatCode>0.00</c:formatCode>
                <c:ptCount val="16"/>
                <c:pt idx="0">
                  <c:v>15.22</c:v>
                </c:pt>
                <c:pt idx="1">
                  <c:v>15.275908566124329</c:v>
                </c:pt>
                <c:pt idx="2">
                  <c:v>15.438755420552411</c:v>
                </c:pt>
                <c:pt idx="3">
                  <c:v>15.706287964588434</c:v>
                </c:pt>
                <c:pt idx="4">
                  <c:v>16.077433440760242</c:v>
                </c:pt>
                <c:pt idx="5">
                  <c:v>16.551483545623025</c:v>
                </c:pt>
                <c:pt idx="6">
                  <c:v>17.127913438156781</c:v>
                </c:pt>
                <c:pt idx="7">
                  <c:v>17.806308634483411</c:v>
                </c:pt>
                <c:pt idx="8">
                  <c:v>18.58632812006983</c:v>
                </c:pt>
                <c:pt idx="9">
                  <c:v>19.467683163917769</c:v>
                </c:pt>
                <c:pt idx="10">
                  <c:v>20.450124051270176</c:v>
                </c:pt>
                <c:pt idx="11">
                  <c:v>21.533431239883267</c:v>
                </c:pt>
                <c:pt idx="12">
                  <c:v>22.717409178909527</c:v>
                </c:pt>
                <c:pt idx="13">
                  <c:v>24.001881824656856</c:v>
                </c:pt>
                <c:pt idx="14">
                  <c:v>25.386689287840341</c:v>
                </c:pt>
                <c:pt idx="15">
                  <c:v>26.871685263625427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0271-4FA2-AD62-BE87C759A07A}"/>
            </c:ext>
          </c:extLst>
        </c:ser>
        <c:ser>
          <c:idx val="8"/>
          <c:order val="8"/>
          <c:tx>
            <c:v>Overflow</c:v>
          </c:tx>
          <c:spPr>
            <a:ln cap="sq">
              <a:prstDash val="sysDot"/>
            </a:ln>
          </c:spPr>
          <c:marker>
            <c:symbol val="none"/>
          </c:marker>
          <c:xVal>
            <c:numRef>
              <c:f>'System Curve'!$I$9:$I$24</c:f>
              <c:numCache>
                <c:formatCode>General</c:formatCode>
                <c:ptCount val="16"/>
                <c:pt idx="0">
                  <c:v>0</c:v>
                </c:pt>
                <c:pt idx="1">
                  <c:v>200</c:v>
                </c:pt>
                <c:pt idx="2">
                  <c:v>400</c:v>
                </c:pt>
                <c:pt idx="3">
                  <c:v>600</c:v>
                </c:pt>
                <c:pt idx="4">
                  <c:v>800</c:v>
                </c:pt>
                <c:pt idx="5">
                  <c:v>1000</c:v>
                </c:pt>
                <c:pt idx="6">
                  <c:v>1200</c:v>
                </c:pt>
                <c:pt idx="7">
                  <c:v>1400</c:v>
                </c:pt>
                <c:pt idx="8">
                  <c:v>1600</c:v>
                </c:pt>
                <c:pt idx="9">
                  <c:v>1800</c:v>
                </c:pt>
                <c:pt idx="10">
                  <c:v>2000</c:v>
                </c:pt>
                <c:pt idx="11">
                  <c:v>2200</c:v>
                </c:pt>
                <c:pt idx="12">
                  <c:v>2400</c:v>
                </c:pt>
                <c:pt idx="13">
                  <c:v>2600</c:v>
                </c:pt>
                <c:pt idx="14">
                  <c:v>2800</c:v>
                </c:pt>
                <c:pt idx="15">
                  <c:v>3000</c:v>
                </c:pt>
              </c:numCache>
            </c:numRef>
          </c:xVal>
          <c:yVal>
            <c:numRef>
              <c:f>'System Curve'!$AL$9:$AL$24</c:f>
              <c:numCache>
                <c:formatCode>0.00</c:formatCode>
                <c:ptCount val="16"/>
                <c:pt idx="0">
                  <c:v>2.0099999999999998</c:v>
                </c:pt>
                <c:pt idx="1">
                  <c:v>2.0659085661243282</c:v>
                </c:pt>
                <c:pt idx="2">
                  <c:v>2.2287554205524103</c:v>
                </c:pt>
                <c:pt idx="3">
                  <c:v>2.4962879645884337</c:v>
                </c:pt>
                <c:pt idx="4">
                  <c:v>2.8674334407602409</c:v>
                </c:pt>
                <c:pt idx="5">
                  <c:v>3.3414835456230243</c:v>
                </c:pt>
                <c:pt idx="6">
                  <c:v>3.9179134381567815</c:v>
                </c:pt>
                <c:pt idx="7">
                  <c:v>4.5963086344834103</c:v>
                </c:pt>
                <c:pt idx="8">
                  <c:v>5.3763281200698287</c:v>
                </c:pt>
                <c:pt idx="9">
                  <c:v>6.2576831639177701</c:v>
                </c:pt>
                <c:pt idx="10">
                  <c:v>7.2401240512701754</c:v>
                </c:pt>
                <c:pt idx="11">
                  <c:v>8.3234312398832664</c:v>
                </c:pt>
                <c:pt idx="12">
                  <c:v>9.5074091789095263</c:v>
                </c:pt>
                <c:pt idx="13">
                  <c:v>10.791881824656857</c:v>
                </c:pt>
                <c:pt idx="14">
                  <c:v>12.176689287840338</c:v>
                </c:pt>
                <c:pt idx="15">
                  <c:v>13.661685263625426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0271-4FA2-AD62-BE87C759A07A}"/>
            </c:ext>
          </c:extLst>
        </c:ser>
        <c:ser>
          <c:idx val="9"/>
          <c:order val="9"/>
          <c:tx>
            <c:v>OneDerate</c:v>
          </c:tx>
          <c:marker>
            <c:symbol val="none"/>
          </c:marker>
          <c:xVal>
            <c:numRef>
              <c:f>'Pump Curve'!$G$10:$G$15</c:f>
              <c:numCache>
                <c:formatCode>General</c:formatCode>
                <c:ptCount val="6"/>
                <c:pt idx="0">
                  <c:v>0</c:v>
                </c:pt>
                <c:pt idx="1">
                  <c:v>840</c:v>
                </c:pt>
                <c:pt idx="2">
                  <c:v>1260</c:v>
                </c:pt>
                <c:pt idx="3">
                  <c:v>1680</c:v>
                </c:pt>
                <c:pt idx="4">
                  <c:v>2100</c:v>
                </c:pt>
                <c:pt idx="5">
                  <c:v>2520</c:v>
                </c:pt>
              </c:numCache>
            </c:numRef>
          </c:xVal>
          <c:yVal>
            <c:numRef>
              <c:f>'Pump Curve'!$F$10:$F$15</c:f>
              <c:numCache>
                <c:formatCode>0</c:formatCode>
                <c:ptCount val="6"/>
                <c:pt idx="0">
                  <c:v>58</c:v>
                </c:pt>
                <c:pt idx="1">
                  <c:v>48.651033860834623</c:v>
                </c:pt>
                <c:pt idx="2">
                  <c:v>43.316743583671943</c:v>
                </c:pt>
                <c:pt idx="3">
                  <c:v>37.209839842695203</c:v>
                </c:pt>
                <c:pt idx="4">
                  <c:v>30.530552193564638</c:v>
                </c:pt>
                <c:pt idx="5">
                  <c:v>23.079050632038378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898-4C9A-AEE2-9F88C9EA8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2869688"/>
        <c:axId val="272870080"/>
      </c:scatterChart>
      <c:valAx>
        <c:axId val="272869688"/>
        <c:scaling>
          <c:orientation val="minMax"/>
          <c:max val="3000"/>
          <c:min val="100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Flow, GPM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72870080"/>
        <c:crosses val="autoZero"/>
        <c:crossBetween val="midCat"/>
        <c:majorUnit val="100"/>
      </c:valAx>
      <c:valAx>
        <c:axId val="272870080"/>
        <c:scaling>
          <c:orientation val="minMax"/>
          <c:max val="7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Total</a:t>
                </a:r>
                <a:r>
                  <a:rPr lang="en-US" baseline="0"/>
                  <a:t> Head, ft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72869688"/>
        <c:crosses val="autoZero"/>
        <c:crossBetween val="midCat"/>
        <c:majorUnit val="5"/>
      </c:valAx>
    </c:plotArea>
    <c:legend>
      <c:legendPos val="r"/>
      <c:layout>
        <c:manualLayout>
          <c:xMode val="edge"/>
          <c:yMode val="edge"/>
          <c:x val="0.87560051535341532"/>
          <c:y val="0.42464946131025405"/>
          <c:w val="0.1101291805379957"/>
          <c:h val="0.331188889850307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'VS Pump Data'!$J$73</c:f>
              <c:strCache>
                <c:ptCount val="1"/>
                <c:pt idx="0">
                  <c:v>1900 rpm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64-4E3B-A40C-72BF77E2882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64-4E3B-A40C-72BF77E2882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64-4E3B-A40C-72BF77E2882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C64-4E3B-A40C-72BF77E288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'VS Pump Data'!$D$45:$D$49</c:f>
              <c:numCache>
                <c:formatCode>General</c:formatCode>
                <c:ptCount val="5"/>
                <c:pt idx="0">
                  <c:v>960</c:v>
                </c:pt>
                <c:pt idx="1">
                  <c:v>1440</c:v>
                </c:pt>
                <c:pt idx="2">
                  <c:v>1920</c:v>
                </c:pt>
                <c:pt idx="3">
                  <c:v>2400</c:v>
                </c:pt>
                <c:pt idx="4">
                  <c:v>2880</c:v>
                </c:pt>
              </c:numCache>
            </c:numRef>
          </c:xVal>
          <c:yVal>
            <c:numRef>
              <c:f>'VS Pump Data'!$E$45:$E$49</c:f>
              <c:numCache>
                <c:formatCode>0.0</c:formatCode>
                <c:ptCount val="5"/>
                <c:pt idx="0">
                  <c:v>66.03458276326829</c:v>
                </c:pt>
                <c:pt idx="1">
                  <c:v>54.532720857093793</c:v>
                </c:pt>
                <c:pt idx="2">
                  <c:v>42.152937928727553</c:v>
                </c:pt>
                <c:pt idx="3">
                  <c:v>29.495822217782589</c:v>
                </c:pt>
                <c:pt idx="4">
                  <c:v>14.561809599985269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5C64-4E3B-A40C-72BF77E28821}"/>
            </c:ext>
          </c:extLst>
        </c:ser>
        <c:ser>
          <c:idx val="1"/>
          <c:order val="1"/>
          <c:tx>
            <c:strRef>
              <c:f>'VS Pump Data'!$J$74</c:f>
              <c:strCache>
                <c:ptCount val="1"/>
                <c:pt idx="0">
                  <c:v>1805 rpm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C64-4E3B-A40C-72BF77E2882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C64-4E3B-A40C-72BF77E2882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C64-4E3B-A40C-72BF77E2882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C64-4E3B-A40C-72BF77E288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'VS Pump Data'!$F$45:$F$49</c:f>
              <c:numCache>
                <c:formatCode>General</c:formatCode>
                <c:ptCount val="5"/>
                <c:pt idx="0">
                  <c:v>912</c:v>
                </c:pt>
                <c:pt idx="1">
                  <c:v>1368</c:v>
                </c:pt>
                <c:pt idx="2">
                  <c:v>1824</c:v>
                </c:pt>
                <c:pt idx="3">
                  <c:v>2280</c:v>
                </c:pt>
                <c:pt idx="4">
                  <c:v>2736</c:v>
                </c:pt>
              </c:numCache>
            </c:numRef>
          </c:xVal>
          <c:yVal>
            <c:numRef>
              <c:f>'VS Pump Data'!$G$45:$G$49</c:f>
              <c:numCache>
                <c:formatCode>0.0</c:formatCode>
                <c:ptCount val="5"/>
                <c:pt idx="0">
                  <c:v>59.595953173396651</c:v>
                </c:pt>
                <c:pt idx="1">
                  <c:v>49.215234813198009</c:v>
                </c:pt>
                <c:pt idx="2">
                  <c:v>38.042097217716631</c:v>
                </c:pt>
                <c:pt idx="3">
                  <c:v>26.618575373592932</c:v>
                </c:pt>
                <c:pt idx="4">
                  <c:v>13.140065696990227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5C64-4E3B-A40C-72BF77E28821}"/>
            </c:ext>
          </c:extLst>
        </c:ser>
        <c:ser>
          <c:idx val="2"/>
          <c:order val="2"/>
          <c:tx>
            <c:strRef>
              <c:f>'VS Pump Data'!$J$75</c:f>
              <c:strCache>
                <c:ptCount val="1"/>
                <c:pt idx="0">
                  <c:v>1710 rpm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C64-4E3B-A40C-72BF77E2882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C64-4E3B-A40C-72BF77E2882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C64-4E3B-A40C-72BF77E2882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C64-4E3B-A40C-72BF77E288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'VS Pump Data'!$H$45:$H$49</c:f>
              <c:numCache>
                <c:formatCode>General</c:formatCode>
                <c:ptCount val="5"/>
                <c:pt idx="0">
                  <c:v>864</c:v>
                </c:pt>
                <c:pt idx="1">
                  <c:v>1296</c:v>
                </c:pt>
                <c:pt idx="2">
                  <c:v>1728</c:v>
                </c:pt>
                <c:pt idx="3">
                  <c:v>2160</c:v>
                </c:pt>
                <c:pt idx="4">
                  <c:v>2592</c:v>
                </c:pt>
              </c:numCache>
            </c:numRef>
          </c:xVal>
          <c:yVal>
            <c:numRef>
              <c:f>'VS Pump Data'!$I$45:$I$49</c:f>
              <c:numCache>
                <c:formatCode>0.0</c:formatCode>
                <c:ptCount val="5"/>
                <c:pt idx="0">
                  <c:v>53.487534890620573</c:v>
                </c:pt>
                <c:pt idx="1">
                  <c:v>44.170493661138174</c:v>
                </c:pt>
                <c:pt idx="2">
                  <c:v>34.142159604192017</c:v>
                </c:pt>
                <c:pt idx="3">
                  <c:v>23.889016783920887</c:v>
                </c:pt>
                <c:pt idx="4">
                  <c:v>11.791423883765063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5C64-4E3B-A40C-72BF77E28821}"/>
            </c:ext>
          </c:extLst>
        </c:ser>
        <c:ser>
          <c:idx val="3"/>
          <c:order val="3"/>
          <c:tx>
            <c:strRef>
              <c:f>'VS Pump Data'!$J$76</c:f>
              <c:strCache>
                <c:ptCount val="1"/>
                <c:pt idx="0">
                  <c:v>1615 rpm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C64-4E3B-A40C-72BF77E2882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C64-4E3B-A40C-72BF77E2882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C64-4E3B-A40C-72BF77E2882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C64-4E3B-A40C-72BF77E288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'VS Pump Data'!$J$45:$J$49</c:f>
              <c:numCache>
                <c:formatCode>General</c:formatCode>
                <c:ptCount val="5"/>
                <c:pt idx="0">
                  <c:v>816</c:v>
                </c:pt>
                <c:pt idx="1">
                  <c:v>1224</c:v>
                </c:pt>
                <c:pt idx="2">
                  <c:v>1632</c:v>
                </c:pt>
                <c:pt idx="3">
                  <c:v>2040</c:v>
                </c:pt>
                <c:pt idx="4">
                  <c:v>2448</c:v>
                </c:pt>
              </c:numCache>
            </c:numRef>
          </c:xVal>
          <c:yVal>
            <c:numRef>
              <c:f>'VS Pump Data'!$K$45:$K$49</c:f>
              <c:numCache>
                <c:formatCode>0.0</c:formatCode>
                <c:ptCount val="5"/>
                <c:pt idx="0">
                  <c:v>47.709326721270799</c:v>
                </c:pt>
                <c:pt idx="1">
                  <c:v>39.398494873637269</c:v>
                </c:pt>
                <c:pt idx="2">
                  <c:v>30.453120784973734</c:v>
                </c:pt>
                <c:pt idx="3">
                  <c:v>21.307139946376118</c:v>
                </c:pt>
                <c:pt idx="4">
                  <c:v>10.515875049471392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5C64-4E3B-A40C-72BF77E28821}"/>
            </c:ext>
          </c:extLst>
        </c:ser>
        <c:ser>
          <c:idx val="4"/>
          <c:order val="4"/>
          <c:tx>
            <c:strRef>
              <c:f>'VS Pump Data'!$J$77</c:f>
              <c:strCache>
                <c:ptCount val="1"/>
                <c:pt idx="0">
                  <c:v>1520 rpm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C64-4E3B-A40C-72BF77E2882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C64-4E3B-A40C-72BF77E2882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C64-4E3B-A40C-72BF77E2882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C64-4E3B-A40C-72BF77E288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'VS Pump Data'!$L$45:$L$49</c:f>
              <c:numCache>
                <c:formatCode>General</c:formatCode>
                <c:ptCount val="5"/>
                <c:pt idx="0">
                  <c:v>768</c:v>
                </c:pt>
                <c:pt idx="1">
                  <c:v>1152</c:v>
                </c:pt>
                <c:pt idx="2">
                  <c:v>1536</c:v>
                </c:pt>
                <c:pt idx="3">
                  <c:v>1920</c:v>
                </c:pt>
                <c:pt idx="4">
                  <c:v>2304</c:v>
                </c:pt>
              </c:numCache>
            </c:numRef>
          </c:xVal>
          <c:yVal>
            <c:numRef>
              <c:f>'VS Pump Data'!$M$45:$M$49</c:f>
              <c:numCache>
                <c:formatCode>0.0</c:formatCode>
                <c:ptCount val="5"/>
                <c:pt idx="0">
                  <c:v>42.261327392770475</c:v>
                </c:pt>
                <c:pt idx="1">
                  <c:v>34.899235756352546</c:v>
                </c:pt>
                <c:pt idx="2">
                  <c:v>26.974976172419922</c:v>
                </c:pt>
                <c:pt idx="3">
                  <c:v>18.872937928727552</c:v>
                </c:pt>
                <c:pt idx="4">
                  <c:v>9.3134094809985886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8-5C64-4E3B-A40C-72BF77E28821}"/>
            </c:ext>
          </c:extLst>
        </c:ser>
        <c:ser>
          <c:idx val="5"/>
          <c:order val="5"/>
          <c:tx>
            <c:strRef>
              <c:f>'VS Pump Data'!$J$78</c:f>
              <c:strCache>
                <c:ptCount val="1"/>
                <c:pt idx="0">
                  <c:v>1425 rpm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C64-4E3B-A40C-72BF77E2882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C64-4E3B-A40C-72BF77E2882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C64-4E3B-A40C-72BF77E2882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5C64-4E3B-A40C-72BF77E288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'VS Pump Data'!$N$45:$N$49</c:f>
              <c:numCache>
                <c:formatCode>General</c:formatCode>
                <c:ptCount val="5"/>
                <c:pt idx="0">
                  <c:v>720</c:v>
                </c:pt>
                <c:pt idx="1">
                  <c:v>1080</c:v>
                </c:pt>
                <c:pt idx="2">
                  <c:v>1440</c:v>
                </c:pt>
                <c:pt idx="3">
                  <c:v>1800</c:v>
                </c:pt>
                <c:pt idx="4">
                  <c:v>2160</c:v>
                </c:pt>
              </c:numCache>
            </c:numRef>
          </c:xVal>
          <c:yVal>
            <c:numRef>
              <c:f>'VS Pump Data'!$O$45:$O$49</c:f>
              <c:numCache>
                <c:formatCode>0.0</c:formatCode>
                <c:ptCount val="5"/>
                <c:pt idx="0">
                  <c:v>37.143535543279292</c:v>
                </c:pt>
                <c:pt idx="1">
                  <c:v>30.672713425949617</c:v>
                </c:pt>
                <c:pt idx="2">
                  <c:v>23.707720857093793</c:v>
                </c:pt>
                <c:pt idx="3">
                  <c:v>16.586403312490642</c:v>
                </c:pt>
                <c:pt idx="4">
                  <c:v>8.1840167839208942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D-5C64-4E3B-A40C-72BF77E28821}"/>
            </c:ext>
          </c:extLst>
        </c:ser>
        <c:ser>
          <c:idx val="6"/>
          <c:order val="6"/>
          <c:tx>
            <c:strRef>
              <c:f>'VS Pump Data'!$J$79</c:f>
              <c:strCache>
                <c:ptCount val="1"/>
                <c:pt idx="0">
                  <c:v>1330 rpm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5C64-4E3B-A40C-72BF77E2882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C64-4E3B-A40C-72BF77E2882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5C64-4E3B-A40C-72BF77E2882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5C64-4E3B-A40C-72BF77E288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'VS Pump Data'!$P$45:$P$49</c:f>
              <c:numCache>
                <c:formatCode>General</c:formatCode>
                <c:ptCount val="5"/>
                <c:pt idx="0">
                  <c:v>672</c:v>
                </c:pt>
                <c:pt idx="1">
                  <c:v>1008</c:v>
                </c:pt>
                <c:pt idx="2">
                  <c:v>1344</c:v>
                </c:pt>
                <c:pt idx="3">
                  <c:v>1680</c:v>
                </c:pt>
                <c:pt idx="4">
                  <c:v>2016</c:v>
                </c:pt>
              </c:numCache>
            </c:numRef>
          </c:xVal>
          <c:yVal>
            <c:numRef>
              <c:f>'VS Pump Data'!$Q$45:$Q$49</c:f>
              <c:numCache>
                <c:formatCode>0.0</c:formatCode>
                <c:ptCount val="5"/>
                <c:pt idx="0">
                  <c:v>32.355949709214734</c:v>
                </c:pt>
                <c:pt idx="1">
                  <c:v>26.718924783681999</c:v>
                </c:pt>
                <c:pt idx="2">
                  <c:v>20.651349562777618</c:v>
                </c:pt>
                <c:pt idx="3">
                  <c:v>14.447528124950509</c:v>
                </c:pt>
                <c:pt idx="4">
                  <c:v>7.1276857872515134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2-5C64-4E3B-A40C-72BF77E28821}"/>
            </c:ext>
          </c:extLst>
        </c:ser>
        <c:ser>
          <c:idx val="7"/>
          <c:order val="7"/>
          <c:tx>
            <c:strRef>
              <c:f>'VS Pump Data'!$J$80</c:f>
              <c:strCache>
                <c:ptCount val="1"/>
                <c:pt idx="0">
                  <c:v>1235 rpm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5C64-4E3B-A40C-72BF77E2882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5C64-4E3B-A40C-72BF77E2882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5C64-4E3B-A40C-72BF77E2882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5C64-4E3B-A40C-72BF77E288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'VS Pump Data'!$R$45:$R$49</c:f>
              <c:numCache>
                <c:formatCode>General</c:formatCode>
                <c:ptCount val="5"/>
                <c:pt idx="0">
                  <c:v>624</c:v>
                </c:pt>
                <c:pt idx="1">
                  <c:v>936</c:v>
                </c:pt>
                <c:pt idx="2">
                  <c:v>1248</c:v>
                </c:pt>
                <c:pt idx="3">
                  <c:v>1560</c:v>
                </c:pt>
                <c:pt idx="4">
                  <c:v>1872</c:v>
                </c:pt>
              </c:numCache>
            </c:numRef>
          </c:xVal>
          <c:yVal>
            <c:numRef>
              <c:f>'VS Pump Data'!$S$45:$S$49</c:f>
              <c:numCache>
                <c:formatCode>0.0</c:formatCode>
                <c:ptCount val="5"/>
                <c:pt idx="0">
                  <c:v>27.898568310036481</c:v>
                </c:pt>
                <c:pt idx="1">
                  <c:v>23.037866483176227</c:v>
                </c:pt>
                <c:pt idx="2">
                  <c:v>17.805856591620604</c:v>
                </c:pt>
                <c:pt idx="3">
                  <c:v>12.456303756276755</c:v>
                </c:pt>
                <c:pt idx="4">
                  <c:v>6.1444044273078671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7-5C64-4E3B-A40C-72BF77E28821}"/>
            </c:ext>
          </c:extLst>
        </c:ser>
        <c:ser>
          <c:idx val="8"/>
          <c:order val="8"/>
          <c:tx>
            <c:strRef>
              <c:f>'VS Pump Data'!$J$81</c:f>
              <c:strCache>
                <c:ptCount val="1"/>
                <c:pt idx="0">
                  <c:v>1140 rpm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5C64-4E3B-A40C-72BF77E2882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5C64-4E3B-A40C-72BF77E2882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5C64-4E3B-A40C-72BF77E2882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5C64-4E3B-A40C-72BF77E288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'VS Pump Data'!$T$45:$T$49</c:f>
              <c:numCache>
                <c:formatCode>General</c:formatCode>
                <c:ptCount val="5"/>
                <c:pt idx="0">
                  <c:v>576</c:v>
                </c:pt>
                <c:pt idx="1">
                  <c:v>864</c:v>
                </c:pt>
                <c:pt idx="2">
                  <c:v>1152</c:v>
                </c:pt>
                <c:pt idx="3">
                  <c:v>1440</c:v>
                </c:pt>
                <c:pt idx="4">
                  <c:v>1728</c:v>
                </c:pt>
              </c:numCache>
            </c:numRef>
          </c:xVal>
          <c:yVal>
            <c:numRef>
              <c:f>'VS Pump Data'!$U$45:$U$49</c:f>
              <c:numCache>
                <c:formatCode>0.0</c:formatCode>
                <c:ptCount val="5"/>
                <c:pt idx="0">
                  <c:v>23.771389629442986</c:v>
                </c:pt>
                <c:pt idx="1">
                  <c:v>19.629534890620576</c:v>
                </c:pt>
                <c:pt idx="2">
                  <c:v>15.171235756352543</c:v>
                </c:pt>
                <c:pt idx="3">
                  <c:v>10.612720857093791</c:v>
                </c:pt>
                <c:pt idx="4">
                  <c:v>5.2341596041920173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C-5C64-4E3B-A40C-72BF77E28821}"/>
            </c:ext>
          </c:extLst>
        </c:ser>
        <c:ser>
          <c:idx val="9"/>
          <c:order val="9"/>
          <c:tx>
            <c:strRef>
              <c:f>'VS Pump Data'!$J$82</c:f>
              <c:strCache>
                <c:ptCount val="1"/>
                <c:pt idx="0">
                  <c:v>1045 rpm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5C64-4E3B-A40C-72BF77E2882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5C64-4E3B-A40C-72BF77E2882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5C64-4E3B-A40C-72BF77E2882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5C64-4E3B-A40C-72BF77E288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'VS Pump Data'!$V$45:$V$49</c:f>
              <c:numCache>
                <c:formatCode>General</c:formatCode>
                <c:ptCount val="5"/>
                <c:pt idx="0">
                  <c:v>528</c:v>
                </c:pt>
                <c:pt idx="1">
                  <c:v>792</c:v>
                </c:pt>
                <c:pt idx="2">
                  <c:v>1056</c:v>
                </c:pt>
                <c:pt idx="3">
                  <c:v>1320</c:v>
                </c:pt>
                <c:pt idx="4">
                  <c:v>1584</c:v>
                </c:pt>
              </c:numCache>
            </c:numRef>
          </c:xVal>
          <c:yVal>
            <c:numRef>
              <c:f>'VS Pump Data'!$W$45:$W$49</c:f>
              <c:numCache>
                <c:formatCode>0.0</c:formatCode>
                <c:ptCount val="5"/>
                <c:pt idx="0">
                  <c:v>19.974411791773587</c:v>
                </c:pt>
                <c:pt idx="1">
                  <c:v>16.493926034802787</c:v>
                </c:pt>
                <c:pt idx="2">
                  <c:v>12.747480295213226</c:v>
                </c:pt>
                <c:pt idx="3">
                  <c:v>8.9167692099335483</c:v>
                </c:pt>
                <c:pt idx="4">
                  <c:v>4.3969370016763518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1-5C64-4E3B-A40C-72BF77E28821}"/>
            </c:ext>
          </c:extLst>
        </c:ser>
        <c:ser>
          <c:idx val="10"/>
          <c:order val="10"/>
          <c:tx>
            <c:strRef>
              <c:f>'VS Pump Data'!$J$83</c:f>
              <c:strCache>
                <c:ptCount val="1"/>
                <c:pt idx="0">
                  <c:v>950 rpm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5C64-4E3B-A40C-72BF77E2882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5C64-4E3B-A40C-72BF77E2882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5C64-4E3B-A40C-72BF77E2882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5C64-4E3B-A40C-72BF77E288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'VS Pump Data'!$X$45:$X$49</c:f>
              <c:numCache>
                <c:formatCode>General</c:formatCode>
                <c:ptCount val="5"/>
                <c:pt idx="0">
                  <c:v>480</c:v>
                </c:pt>
                <c:pt idx="1">
                  <c:v>720</c:v>
                </c:pt>
                <c:pt idx="2">
                  <c:v>960</c:v>
                </c:pt>
                <c:pt idx="3">
                  <c:v>1200</c:v>
                </c:pt>
                <c:pt idx="4">
                  <c:v>1440</c:v>
                </c:pt>
              </c:numCache>
            </c:numRef>
          </c:xVal>
          <c:yVal>
            <c:numRef>
              <c:f>'VS Pump Data'!$Y$45:$Y$49</c:f>
              <c:numCache>
                <c:formatCode>0.0</c:formatCode>
                <c:ptCount val="5"/>
                <c:pt idx="0">
                  <c:v>16.507632731860294</c:v>
                </c:pt>
                <c:pt idx="1">
                  <c:v>13.631035543279292</c:v>
                </c:pt>
                <c:pt idx="2">
                  <c:v>10.534582763268283</c:v>
                </c:pt>
                <c:pt idx="3">
                  <c:v>7.3684375650064835</c:v>
                </c:pt>
                <c:pt idx="4">
                  <c:v>3.6327208570937932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6-5C64-4E3B-A40C-72BF77E28821}"/>
            </c:ext>
          </c:extLst>
        </c:ser>
        <c:ser>
          <c:idx val="11"/>
          <c:order val="11"/>
          <c:tx>
            <c:v>Lead On</c:v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'System Curve'!$I$9:$I$24</c:f>
              <c:numCache>
                <c:formatCode>General</c:formatCode>
                <c:ptCount val="16"/>
                <c:pt idx="0">
                  <c:v>0</c:v>
                </c:pt>
                <c:pt idx="1">
                  <c:v>200</c:v>
                </c:pt>
                <c:pt idx="2">
                  <c:v>400</c:v>
                </c:pt>
                <c:pt idx="3">
                  <c:v>600</c:v>
                </c:pt>
                <c:pt idx="4">
                  <c:v>800</c:v>
                </c:pt>
                <c:pt idx="5">
                  <c:v>1000</c:v>
                </c:pt>
                <c:pt idx="6">
                  <c:v>1200</c:v>
                </c:pt>
                <c:pt idx="7">
                  <c:v>1400</c:v>
                </c:pt>
                <c:pt idx="8">
                  <c:v>1600</c:v>
                </c:pt>
                <c:pt idx="9">
                  <c:v>1800</c:v>
                </c:pt>
                <c:pt idx="10">
                  <c:v>2000</c:v>
                </c:pt>
                <c:pt idx="11">
                  <c:v>2200</c:v>
                </c:pt>
                <c:pt idx="12">
                  <c:v>2400</c:v>
                </c:pt>
                <c:pt idx="13">
                  <c:v>2600</c:v>
                </c:pt>
                <c:pt idx="14">
                  <c:v>2800</c:v>
                </c:pt>
                <c:pt idx="15">
                  <c:v>3000</c:v>
                </c:pt>
              </c:numCache>
            </c:numRef>
          </c:xVal>
          <c:yVal>
            <c:numRef>
              <c:f>'System Curve'!$AI$9:$AI$24</c:f>
              <c:numCache>
                <c:formatCode>0.00</c:formatCode>
                <c:ptCount val="16"/>
                <c:pt idx="0">
                  <c:v>15.57</c:v>
                </c:pt>
                <c:pt idx="1">
                  <c:v>15.625908566124329</c:v>
                </c:pt>
                <c:pt idx="2">
                  <c:v>15.788755420552411</c:v>
                </c:pt>
                <c:pt idx="3">
                  <c:v>16.056287964588435</c:v>
                </c:pt>
                <c:pt idx="4">
                  <c:v>16.42743344076024</c:v>
                </c:pt>
                <c:pt idx="5">
                  <c:v>16.901483545623023</c:v>
                </c:pt>
                <c:pt idx="6">
                  <c:v>17.477913438156783</c:v>
                </c:pt>
                <c:pt idx="7">
                  <c:v>18.156308634483409</c:v>
                </c:pt>
                <c:pt idx="8">
                  <c:v>18.936328120069831</c:v>
                </c:pt>
                <c:pt idx="9">
                  <c:v>19.817683163917771</c:v>
                </c:pt>
                <c:pt idx="10">
                  <c:v>20.800124051270174</c:v>
                </c:pt>
                <c:pt idx="11">
                  <c:v>21.883431239883265</c:v>
                </c:pt>
                <c:pt idx="12">
                  <c:v>23.067409178909525</c:v>
                </c:pt>
                <c:pt idx="13">
                  <c:v>24.351881824656857</c:v>
                </c:pt>
                <c:pt idx="14">
                  <c:v>25.736689287840338</c:v>
                </c:pt>
                <c:pt idx="15">
                  <c:v>27.221685263625425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7-5C64-4E3B-A40C-72BF77E28821}"/>
            </c:ext>
          </c:extLst>
        </c:ser>
        <c:ser>
          <c:idx val="12"/>
          <c:order val="12"/>
          <c:tx>
            <c:v>Affinity Upper</c:v>
          </c:tx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'VS Pump Data'!$F$73:$F$83</c:f>
              <c:numCache>
                <c:formatCode>0.0</c:formatCode>
                <c:ptCount val="11"/>
                <c:pt idx="0" formatCode="General">
                  <c:v>2880</c:v>
                </c:pt>
                <c:pt idx="1">
                  <c:v>2736</c:v>
                </c:pt>
                <c:pt idx="2">
                  <c:v>2592</c:v>
                </c:pt>
                <c:pt idx="3">
                  <c:v>2448</c:v>
                </c:pt>
                <c:pt idx="4">
                  <c:v>2304</c:v>
                </c:pt>
                <c:pt idx="5" formatCode="General">
                  <c:v>2160</c:v>
                </c:pt>
                <c:pt idx="6" formatCode="General">
                  <c:v>2016</c:v>
                </c:pt>
                <c:pt idx="7" formatCode="General">
                  <c:v>1872</c:v>
                </c:pt>
                <c:pt idx="8" formatCode="General">
                  <c:v>1728</c:v>
                </c:pt>
                <c:pt idx="9" formatCode="General">
                  <c:v>1584</c:v>
                </c:pt>
                <c:pt idx="10" formatCode="General">
                  <c:v>1440</c:v>
                </c:pt>
              </c:numCache>
            </c:numRef>
          </c:xVal>
          <c:yVal>
            <c:numRef>
              <c:f>'VS Pump Data'!$G$73:$G$83</c:f>
              <c:numCache>
                <c:formatCode>0.0</c:formatCode>
                <c:ptCount val="11"/>
                <c:pt idx="0" formatCode="General">
                  <c:v>14.561809599985269</c:v>
                </c:pt>
                <c:pt idx="1">
                  <c:v>13.140065696990227</c:v>
                </c:pt>
                <c:pt idx="2">
                  <c:v>11.791423883765063</c:v>
                </c:pt>
                <c:pt idx="3">
                  <c:v>10.515875049471392</c:v>
                </c:pt>
                <c:pt idx="4">
                  <c:v>9.3134094809985886</c:v>
                </c:pt>
                <c:pt idx="5">
                  <c:v>8.1840167839208942</c:v>
                </c:pt>
                <c:pt idx="6">
                  <c:v>7.1276857872515134</c:v>
                </c:pt>
                <c:pt idx="7">
                  <c:v>6.1444044273078671</c:v>
                </c:pt>
                <c:pt idx="8">
                  <c:v>5.2341596041920173</c:v>
                </c:pt>
                <c:pt idx="9">
                  <c:v>4.3969370016763518</c:v>
                </c:pt>
                <c:pt idx="10">
                  <c:v>3.6327208570937932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8-5C64-4E3B-A40C-72BF77E28821}"/>
            </c:ext>
          </c:extLst>
        </c:ser>
        <c:ser>
          <c:idx val="13"/>
          <c:order val="13"/>
          <c:tx>
            <c:v>Affinity Lower</c:v>
          </c:tx>
          <c:spPr>
            <a:ln w="1905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'VS Pump Data'!$D$73:$D$83</c:f>
              <c:numCache>
                <c:formatCode>General</c:formatCode>
                <c:ptCount val="11"/>
                <c:pt idx="0">
                  <c:v>960</c:v>
                </c:pt>
                <c:pt idx="1">
                  <c:v>912</c:v>
                </c:pt>
                <c:pt idx="2">
                  <c:v>864</c:v>
                </c:pt>
                <c:pt idx="3">
                  <c:v>816</c:v>
                </c:pt>
                <c:pt idx="4">
                  <c:v>768</c:v>
                </c:pt>
                <c:pt idx="5">
                  <c:v>720</c:v>
                </c:pt>
                <c:pt idx="6">
                  <c:v>672</c:v>
                </c:pt>
                <c:pt idx="7">
                  <c:v>624</c:v>
                </c:pt>
                <c:pt idx="8">
                  <c:v>576</c:v>
                </c:pt>
                <c:pt idx="9">
                  <c:v>528</c:v>
                </c:pt>
                <c:pt idx="10">
                  <c:v>480</c:v>
                </c:pt>
              </c:numCache>
            </c:numRef>
          </c:xVal>
          <c:yVal>
            <c:numRef>
              <c:f>'VS Pump Data'!$E$73:$E$83</c:f>
              <c:numCache>
                <c:formatCode>0.0</c:formatCode>
                <c:ptCount val="11"/>
                <c:pt idx="0" formatCode="General">
                  <c:v>66.03458276326829</c:v>
                </c:pt>
                <c:pt idx="1">
                  <c:v>59.595953173396651</c:v>
                </c:pt>
                <c:pt idx="2">
                  <c:v>53.487534890620573</c:v>
                </c:pt>
                <c:pt idx="3">
                  <c:v>47.709326721270799</c:v>
                </c:pt>
                <c:pt idx="4">
                  <c:v>42.261327392770475</c:v>
                </c:pt>
                <c:pt idx="5">
                  <c:v>37.143535543279292</c:v>
                </c:pt>
                <c:pt idx="6">
                  <c:v>32.355949709214734</c:v>
                </c:pt>
                <c:pt idx="7">
                  <c:v>27.898568310036481</c:v>
                </c:pt>
                <c:pt idx="8">
                  <c:v>23.771389629442986</c:v>
                </c:pt>
                <c:pt idx="9">
                  <c:v>19.974411791773587</c:v>
                </c:pt>
                <c:pt idx="10">
                  <c:v>16.507632731860294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9-5C64-4E3B-A40C-72BF77E28821}"/>
            </c:ext>
          </c:extLst>
        </c:ser>
        <c:ser>
          <c:idx val="14"/>
          <c:order val="14"/>
          <c:tx>
            <c:v>Lag On</c:v>
          </c:tx>
          <c:spPr>
            <a:ln w="1905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'System Curve'!$I$9:$I$24</c:f>
              <c:numCache>
                <c:formatCode>General</c:formatCode>
                <c:ptCount val="16"/>
                <c:pt idx="0">
                  <c:v>0</c:v>
                </c:pt>
                <c:pt idx="1">
                  <c:v>200</c:v>
                </c:pt>
                <c:pt idx="2">
                  <c:v>400</c:v>
                </c:pt>
                <c:pt idx="3">
                  <c:v>600</c:v>
                </c:pt>
                <c:pt idx="4">
                  <c:v>800</c:v>
                </c:pt>
                <c:pt idx="5">
                  <c:v>1000</c:v>
                </c:pt>
                <c:pt idx="6">
                  <c:v>1200</c:v>
                </c:pt>
                <c:pt idx="7">
                  <c:v>1400</c:v>
                </c:pt>
                <c:pt idx="8">
                  <c:v>1600</c:v>
                </c:pt>
                <c:pt idx="9">
                  <c:v>1800</c:v>
                </c:pt>
                <c:pt idx="10">
                  <c:v>2000</c:v>
                </c:pt>
                <c:pt idx="11">
                  <c:v>2200</c:v>
                </c:pt>
                <c:pt idx="12">
                  <c:v>2400</c:v>
                </c:pt>
                <c:pt idx="13">
                  <c:v>2600</c:v>
                </c:pt>
                <c:pt idx="14">
                  <c:v>2800</c:v>
                </c:pt>
                <c:pt idx="15">
                  <c:v>3000</c:v>
                </c:pt>
              </c:numCache>
            </c:numRef>
          </c:xVal>
          <c:yVal>
            <c:numRef>
              <c:f>'System Curve'!$AK$9:$AK$24</c:f>
              <c:numCache>
                <c:formatCode>0.00</c:formatCode>
                <c:ptCount val="16"/>
                <c:pt idx="0">
                  <c:v>15.22</c:v>
                </c:pt>
                <c:pt idx="1">
                  <c:v>15.275908566124329</c:v>
                </c:pt>
                <c:pt idx="2">
                  <c:v>15.438755420552411</c:v>
                </c:pt>
                <c:pt idx="3">
                  <c:v>15.706287964588434</c:v>
                </c:pt>
                <c:pt idx="4">
                  <c:v>16.077433440760242</c:v>
                </c:pt>
                <c:pt idx="5">
                  <c:v>16.551483545623025</c:v>
                </c:pt>
                <c:pt idx="6">
                  <c:v>17.127913438156781</c:v>
                </c:pt>
                <c:pt idx="7">
                  <c:v>17.806308634483411</c:v>
                </c:pt>
                <c:pt idx="8">
                  <c:v>18.58632812006983</c:v>
                </c:pt>
                <c:pt idx="9">
                  <c:v>19.467683163917769</c:v>
                </c:pt>
                <c:pt idx="10">
                  <c:v>20.450124051270176</c:v>
                </c:pt>
                <c:pt idx="11">
                  <c:v>21.533431239883267</c:v>
                </c:pt>
                <c:pt idx="12">
                  <c:v>22.717409178909527</c:v>
                </c:pt>
                <c:pt idx="13">
                  <c:v>24.001881824656856</c:v>
                </c:pt>
                <c:pt idx="14">
                  <c:v>25.386689287840341</c:v>
                </c:pt>
                <c:pt idx="15">
                  <c:v>26.871685263625427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A-5C64-4E3B-A40C-72BF77E28821}"/>
            </c:ext>
          </c:extLst>
        </c:ser>
        <c:ser>
          <c:idx val="15"/>
          <c:order val="15"/>
          <c:tx>
            <c:v>Lag Off</c:v>
          </c:tx>
          <c:spPr>
            <a:ln w="1905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'System Curve'!$I$9:$I$24</c:f>
              <c:numCache>
                <c:formatCode>General</c:formatCode>
                <c:ptCount val="16"/>
                <c:pt idx="0">
                  <c:v>0</c:v>
                </c:pt>
                <c:pt idx="1">
                  <c:v>200</c:v>
                </c:pt>
                <c:pt idx="2">
                  <c:v>400</c:v>
                </c:pt>
                <c:pt idx="3">
                  <c:v>600</c:v>
                </c:pt>
                <c:pt idx="4">
                  <c:v>800</c:v>
                </c:pt>
                <c:pt idx="5">
                  <c:v>1000</c:v>
                </c:pt>
                <c:pt idx="6">
                  <c:v>1200</c:v>
                </c:pt>
                <c:pt idx="7">
                  <c:v>1400</c:v>
                </c:pt>
                <c:pt idx="8">
                  <c:v>1600</c:v>
                </c:pt>
                <c:pt idx="9">
                  <c:v>1800</c:v>
                </c:pt>
                <c:pt idx="10">
                  <c:v>2000</c:v>
                </c:pt>
                <c:pt idx="11">
                  <c:v>2200</c:v>
                </c:pt>
                <c:pt idx="12">
                  <c:v>2400</c:v>
                </c:pt>
                <c:pt idx="13">
                  <c:v>2600</c:v>
                </c:pt>
                <c:pt idx="14">
                  <c:v>2800</c:v>
                </c:pt>
                <c:pt idx="15">
                  <c:v>3000</c:v>
                </c:pt>
              </c:numCache>
            </c:numRef>
          </c:xVal>
          <c:yVal>
            <c:numRef>
              <c:f>'System Curve'!$AJ$9:$AJ$24</c:f>
              <c:numCache>
                <c:formatCode>0.00</c:formatCode>
                <c:ptCount val="16"/>
                <c:pt idx="0">
                  <c:v>22.799999999999997</c:v>
                </c:pt>
                <c:pt idx="1">
                  <c:v>22.855908566124327</c:v>
                </c:pt>
                <c:pt idx="2">
                  <c:v>23.018755420552406</c:v>
                </c:pt>
                <c:pt idx="3">
                  <c:v>23.286287964588432</c:v>
                </c:pt>
                <c:pt idx="4">
                  <c:v>23.657433440760236</c:v>
                </c:pt>
                <c:pt idx="5">
                  <c:v>24.13148354562302</c:v>
                </c:pt>
                <c:pt idx="6">
                  <c:v>24.70791343815678</c:v>
                </c:pt>
                <c:pt idx="7">
                  <c:v>25.386308634483406</c:v>
                </c:pt>
                <c:pt idx="8">
                  <c:v>26.166328120069828</c:v>
                </c:pt>
                <c:pt idx="9">
                  <c:v>27.047683163917768</c:v>
                </c:pt>
                <c:pt idx="10">
                  <c:v>28.030124051270171</c:v>
                </c:pt>
                <c:pt idx="11">
                  <c:v>29.113431239883262</c:v>
                </c:pt>
                <c:pt idx="12">
                  <c:v>30.297409178909522</c:v>
                </c:pt>
                <c:pt idx="13">
                  <c:v>31.581881824656854</c:v>
                </c:pt>
                <c:pt idx="14">
                  <c:v>32.966689287840339</c:v>
                </c:pt>
                <c:pt idx="15">
                  <c:v>34.451685263625421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B-5C64-4E3B-A40C-72BF77E28821}"/>
            </c:ext>
          </c:extLst>
        </c:ser>
        <c:ser>
          <c:idx val="16"/>
          <c:order val="16"/>
          <c:tx>
            <c:v>Lead Off</c:v>
          </c:tx>
          <c:spPr>
            <a:ln w="1905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'System Curve'!$I$9:$I$24</c:f>
              <c:numCache>
                <c:formatCode>General</c:formatCode>
                <c:ptCount val="16"/>
                <c:pt idx="0">
                  <c:v>0</c:v>
                </c:pt>
                <c:pt idx="1">
                  <c:v>200</c:v>
                </c:pt>
                <c:pt idx="2">
                  <c:v>400</c:v>
                </c:pt>
                <c:pt idx="3">
                  <c:v>600</c:v>
                </c:pt>
                <c:pt idx="4">
                  <c:v>800</c:v>
                </c:pt>
                <c:pt idx="5">
                  <c:v>1000</c:v>
                </c:pt>
                <c:pt idx="6">
                  <c:v>1200</c:v>
                </c:pt>
                <c:pt idx="7">
                  <c:v>1400</c:v>
                </c:pt>
                <c:pt idx="8">
                  <c:v>1600</c:v>
                </c:pt>
                <c:pt idx="9">
                  <c:v>1800</c:v>
                </c:pt>
                <c:pt idx="10">
                  <c:v>2000</c:v>
                </c:pt>
                <c:pt idx="11">
                  <c:v>2200</c:v>
                </c:pt>
                <c:pt idx="12">
                  <c:v>2400</c:v>
                </c:pt>
                <c:pt idx="13">
                  <c:v>2600</c:v>
                </c:pt>
                <c:pt idx="14">
                  <c:v>2800</c:v>
                </c:pt>
                <c:pt idx="15">
                  <c:v>3000</c:v>
                </c:pt>
              </c:numCache>
            </c:numRef>
          </c:xVal>
          <c:yVal>
            <c:numRef>
              <c:f>'System Curve'!$AH$9:$AH$24</c:f>
              <c:numCache>
                <c:formatCode>0.00</c:formatCode>
                <c:ptCount val="16"/>
                <c:pt idx="0">
                  <c:v>22.799999999999997</c:v>
                </c:pt>
                <c:pt idx="1">
                  <c:v>22.855908566124327</c:v>
                </c:pt>
                <c:pt idx="2">
                  <c:v>23.018755420552406</c:v>
                </c:pt>
                <c:pt idx="3">
                  <c:v>23.286287964588432</c:v>
                </c:pt>
                <c:pt idx="4">
                  <c:v>23.657433440760236</c:v>
                </c:pt>
                <c:pt idx="5">
                  <c:v>24.13148354562302</c:v>
                </c:pt>
                <c:pt idx="6">
                  <c:v>24.70791343815678</c:v>
                </c:pt>
                <c:pt idx="7">
                  <c:v>25.386308634483406</c:v>
                </c:pt>
                <c:pt idx="8">
                  <c:v>26.166328120069828</c:v>
                </c:pt>
                <c:pt idx="9">
                  <c:v>27.047683163917768</c:v>
                </c:pt>
                <c:pt idx="10">
                  <c:v>28.030124051270171</c:v>
                </c:pt>
                <c:pt idx="11">
                  <c:v>29.113431239883262</c:v>
                </c:pt>
                <c:pt idx="12">
                  <c:v>30.297409178909522</c:v>
                </c:pt>
                <c:pt idx="13">
                  <c:v>31.581881824656854</c:v>
                </c:pt>
                <c:pt idx="14">
                  <c:v>32.966689287840339</c:v>
                </c:pt>
                <c:pt idx="15">
                  <c:v>34.451685263625421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C-5C64-4E3B-A40C-72BF77E28821}"/>
            </c:ext>
          </c:extLst>
        </c:ser>
        <c:ser>
          <c:idx val="17"/>
          <c:order val="17"/>
          <c:tx>
            <c:v>Overflow</c:v>
          </c:tx>
          <c:spPr>
            <a:ln w="1905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'System Curve'!$I$9:$I$24</c:f>
              <c:numCache>
                <c:formatCode>General</c:formatCode>
                <c:ptCount val="16"/>
                <c:pt idx="0">
                  <c:v>0</c:v>
                </c:pt>
                <c:pt idx="1">
                  <c:v>200</c:v>
                </c:pt>
                <c:pt idx="2">
                  <c:v>400</c:v>
                </c:pt>
                <c:pt idx="3">
                  <c:v>600</c:v>
                </c:pt>
                <c:pt idx="4">
                  <c:v>800</c:v>
                </c:pt>
                <c:pt idx="5">
                  <c:v>1000</c:v>
                </c:pt>
                <c:pt idx="6">
                  <c:v>1200</c:v>
                </c:pt>
                <c:pt idx="7">
                  <c:v>1400</c:v>
                </c:pt>
                <c:pt idx="8">
                  <c:v>1600</c:v>
                </c:pt>
                <c:pt idx="9">
                  <c:v>1800</c:v>
                </c:pt>
                <c:pt idx="10">
                  <c:v>2000</c:v>
                </c:pt>
                <c:pt idx="11">
                  <c:v>2200</c:v>
                </c:pt>
                <c:pt idx="12">
                  <c:v>2400</c:v>
                </c:pt>
                <c:pt idx="13">
                  <c:v>2600</c:v>
                </c:pt>
                <c:pt idx="14">
                  <c:v>2800</c:v>
                </c:pt>
                <c:pt idx="15">
                  <c:v>3000</c:v>
                </c:pt>
              </c:numCache>
            </c:numRef>
          </c:xVal>
          <c:yVal>
            <c:numRef>
              <c:f>'System Curve'!$AL$9:$AL$24</c:f>
              <c:numCache>
                <c:formatCode>0.00</c:formatCode>
                <c:ptCount val="16"/>
                <c:pt idx="0">
                  <c:v>2.0099999999999998</c:v>
                </c:pt>
                <c:pt idx="1">
                  <c:v>2.0659085661243282</c:v>
                </c:pt>
                <c:pt idx="2">
                  <c:v>2.2287554205524103</c:v>
                </c:pt>
                <c:pt idx="3">
                  <c:v>2.4962879645884337</c:v>
                </c:pt>
                <c:pt idx="4">
                  <c:v>2.8674334407602409</c:v>
                </c:pt>
                <c:pt idx="5">
                  <c:v>3.3414835456230243</c:v>
                </c:pt>
                <c:pt idx="6">
                  <c:v>3.9179134381567815</c:v>
                </c:pt>
                <c:pt idx="7">
                  <c:v>4.5963086344834103</c:v>
                </c:pt>
                <c:pt idx="8">
                  <c:v>5.3763281200698287</c:v>
                </c:pt>
                <c:pt idx="9">
                  <c:v>6.2576831639177701</c:v>
                </c:pt>
                <c:pt idx="10">
                  <c:v>7.2401240512701754</c:v>
                </c:pt>
                <c:pt idx="11">
                  <c:v>8.3234312398832664</c:v>
                </c:pt>
                <c:pt idx="12">
                  <c:v>9.5074091789095263</c:v>
                </c:pt>
                <c:pt idx="13">
                  <c:v>10.791881824656857</c:v>
                </c:pt>
                <c:pt idx="14">
                  <c:v>12.176689287840338</c:v>
                </c:pt>
                <c:pt idx="15">
                  <c:v>13.661685263625426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D-5C64-4E3B-A40C-72BF77E28821}"/>
            </c:ext>
          </c:extLst>
        </c:ser>
        <c:dLbls>
          <c:dLblPos val="l"/>
          <c:showLegendKey val="0"/>
          <c:showVal val="1"/>
          <c:showCatName val="0"/>
          <c:showSerName val="0"/>
          <c:showPercent val="0"/>
          <c:showBubbleSize val="0"/>
        </c:dLbls>
        <c:axId val="613006432"/>
        <c:axId val="612978880"/>
      </c:scatterChart>
      <c:valAx>
        <c:axId val="6130064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Flow,</a:t>
                </a:r>
                <a:r>
                  <a:rPr lang="en-US" b="1" baseline="0"/>
                  <a:t> GPM</a:t>
                </a:r>
                <a:endParaRPr lang="en-US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2978880"/>
        <c:crosses val="autoZero"/>
        <c:crossBetween val="midCat"/>
        <c:majorUnit val="200"/>
        <c:minorUnit val="25"/>
      </c:valAx>
      <c:valAx>
        <c:axId val="612978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Total Dynamic Head, ft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3006432"/>
        <c:crosses val="autoZero"/>
        <c:crossBetween val="midCat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</xdr:colOff>
      <xdr:row>3</xdr:row>
      <xdr:rowOff>9525</xdr:rowOff>
    </xdr:from>
    <xdr:to>
      <xdr:col>18</xdr:col>
      <xdr:colOff>0</xdr:colOff>
      <xdr:row>24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885824</xdr:colOff>
      <xdr:row>33</xdr:row>
      <xdr:rowOff>219074</xdr:rowOff>
    </xdr:from>
    <xdr:to>
      <xdr:col>18</xdr:col>
      <xdr:colOff>85724</xdr:colOff>
      <xdr:row>52</xdr:row>
      <xdr:rowOff>180974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419098</xdr:colOff>
      <xdr:row>70</xdr:row>
      <xdr:rowOff>95250</xdr:rowOff>
    </xdr:from>
    <xdr:to>
      <xdr:col>24</xdr:col>
      <xdr:colOff>514350</xdr:colOff>
      <xdr:row>106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600074</xdr:colOff>
      <xdr:row>1</xdr:row>
      <xdr:rowOff>28574</xdr:rowOff>
    </xdr:from>
    <xdr:to>
      <xdr:col>24</xdr:col>
      <xdr:colOff>19049</xdr:colOff>
      <xdr:row>40</xdr:row>
      <xdr:rowOff>9524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D405056-4F6F-4F83-82D1-B27ABD95BA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../../../../C316069%20-PS%2072,73,7,2,9%20Improvements/02-Design/A-30Design/PS%2072/Standards/Minor%20Loss%20Coefficients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</sheetPr>
  <dimension ref="B1:AV324"/>
  <sheetViews>
    <sheetView topLeftCell="D53" workbookViewId="0">
      <selection activeCell="R75" sqref="R75:R79"/>
    </sheetView>
  </sheetViews>
  <sheetFormatPr defaultRowHeight="15" x14ac:dyDescent="0.25"/>
  <cols>
    <col min="1" max="2" width="9.140625" style="49"/>
    <col min="3" max="3" width="23.42578125" style="49" customWidth="1"/>
    <col min="4" max="4" width="9.140625" style="49" customWidth="1"/>
    <col min="5" max="5" width="10.28515625" style="49" customWidth="1"/>
    <col min="6" max="13" width="9.140625" style="49"/>
    <col min="14" max="14" width="9.140625" style="49" customWidth="1"/>
    <col min="15" max="17" width="9.140625" style="49"/>
    <col min="18" max="18" width="12.140625" style="49" customWidth="1"/>
    <col min="19" max="19" width="11.42578125" style="49" bestFit="1" customWidth="1"/>
    <col min="20" max="30" width="9.140625" style="49"/>
    <col min="31" max="31" width="16.140625" style="49" bestFit="1" customWidth="1"/>
    <col min="32" max="33" width="16.42578125" style="49" bestFit="1" customWidth="1"/>
    <col min="34" max="34" width="15" style="49" bestFit="1" customWidth="1"/>
    <col min="35" max="35" width="14.7109375" style="49" bestFit="1" customWidth="1"/>
    <col min="36" max="36" width="19" style="49" bestFit="1" customWidth="1"/>
    <col min="37" max="37" width="18.7109375" style="49" bestFit="1" customWidth="1"/>
    <col min="38" max="38" width="16.140625" style="49" customWidth="1"/>
    <col min="39" max="41" width="9.140625" style="49" customWidth="1"/>
    <col min="42" max="42" width="12.85546875" style="49" customWidth="1"/>
    <col min="43" max="43" width="13.5703125" style="49" customWidth="1"/>
    <col min="44" max="48" width="12.85546875" style="49" customWidth="1"/>
    <col min="49" max="16384" width="9.140625" style="49"/>
  </cols>
  <sheetData>
    <row r="1" spans="2:38" ht="18.75" x14ac:dyDescent="0.3">
      <c r="B1" s="59" t="s">
        <v>66</v>
      </c>
    </row>
    <row r="2" spans="2:38" x14ac:dyDescent="0.25">
      <c r="B2" s="60" t="s">
        <v>67</v>
      </c>
    </row>
    <row r="3" spans="2:38" ht="15.75" thickBot="1" x14ac:dyDescent="0.3">
      <c r="B3" s="67" t="s">
        <v>98</v>
      </c>
    </row>
    <row r="4" spans="2:38" ht="15.75" thickBot="1" x14ac:dyDescent="0.3">
      <c r="B4" s="226" t="s">
        <v>52</v>
      </c>
      <c r="C4" s="34" t="s">
        <v>43</v>
      </c>
      <c r="D4" s="21">
        <v>8.6199999999999992</v>
      </c>
    </row>
    <row r="5" spans="2:38" ht="15" customHeight="1" thickBot="1" x14ac:dyDescent="0.3">
      <c r="B5" s="227"/>
      <c r="C5" s="35" t="s">
        <v>90</v>
      </c>
      <c r="D5" s="4">
        <v>-13.9</v>
      </c>
      <c r="J5" s="220" t="s">
        <v>117</v>
      </c>
      <c r="K5" s="221"/>
      <c r="L5" s="220" t="s">
        <v>203</v>
      </c>
      <c r="M5" s="221"/>
      <c r="N5" s="220" t="s">
        <v>204</v>
      </c>
      <c r="O5" s="221"/>
      <c r="P5" s="220" t="s">
        <v>202</v>
      </c>
      <c r="Q5" s="221"/>
      <c r="S5" s="69"/>
      <c r="T5" s="189" t="s">
        <v>162</v>
      </c>
      <c r="U5" s="190"/>
      <c r="V5" s="190"/>
      <c r="W5" s="190"/>
      <c r="X5" s="190"/>
      <c r="Y5" s="190"/>
      <c r="Z5" s="190"/>
      <c r="AA5" s="190"/>
      <c r="AB5" s="190"/>
      <c r="AC5" s="190"/>
      <c r="AD5" s="191"/>
    </row>
    <row r="6" spans="2:38" ht="15.75" customHeight="1" thickBot="1" x14ac:dyDescent="0.3">
      <c r="B6" s="227"/>
      <c r="C6" s="36" t="s">
        <v>44</v>
      </c>
      <c r="D6" s="22">
        <v>-15.39</v>
      </c>
      <c r="H6" s="68"/>
      <c r="I6" s="12"/>
      <c r="J6" s="229">
        <f>D33</f>
        <v>10</v>
      </c>
      <c r="K6" s="230"/>
      <c r="L6" s="229">
        <f>D39</f>
        <v>12</v>
      </c>
      <c r="M6" s="230"/>
      <c r="N6" s="229">
        <v>10</v>
      </c>
      <c r="O6" s="230"/>
      <c r="P6" s="222">
        <v>8</v>
      </c>
      <c r="Q6" s="223"/>
      <c r="R6" s="68" t="s">
        <v>118</v>
      </c>
      <c r="S6" s="149" t="s">
        <v>164</v>
      </c>
      <c r="T6" s="21"/>
      <c r="U6" s="21" t="s">
        <v>152</v>
      </c>
      <c r="V6" s="21" t="s">
        <v>144</v>
      </c>
      <c r="W6" s="21" t="s">
        <v>153</v>
      </c>
      <c r="X6" s="21" t="s">
        <v>144</v>
      </c>
      <c r="Y6" s="21" t="s">
        <v>151</v>
      </c>
      <c r="Z6" s="21" t="s">
        <v>154</v>
      </c>
      <c r="AA6" s="21" t="s">
        <v>155</v>
      </c>
      <c r="AB6" s="146"/>
      <c r="AC6" s="146"/>
      <c r="AD6" s="4"/>
      <c r="AF6" s="68" t="s">
        <v>125</v>
      </c>
      <c r="AG6" s="68" t="s">
        <v>126</v>
      </c>
    </row>
    <row r="7" spans="2:38" ht="15.75" customHeight="1" x14ac:dyDescent="0.25">
      <c r="B7" s="61"/>
      <c r="C7" s="37"/>
      <c r="D7" s="5"/>
      <c r="E7" s="43" t="s">
        <v>4</v>
      </c>
      <c r="F7" s="69"/>
      <c r="H7" s="68"/>
      <c r="I7" s="8"/>
      <c r="J7" s="224" t="s">
        <v>8</v>
      </c>
      <c r="K7" s="224" t="s">
        <v>76</v>
      </c>
      <c r="L7" s="224" t="s">
        <v>8</v>
      </c>
      <c r="M7" s="241" t="s">
        <v>76</v>
      </c>
      <c r="N7" s="224" t="s">
        <v>8</v>
      </c>
      <c r="O7" s="224" t="s">
        <v>76</v>
      </c>
      <c r="P7" s="224" t="s">
        <v>8</v>
      </c>
      <c r="Q7" s="224" t="s">
        <v>76</v>
      </c>
      <c r="R7" s="68" t="s">
        <v>123</v>
      </c>
      <c r="S7" s="148"/>
      <c r="T7" s="65">
        <v>10</v>
      </c>
      <c r="U7" s="65">
        <v>10</v>
      </c>
      <c r="V7" s="65">
        <v>10</v>
      </c>
      <c r="W7" s="65">
        <v>12</v>
      </c>
      <c r="X7" s="65">
        <v>12</v>
      </c>
      <c r="Y7" s="65">
        <v>12</v>
      </c>
      <c r="Z7" s="65">
        <v>12</v>
      </c>
      <c r="AA7" s="65">
        <v>12</v>
      </c>
      <c r="AB7" s="147">
        <v>10</v>
      </c>
      <c r="AC7" s="147">
        <v>10</v>
      </c>
      <c r="AD7" s="65">
        <v>10</v>
      </c>
      <c r="AE7" s="224" t="s">
        <v>165</v>
      </c>
      <c r="AF7" s="224" t="s">
        <v>124</v>
      </c>
      <c r="AG7" s="224" t="s">
        <v>124</v>
      </c>
      <c r="AH7" s="224" t="s">
        <v>70</v>
      </c>
      <c r="AI7" s="224" t="s">
        <v>71</v>
      </c>
      <c r="AJ7" s="224" t="s">
        <v>72</v>
      </c>
      <c r="AK7" s="224" t="s">
        <v>73</v>
      </c>
      <c r="AL7" s="224" t="s">
        <v>74</v>
      </c>
    </row>
    <row r="8" spans="2:38" ht="15.75" customHeight="1" thickBot="1" x14ac:dyDescent="0.3">
      <c r="B8" s="227" t="s">
        <v>53</v>
      </c>
      <c r="C8" s="38" t="s">
        <v>45</v>
      </c>
      <c r="D8" s="23">
        <v>1.21</v>
      </c>
      <c r="E8" s="15">
        <f>$D$4-($D$6+D8)</f>
        <v>22.799999999999997</v>
      </c>
      <c r="F8" s="69"/>
      <c r="H8" s="63"/>
      <c r="I8" s="8"/>
      <c r="J8" s="225"/>
      <c r="K8" s="225"/>
      <c r="L8" s="225"/>
      <c r="M8" s="242"/>
      <c r="N8" s="225"/>
      <c r="O8" s="225"/>
      <c r="P8" s="225"/>
      <c r="Q8" s="225"/>
      <c r="R8" s="68" t="s">
        <v>119</v>
      </c>
      <c r="S8" s="149"/>
      <c r="T8" s="66">
        <v>0.5</v>
      </c>
      <c r="U8" s="66">
        <v>0.5</v>
      </c>
      <c r="V8" s="66">
        <v>0.5</v>
      </c>
      <c r="W8" s="66">
        <v>0.5</v>
      </c>
      <c r="X8" s="66">
        <v>0.5</v>
      </c>
      <c r="Y8" s="66">
        <v>0.5</v>
      </c>
      <c r="Z8" s="66">
        <v>0.5</v>
      </c>
      <c r="AA8" s="66">
        <v>0.5</v>
      </c>
      <c r="AB8" s="150">
        <v>0.5</v>
      </c>
      <c r="AC8" s="150">
        <v>0.5</v>
      </c>
      <c r="AD8" s="66">
        <v>0.5</v>
      </c>
      <c r="AE8" s="225"/>
      <c r="AF8" s="237"/>
      <c r="AG8" s="237"/>
      <c r="AH8" s="237"/>
      <c r="AI8" s="237"/>
      <c r="AJ8" s="237"/>
      <c r="AK8" s="237"/>
      <c r="AL8" s="237"/>
    </row>
    <row r="9" spans="2:38" x14ac:dyDescent="0.25">
      <c r="B9" s="227"/>
      <c r="C9" s="38" t="s">
        <v>46</v>
      </c>
      <c r="D9" s="23">
        <v>1.21</v>
      </c>
      <c r="E9" s="15">
        <f>$D$4-($D$6+D9)</f>
        <v>22.799999999999997</v>
      </c>
      <c r="F9" s="69"/>
      <c r="H9" s="231" t="s">
        <v>75</v>
      </c>
      <c r="I9" s="28">
        <v>0</v>
      </c>
      <c r="J9" s="102">
        <f>($I9/449)/(0.25*PI()*(($J$6/12)^2))</f>
        <v>0</v>
      </c>
      <c r="K9" s="188">
        <f>(J9^2)/64.4</f>
        <v>0</v>
      </c>
      <c r="L9" s="102">
        <f>($I9/449)/(0.25*PI()*(($L$6/12)^2))</f>
        <v>0</v>
      </c>
      <c r="M9" s="101">
        <f t="shared" ref="M9:M24" si="0">((L9^2))/(2*32.2)</f>
        <v>0</v>
      </c>
      <c r="N9" s="102">
        <f>($I9/449)/(0.25*PI()*(($N$6/12)^2))</f>
        <v>0</v>
      </c>
      <c r="O9" s="101">
        <f>((N9^2))/(2*32.2)</f>
        <v>0</v>
      </c>
      <c r="P9" s="102">
        <f>($I9/449)/(0.25*PI()*(($P$6/12)^2))</f>
        <v>0</v>
      </c>
      <c r="Q9" s="101">
        <f>((P9^2))/(2*32.2)</f>
        <v>0</v>
      </c>
      <c r="S9" s="99"/>
      <c r="T9" s="31">
        <f t="shared" ref="T9:AA18" si="1">T$8*IF(T$7=$J$6,$K9,IF(T$7=$L$6,$M9,IF(T$7=$N$6,$O9,$Q9)))</f>
        <v>0</v>
      </c>
      <c r="U9" s="31">
        <f t="shared" si="1"/>
        <v>0</v>
      </c>
      <c r="V9" s="31">
        <f t="shared" si="1"/>
        <v>0</v>
      </c>
      <c r="W9" s="31">
        <f t="shared" si="1"/>
        <v>0</v>
      </c>
      <c r="X9" s="31">
        <f t="shared" si="1"/>
        <v>0</v>
      </c>
      <c r="Y9" s="31">
        <f t="shared" si="1"/>
        <v>0</v>
      </c>
      <c r="Z9" s="31">
        <f t="shared" si="1"/>
        <v>0</v>
      </c>
      <c r="AA9" s="31">
        <f t="shared" si="1"/>
        <v>0</v>
      </c>
      <c r="AB9" s="101">
        <f t="shared" ref="AB9:AD24" si="2">AB$8*IF(AB$7=$L$6,$M9,$O9)</f>
        <v>0</v>
      </c>
      <c r="AC9" s="101">
        <f t="shared" si="2"/>
        <v>0</v>
      </c>
      <c r="AD9" s="102">
        <f t="shared" si="2"/>
        <v>0</v>
      </c>
      <c r="AE9" s="29">
        <f>SUM(T9:AD9)</f>
        <v>0</v>
      </c>
      <c r="AF9" s="101">
        <f t="shared" ref="AF9:AF24" si="3">(10.44*$D$34*(I9^1.85))/(($D$32^1.85)*($D$33^4.87))</f>
        <v>0</v>
      </c>
      <c r="AG9" s="29">
        <f t="shared" ref="AG9:AG24" si="4">(10.44*$D$40*(I9^1.85))/(($D$38^1.85)*($D$39^4.87))</f>
        <v>0</v>
      </c>
      <c r="AH9" s="29">
        <f t="shared" ref="AH9:AH24" si="5">SUM(AE9:AG9)+$E$8</f>
        <v>22.799999999999997</v>
      </c>
      <c r="AI9" s="29">
        <f t="shared" ref="AI9:AI24" si="6">SUM(AE9:AG9)+$E$10</f>
        <v>15.57</v>
      </c>
      <c r="AJ9" s="29">
        <f t="shared" ref="AJ9:AJ24" si="7">$E$9+SUM(AE9:AG9)</f>
        <v>22.799999999999997</v>
      </c>
      <c r="AK9" s="29">
        <f t="shared" ref="AK9:AK24" si="8">$E$11+SUM(AE9:AG9)</f>
        <v>15.22</v>
      </c>
      <c r="AL9" s="29">
        <f t="shared" ref="AL9:AL24" si="9">$E$12+SUM(AE9:AG9)</f>
        <v>2.0099999999999998</v>
      </c>
    </row>
    <row r="10" spans="2:38" x14ac:dyDescent="0.25">
      <c r="B10" s="227"/>
      <c r="C10" s="38" t="s">
        <v>188</v>
      </c>
      <c r="D10" s="23">
        <v>8.44</v>
      </c>
      <c r="E10" s="15">
        <f>$D$4-($D$6+D10)</f>
        <v>15.57</v>
      </c>
      <c r="F10" s="69"/>
      <c r="H10" s="232"/>
      <c r="I10" s="30">
        <v>200</v>
      </c>
      <c r="J10" s="103">
        <f t="shared" ref="J10:J24" si="10">($I10/449)/(0.25*PI()*(($J$6/12)^2))</f>
        <v>0.81668817123324466</v>
      </c>
      <c r="K10" s="54">
        <f t="shared" ref="K10:K24" si="11">(J10^2)/64.4</f>
        <v>1.0356825606091639E-2</v>
      </c>
      <c r="L10" s="103">
        <f t="shared" ref="L10:L24" si="12">($I10/449)/(0.25*PI()*(($L$6/12)^2))</f>
        <v>0.56714456335641994</v>
      </c>
      <c r="M10" s="54">
        <f t="shared" si="0"/>
        <v>4.9946111140488228E-3</v>
      </c>
      <c r="N10" s="103">
        <f t="shared" ref="N10:N24" si="13">($I10/449)/(0.25*PI()*(($N$6/12)^2))</f>
        <v>0.81668817123324466</v>
      </c>
      <c r="O10" s="54">
        <f t="shared" ref="O10:O24" si="14">((N10^2))/(2*32.2)</f>
        <v>1.0356825606091639E-2</v>
      </c>
      <c r="P10" s="103">
        <f t="shared" ref="P10:P24" si="15">($I10/449)/(0.25*PI()*(($P$6/12)^2))</f>
        <v>1.2760752675519449</v>
      </c>
      <c r="Q10" s="54">
        <f t="shared" ref="Q10:Q24" si="16">((P10^2))/(2*32.2)</f>
        <v>2.5285218764872167E-2</v>
      </c>
      <c r="S10" s="99"/>
      <c r="T10" s="31">
        <f t="shared" si="1"/>
        <v>5.1784128030458194E-3</v>
      </c>
      <c r="U10" s="31">
        <f t="shared" si="1"/>
        <v>5.1784128030458194E-3</v>
      </c>
      <c r="V10" s="31">
        <f t="shared" si="1"/>
        <v>5.1784128030458194E-3</v>
      </c>
      <c r="W10" s="31">
        <f t="shared" si="1"/>
        <v>2.4973055570244114E-3</v>
      </c>
      <c r="X10" s="31">
        <f t="shared" si="1"/>
        <v>2.4973055570244114E-3</v>
      </c>
      <c r="Y10" s="31">
        <f t="shared" si="1"/>
        <v>2.4973055570244114E-3</v>
      </c>
      <c r="Z10" s="31">
        <f t="shared" si="1"/>
        <v>2.4973055570244114E-3</v>
      </c>
      <c r="AA10" s="31">
        <f t="shared" si="1"/>
        <v>2.4973055570244114E-3</v>
      </c>
      <c r="AB10" s="54">
        <f t="shared" si="2"/>
        <v>5.1784128030458194E-3</v>
      </c>
      <c r="AC10" s="54">
        <f t="shared" si="2"/>
        <v>5.1784128030458194E-3</v>
      </c>
      <c r="AD10" s="103">
        <f t="shared" si="2"/>
        <v>5.1784128030458194E-3</v>
      </c>
      <c r="AE10" s="31">
        <f t="shared" ref="AE10:AE24" si="17">SUM(T10:AD10)</f>
        <v>4.3557004603396968E-2</v>
      </c>
      <c r="AF10" s="54">
        <f t="shared" si="3"/>
        <v>5.6659166998529603E-3</v>
      </c>
      <c r="AG10" s="31">
        <f t="shared" si="4"/>
        <v>6.6856448210785352E-3</v>
      </c>
      <c r="AH10" s="31">
        <f t="shared" si="5"/>
        <v>22.855908566124327</v>
      </c>
      <c r="AI10" s="31">
        <f t="shared" si="6"/>
        <v>15.625908566124329</v>
      </c>
      <c r="AJ10" s="31">
        <f t="shared" si="7"/>
        <v>22.855908566124327</v>
      </c>
      <c r="AK10" s="31">
        <f t="shared" si="8"/>
        <v>15.275908566124329</v>
      </c>
      <c r="AL10" s="31">
        <f t="shared" si="9"/>
        <v>2.0659085661243282</v>
      </c>
    </row>
    <row r="11" spans="2:38" x14ac:dyDescent="0.25">
      <c r="B11" s="227"/>
      <c r="C11" s="38" t="s">
        <v>189</v>
      </c>
      <c r="D11" s="23">
        <v>8.7899999999999991</v>
      </c>
      <c r="E11" s="15">
        <f>$D$4-($D$6+D11)</f>
        <v>15.22</v>
      </c>
      <c r="F11" s="69"/>
      <c r="H11" s="232"/>
      <c r="I11" s="30">
        <v>400</v>
      </c>
      <c r="J11" s="103">
        <f t="shared" si="10"/>
        <v>1.6333763424664893</v>
      </c>
      <c r="K11" s="54">
        <f t="shared" si="11"/>
        <v>4.1427302424366555E-2</v>
      </c>
      <c r="L11" s="103">
        <f t="shared" si="12"/>
        <v>1.1342891267128399</v>
      </c>
      <c r="M11" s="54">
        <f t="shared" si="0"/>
        <v>1.9978444456195291E-2</v>
      </c>
      <c r="N11" s="103">
        <f t="shared" si="13"/>
        <v>1.6333763424664893</v>
      </c>
      <c r="O11" s="54">
        <f t="shared" si="14"/>
        <v>4.1427302424366555E-2</v>
      </c>
      <c r="P11" s="103">
        <f t="shared" si="15"/>
        <v>2.5521505351038898</v>
      </c>
      <c r="Q11" s="54">
        <f t="shared" si="16"/>
        <v>0.10114087505948867</v>
      </c>
      <c r="S11" s="99"/>
      <c r="T11" s="31">
        <f t="shared" si="1"/>
        <v>2.0713651212183277E-2</v>
      </c>
      <c r="U11" s="31">
        <f t="shared" si="1"/>
        <v>2.0713651212183277E-2</v>
      </c>
      <c r="V11" s="31">
        <f t="shared" si="1"/>
        <v>2.0713651212183277E-2</v>
      </c>
      <c r="W11" s="31">
        <f t="shared" si="1"/>
        <v>9.9892222280976457E-3</v>
      </c>
      <c r="X11" s="31">
        <f t="shared" si="1"/>
        <v>9.9892222280976457E-3</v>
      </c>
      <c r="Y11" s="31">
        <f t="shared" si="1"/>
        <v>9.9892222280976457E-3</v>
      </c>
      <c r="Z11" s="31">
        <f t="shared" si="1"/>
        <v>9.9892222280976457E-3</v>
      </c>
      <c r="AA11" s="31">
        <f t="shared" si="1"/>
        <v>9.9892222280976457E-3</v>
      </c>
      <c r="AB11" s="54">
        <f t="shared" si="2"/>
        <v>2.0713651212183277E-2</v>
      </c>
      <c r="AC11" s="54">
        <f t="shared" si="2"/>
        <v>2.0713651212183277E-2</v>
      </c>
      <c r="AD11" s="103">
        <f t="shared" si="2"/>
        <v>2.0713651212183277E-2</v>
      </c>
      <c r="AE11" s="31">
        <f t="shared" si="17"/>
        <v>0.17422801841358787</v>
      </c>
      <c r="AF11" s="54">
        <f t="shared" si="3"/>
        <v>2.0425640187427652E-2</v>
      </c>
      <c r="AG11" s="31">
        <f t="shared" si="4"/>
        <v>2.4101761951394941E-2</v>
      </c>
      <c r="AH11" s="31">
        <f t="shared" si="5"/>
        <v>23.018755420552406</v>
      </c>
      <c r="AI11" s="31">
        <f t="shared" si="6"/>
        <v>15.788755420552411</v>
      </c>
      <c r="AJ11" s="31">
        <f t="shared" si="7"/>
        <v>23.018755420552406</v>
      </c>
      <c r="AK11" s="31">
        <f t="shared" si="8"/>
        <v>15.438755420552411</v>
      </c>
      <c r="AL11" s="31">
        <f t="shared" si="9"/>
        <v>2.2287554205524103</v>
      </c>
    </row>
    <row r="12" spans="2:38" ht="15.75" thickBot="1" x14ac:dyDescent="0.3">
      <c r="B12" s="228"/>
      <c r="C12" s="39" t="s">
        <v>48</v>
      </c>
      <c r="D12" s="24">
        <v>22</v>
      </c>
      <c r="E12" s="16">
        <f>$D$4-($D$6+D12)</f>
        <v>2.0099999999999998</v>
      </c>
      <c r="F12" s="69"/>
      <c r="H12" s="232"/>
      <c r="I12" s="30">
        <v>600</v>
      </c>
      <c r="J12" s="103">
        <f t="shared" si="10"/>
        <v>2.4500645136997341</v>
      </c>
      <c r="K12" s="54">
        <f t="shared" si="11"/>
        <v>9.3211430454824745E-2</v>
      </c>
      <c r="L12" s="103">
        <f t="shared" si="12"/>
        <v>1.7014336900692597</v>
      </c>
      <c r="M12" s="54">
        <f t="shared" si="0"/>
        <v>4.4951500026439405E-2</v>
      </c>
      <c r="N12" s="103">
        <f t="shared" si="13"/>
        <v>2.4500645136997341</v>
      </c>
      <c r="O12" s="54">
        <f t="shared" si="14"/>
        <v>9.3211430454824745E-2</v>
      </c>
      <c r="P12" s="103">
        <f t="shared" si="15"/>
        <v>3.8282258026558345</v>
      </c>
      <c r="Q12" s="54">
        <f t="shared" si="16"/>
        <v>0.22756696888384947</v>
      </c>
      <c r="S12" s="99"/>
      <c r="T12" s="31">
        <f t="shared" si="1"/>
        <v>4.6605715227412373E-2</v>
      </c>
      <c r="U12" s="31">
        <f t="shared" si="1"/>
        <v>4.6605715227412373E-2</v>
      </c>
      <c r="V12" s="31">
        <f t="shared" si="1"/>
        <v>4.6605715227412373E-2</v>
      </c>
      <c r="W12" s="31">
        <f t="shared" si="1"/>
        <v>2.2475750013219702E-2</v>
      </c>
      <c r="X12" s="31">
        <f t="shared" si="1"/>
        <v>2.2475750013219702E-2</v>
      </c>
      <c r="Y12" s="31">
        <f t="shared" si="1"/>
        <v>2.2475750013219702E-2</v>
      </c>
      <c r="Z12" s="31">
        <f t="shared" si="1"/>
        <v>2.2475750013219702E-2</v>
      </c>
      <c r="AA12" s="31">
        <f t="shared" si="1"/>
        <v>2.2475750013219702E-2</v>
      </c>
      <c r="AB12" s="54">
        <f t="shared" si="2"/>
        <v>4.6605715227412373E-2</v>
      </c>
      <c r="AC12" s="54">
        <f t="shared" si="2"/>
        <v>4.6605715227412373E-2</v>
      </c>
      <c r="AD12" s="103">
        <f t="shared" si="2"/>
        <v>4.6605715227412373E-2</v>
      </c>
      <c r="AE12" s="31">
        <f t="shared" si="17"/>
        <v>0.3920130414305727</v>
      </c>
      <c r="AF12" s="54">
        <f t="shared" si="3"/>
        <v>4.3245856857230473E-2</v>
      </c>
      <c r="AG12" s="31">
        <f t="shared" si="4"/>
        <v>5.1029066300630546E-2</v>
      </c>
      <c r="AH12" s="31">
        <f t="shared" si="5"/>
        <v>23.286287964588432</v>
      </c>
      <c r="AI12" s="31">
        <f t="shared" si="6"/>
        <v>16.056287964588435</v>
      </c>
      <c r="AJ12" s="31">
        <f t="shared" si="7"/>
        <v>23.286287964588432</v>
      </c>
      <c r="AK12" s="31">
        <f t="shared" si="8"/>
        <v>15.706287964588434</v>
      </c>
      <c r="AL12" s="31">
        <f t="shared" si="9"/>
        <v>2.4962879645884337</v>
      </c>
    </row>
    <row r="13" spans="2:38" x14ac:dyDescent="0.25">
      <c r="B13" s="226" t="s">
        <v>51</v>
      </c>
      <c r="C13" s="58" t="s">
        <v>47</v>
      </c>
      <c r="D13" s="25">
        <v>12.86</v>
      </c>
      <c r="E13" s="6"/>
      <c r="H13" s="232"/>
      <c r="I13" s="30">
        <v>800</v>
      </c>
      <c r="J13" s="103">
        <f t="shared" si="10"/>
        <v>3.2667526849329787</v>
      </c>
      <c r="K13" s="54">
        <f t="shared" si="11"/>
        <v>0.16570920969746622</v>
      </c>
      <c r="L13" s="103">
        <f t="shared" si="12"/>
        <v>2.2685782534256798</v>
      </c>
      <c r="M13" s="54">
        <f t="shared" si="0"/>
        <v>7.9913777824781165E-2</v>
      </c>
      <c r="N13" s="103">
        <f t="shared" si="13"/>
        <v>3.2667526849329787</v>
      </c>
      <c r="O13" s="54">
        <f t="shared" si="14"/>
        <v>0.16570920969746622</v>
      </c>
      <c r="P13" s="103">
        <f t="shared" si="15"/>
        <v>5.1043010702077796</v>
      </c>
      <c r="Q13" s="54">
        <f t="shared" si="16"/>
        <v>0.40456350023795468</v>
      </c>
      <c r="S13" s="99"/>
      <c r="T13" s="31">
        <f t="shared" si="1"/>
        <v>8.285460484873311E-2</v>
      </c>
      <c r="U13" s="31">
        <f t="shared" si="1"/>
        <v>8.285460484873311E-2</v>
      </c>
      <c r="V13" s="31">
        <f t="shared" si="1"/>
        <v>8.285460484873311E-2</v>
      </c>
      <c r="W13" s="31">
        <f t="shared" si="1"/>
        <v>3.9956888912390583E-2</v>
      </c>
      <c r="X13" s="31">
        <f t="shared" si="1"/>
        <v>3.9956888912390583E-2</v>
      </c>
      <c r="Y13" s="31">
        <f t="shared" si="1"/>
        <v>3.9956888912390583E-2</v>
      </c>
      <c r="Z13" s="31">
        <f t="shared" si="1"/>
        <v>3.9956888912390583E-2</v>
      </c>
      <c r="AA13" s="31">
        <f t="shared" si="1"/>
        <v>3.9956888912390583E-2</v>
      </c>
      <c r="AB13" s="54">
        <f t="shared" si="2"/>
        <v>8.285460484873311E-2</v>
      </c>
      <c r="AC13" s="54">
        <f t="shared" si="2"/>
        <v>8.285460484873311E-2</v>
      </c>
      <c r="AD13" s="103">
        <f t="shared" si="2"/>
        <v>8.285460484873311E-2</v>
      </c>
      <c r="AE13" s="31">
        <f t="shared" si="17"/>
        <v>0.69691207365435148</v>
      </c>
      <c r="AF13" s="54">
        <f t="shared" si="3"/>
        <v>7.3634470672166191E-2</v>
      </c>
      <c r="AG13" s="31">
        <f t="shared" si="4"/>
        <v>8.6886896433723243E-2</v>
      </c>
      <c r="AH13" s="31">
        <f t="shared" si="5"/>
        <v>23.657433440760236</v>
      </c>
      <c r="AI13" s="31">
        <f t="shared" si="6"/>
        <v>16.42743344076024</v>
      </c>
      <c r="AJ13" s="31">
        <f t="shared" si="7"/>
        <v>23.657433440760236</v>
      </c>
      <c r="AK13" s="31">
        <f t="shared" si="8"/>
        <v>16.077433440760242</v>
      </c>
      <c r="AL13" s="31">
        <f t="shared" si="9"/>
        <v>2.8674334407602409</v>
      </c>
    </row>
    <row r="14" spans="2:38" x14ac:dyDescent="0.25">
      <c r="B14" s="227"/>
      <c r="C14" s="38" t="s">
        <v>49</v>
      </c>
      <c r="D14" s="26">
        <v>180</v>
      </c>
      <c r="E14" s="8"/>
      <c r="H14" s="232"/>
      <c r="I14" s="30">
        <v>1000</v>
      </c>
      <c r="J14" s="103">
        <f t="shared" si="10"/>
        <v>4.0834408561662228</v>
      </c>
      <c r="K14" s="54">
        <f t="shared" si="11"/>
        <v>0.25892064015229088</v>
      </c>
      <c r="L14" s="103">
        <f t="shared" si="12"/>
        <v>2.8357228167820994</v>
      </c>
      <c r="M14" s="54">
        <f t="shared" si="0"/>
        <v>0.12486527785122054</v>
      </c>
      <c r="N14" s="103">
        <f t="shared" si="13"/>
        <v>4.0834408561662228</v>
      </c>
      <c r="O14" s="54">
        <f t="shared" si="14"/>
        <v>0.25892064015229088</v>
      </c>
      <c r="P14" s="103">
        <f t="shared" si="15"/>
        <v>6.3803763377597242</v>
      </c>
      <c r="Q14" s="54">
        <f t="shared" si="16"/>
        <v>0.63213046912180415</v>
      </c>
      <c r="S14" s="99"/>
      <c r="T14" s="31">
        <f t="shared" si="1"/>
        <v>0.12946032007614544</v>
      </c>
      <c r="U14" s="31">
        <f t="shared" si="1"/>
        <v>0.12946032007614544</v>
      </c>
      <c r="V14" s="31">
        <f t="shared" si="1"/>
        <v>0.12946032007614544</v>
      </c>
      <c r="W14" s="31">
        <f t="shared" si="1"/>
        <v>6.2432638925610268E-2</v>
      </c>
      <c r="X14" s="31">
        <f t="shared" si="1"/>
        <v>6.2432638925610268E-2</v>
      </c>
      <c r="Y14" s="31">
        <f t="shared" si="1"/>
        <v>6.2432638925610268E-2</v>
      </c>
      <c r="Z14" s="31">
        <f t="shared" si="1"/>
        <v>6.2432638925610268E-2</v>
      </c>
      <c r="AA14" s="31">
        <f t="shared" si="1"/>
        <v>6.2432638925610268E-2</v>
      </c>
      <c r="AB14" s="54">
        <f t="shared" si="2"/>
        <v>0.12946032007614544</v>
      </c>
      <c r="AC14" s="54">
        <f t="shared" si="2"/>
        <v>0.12946032007614544</v>
      </c>
      <c r="AD14" s="103">
        <f t="shared" si="2"/>
        <v>0.12946032007614544</v>
      </c>
      <c r="AE14" s="31">
        <f t="shared" si="17"/>
        <v>1.088925115084924</v>
      </c>
      <c r="AF14" s="54">
        <f t="shared" si="3"/>
        <v>0.11126656819439155</v>
      </c>
      <c r="AG14" s="31">
        <f t="shared" si="4"/>
        <v>0.13129186234370877</v>
      </c>
      <c r="AH14" s="31">
        <f t="shared" si="5"/>
        <v>24.13148354562302</v>
      </c>
      <c r="AI14" s="31">
        <f t="shared" si="6"/>
        <v>16.901483545623023</v>
      </c>
      <c r="AJ14" s="31">
        <f t="shared" si="7"/>
        <v>24.13148354562302</v>
      </c>
      <c r="AK14" s="31">
        <f t="shared" si="8"/>
        <v>16.551483545623025</v>
      </c>
      <c r="AL14" s="31">
        <f t="shared" si="9"/>
        <v>3.3414835456230243</v>
      </c>
    </row>
    <row r="15" spans="2:38" x14ac:dyDescent="0.25">
      <c r="B15" s="227"/>
      <c r="C15" s="38" t="s">
        <v>50</v>
      </c>
      <c r="D15" s="44">
        <f>((D12-D13)*D14)*7.48</f>
        <v>12306.096000000001</v>
      </c>
      <c r="E15" s="8" t="s">
        <v>63</v>
      </c>
      <c r="H15" s="232"/>
      <c r="I15" s="30">
        <v>1200</v>
      </c>
      <c r="J15" s="103">
        <f t="shared" si="10"/>
        <v>4.9001290273994682</v>
      </c>
      <c r="K15" s="54">
        <f t="shared" si="11"/>
        <v>0.37284572181929898</v>
      </c>
      <c r="L15" s="103">
        <f t="shared" si="12"/>
        <v>3.4028673801385194</v>
      </c>
      <c r="M15" s="54">
        <f t="shared" si="0"/>
        <v>0.17980600010575762</v>
      </c>
      <c r="N15" s="103">
        <f t="shared" si="13"/>
        <v>4.9001290273994682</v>
      </c>
      <c r="O15" s="54">
        <f t="shared" si="14"/>
        <v>0.37284572181929898</v>
      </c>
      <c r="P15" s="103">
        <f t="shared" si="15"/>
        <v>7.6564516053116689</v>
      </c>
      <c r="Q15" s="54">
        <f t="shared" si="16"/>
        <v>0.9102678755353979</v>
      </c>
      <c r="S15" s="99"/>
      <c r="T15" s="31">
        <f t="shared" si="1"/>
        <v>0.18642286090964949</v>
      </c>
      <c r="U15" s="31">
        <f t="shared" si="1"/>
        <v>0.18642286090964949</v>
      </c>
      <c r="V15" s="31">
        <f t="shared" si="1"/>
        <v>0.18642286090964949</v>
      </c>
      <c r="W15" s="31">
        <f t="shared" si="1"/>
        <v>8.9903000052878809E-2</v>
      </c>
      <c r="X15" s="31">
        <f t="shared" si="1"/>
        <v>8.9903000052878809E-2</v>
      </c>
      <c r="Y15" s="31">
        <f t="shared" si="1"/>
        <v>8.9903000052878809E-2</v>
      </c>
      <c r="Z15" s="31">
        <f t="shared" si="1"/>
        <v>8.9903000052878809E-2</v>
      </c>
      <c r="AA15" s="31">
        <f t="shared" si="1"/>
        <v>8.9903000052878809E-2</v>
      </c>
      <c r="AB15" s="54">
        <f t="shared" si="2"/>
        <v>0.18642286090964949</v>
      </c>
      <c r="AC15" s="54">
        <f t="shared" si="2"/>
        <v>0.18642286090964949</v>
      </c>
      <c r="AD15" s="103">
        <f t="shared" si="2"/>
        <v>0.18642286090964949</v>
      </c>
      <c r="AE15" s="31">
        <f t="shared" si="17"/>
        <v>1.5680521657222908</v>
      </c>
      <c r="AF15" s="54">
        <f t="shared" si="3"/>
        <v>0.1559013939943229</v>
      </c>
      <c r="AG15" s="31">
        <f t="shared" si="4"/>
        <v>0.18395987844016812</v>
      </c>
      <c r="AH15" s="31">
        <f t="shared" si="5"/>
        <v>24.70791343815678</v>
      </c>
      <c r="AI15" s="31">
        <f t="shared" si="6"/>
        <v>17.477913438156783</v>
      </c>
      <c r="AJ15" s="31">
        <f t="shared" si="7"/>
        <v>24.70791343815678</v>
      </c>
      <c r="AK15" s="31">
        <f t="shared" si="8"/>
        <v>17.127913438156781</v>
      </c>
      <c r="AL15" s="31">
        <f t="shared" si="9"/>
        <v>3.9179134381567815</v>
      </c>
    </row>
    <row r="16" spans="2:38" x14ac:dyDescent="0.25">
      <c r="B16" s="227"/>
      <c r="C16" s="38" t="s">
        <v>80</v>
      </c>
      <c r="D16" s="26">
        <v>800</v>
      </c>
      <c r="E16" s="27">
        <v>300</v>
      </c>
      <c r="H16" s="232"/>
      <c r="I16" s="30">
        <v>1400</v>
      </c>
      <c r="J16" s="103">
        <f t="shared" si="10"/>
        <v>5.7168171986327128</v>
      </c>
      <c r="K16" s="54">
        <f t="shared" si="11"/>
        <v>0.50748445469849024</v>
      </c>
      <c r="L16" s="103">
        <f t="shared" si="12"/>
        <v>3.9700119434949395</v>
      </c>
      <c r="M16" s="54">
        <f t="shared" si="0"/>
        <v>0.24473594458839232</v>
      </c>
      <c r="N16" s="103">
        <f t="shared" si="13"/>
        <v>5.7168171986327128</v>
      </c>
      <c r="O16" s="54">
        <f t="shared" si="14"/>
        <v>0.50748445469849024</v>
      </c>
      <c r="P16" s="103">
        <f t="shared" si="15"/>
        <v>8.9325268728636136</v>
      </c>
      <c r="Q16" s="54">
        <f t="shared" si="16"/>
        <v>1.2389757194787361</v>
      </c>
      <c r="S16" s="99"/>
      <c r="T16" s="31">
        <f t="shared" si="1"/>
        <v>0.25374222734924512</v>
      </c>
      <c r="U16" s="31">
        <f t="shared" si="1"/>
        <v>0.25374222734924512</v>
      </c>
      <c r="V16" s="31">
        <f t="shared" si="1"/>
        <v>0.25374222734924512</v>
      </c>
      <c r="W16" s="31">
        <f t="shared" si="1"/>
        <v>0.12236797229419616</v>
      </c>
      <c r="X16" s="31">
        <f t="shared" si="1"/>
        <v>0.12236797229419616</v>
      </c>
      <c r="Y16" s="31">
        <f t="shared" si="1"/>
        <v>0.12236797229419616</v>
      </c>
      <c r="Z16" s="31">
        <f t="shared" si="1"/>
        <v>0.12236797229419616</v>
      </c>
      <c r="AA16" s="31">
        <f t="shared" si="1"/>
        <v>0.12236797229419616</v>
      </c>
      <c r="AB16" s="54">
        <f t="shared" si="2"/>
        <v>0.25374222734924512</v>
      </c>
      <c r="AC16" s="54">
        <f t="shared" si="2"/>
        <v>0.25374222734924512</v>
      </c>
      <c r="AD16" s="103">
        <f t="shared" si="2"/>
        <v>0.25374222734924512</v>
      </c>
      <c r="AE16" s="31">
        <f t="shared" si="17"/>
        <v>2.1342932255664513</v>
      </c>
      <c r="AF16" s="54">
        <f t="shared" si="3"/>
        <v>0.20734881574555114</v>
      </c>
      <c r="AG16" s="31">
        <f t="shared" si="4"/>
        <v>0.2446665931714081</v>
      </c>
      <c r="AH16" s="31">
        <f t="shared" si="5"/>
        <v>25.386308634483406</v>
      </c>
      <c r="AI16" s="31">
        <f t="shared" si="6"/>
        <v>18.156308634483409</v>
      </c>
      <c r="AJ16" s="31">
        <f t="shared" si="7"/>
        <v>25.386308634483406</v>
      </c>
      <c r="AK16" s="31">
        <f t="shared" si="8"/>
        <v>17.806308634483411</v>
      </c>
      <c r="AL16" s="31">
        <f t="shared" si="9"/>
        <v>4.5963086344834103</v>
      </c>
    </row>
    <row r="17" spans="2:48" ht="15.75" thickBot="1" x14ac:dyDescent="0.3">
      <c r="B17" s="228"/>
      <c r="C17" s="39" t="s">
        <v>79</v>
      </c>
      <c r="D17" s="45">
        <f>(D15/D16)/60</f>
        <v>0.25637700000000002</v>
      </c>
      <c r="E17" s="10">
        <f>(D15/E16)/60</f>
        <v>0.68367200000000006</v>
      </c>
      <c r="H17" s="232"/>
      <c r="I17" s="30">
        <v>1600</v>
      </c>
      <c r="J17" s="103">
        <f t="shared" si="10"/>
        <v>6.5335053698659573</v>
      </c>
      <c r="K17" s="54">
        <f t="shared" si="11"/>
        <v>0.66283683878986488</v>
      </c>
      <c r="L17" s="103">
        <f t="shared" si="12"/>
        <v>4.5371565068513595</v>
      </c>
      <c r="M17" s="54">
        <f t="shared" si="0"/>
        <v>0.31965511129912466</v>
      </c>
      <c r="N17" s="103">
        <f t="shared" si="13"/>
        <v>6.5335053698659573</v>
      </c>
      <c r="O17" s="54">
        <f t="shared" si="14"/>
        <v>0.66283683878986488</v>
      </c>
      <c r="P17" s="103">
        <f t="shared" si="15"/>
        <v>10.208602140415559</v>
      </c>
      <c r="Q17" s="54">
        <f t="shared" si="16"/>
        <v>1.6182540009518187</v>
      </c>
      <c r="S17" s="99"/>
      <c r="T17" s="31">
        <f t="shared" si="1"/>
        <v>0.33141841939493244</v>
      </c>
      <c r="U17" s="31">
        <f t="shared" si="1"/>
        <v>0.33141841939493244</v>
      </c>
      <c r="V17" s="31">
        <f t="shared" si="1"/>
        <v>0.33141841939493244</v>
      </c>
      <c r="W17" s="31">
        <f t="shared" si="1"/>
        <v>0.15982755564956233</v>
      </c>
      <c r="X17" s="31">
        <f t="shared" si="1"/>
        <v>0.15982755564956233</v>
      </c>
      <c r="Y17" s="31">
        <f t="shared" si="1"/>
        <v>0.15982755564956233</v>
      </c>
      <c r="Z17" s="31">
        <f t="shared" si="1"/>
        <v>0.15982755564956233</v>
      </c>
      <c r="AA17" s="31">
        <f t="shared" si="1"/>
        <v>0.15982755564956233</v>
      </c>
      <c r="AB17" s="54">
        <f t="shared" si="2"/>
        <v>0.33141841939493244</v>
      </c>
      <c r="AC17" s="54">
        <f t="shared" si="2"/>
        <v>0.33141841939493244</v>
      </c>
      <c r="AD17" s="103">
        <f t="shared" si="2"/>
        <v>0.33141841939493244</v>
      </c>
      <c r="AE17" s="31">
        <f t="shared" si="17"/>
        <v>2.7876482946174059</v>
      </c>
      <c r="AF17" s="54">
        <f t="shared" si="3"/>
        <v>0.26545240302957374</v>
      </c>
      <c r="AG17" s="31">
        <f t="shared" si="4"/>
        <v>0.31322742242284968</v>
      </c>
      <c r="AH17" s="31">
        <f t="shared" si="5"/>
        <v>26.166328120069828</v>
      </c>
      <c r="AI17" s="31">
        <f t="shared" si="6"/>
        <v>18.936328120069831</v>
      </c>
      <c r="AJ17" s="31">
        <f t="shared" si="7"/>
        <v>26.166328120069828</v>
      </c>
      <c r="AK17" s="31">
        <f t="shared" si="8"/>
        <v>18.58632812006983</v>
      </c>
      <c r="AL17" s="31">
        <f t="shared" si="9"/>
        <v>5.3763281200698287</v>
      </c>
    </row>
    <row r="18" spans="2:48" ht="15" customHeight="1" x14ac:dyDescent="0.25">
      <c r="B18" s="226" t="s">
        <v>136</v>
      </c>
      <c r="C18" s="40" t="s">
        <v>20</v>
      </c>
      <c r="D18" s="153" t="s">
        <v>142</v>
      </c>
      <c r="E18" s="6"/>
      <c r="H18" s="232"/>
      <c r="I18" s="30">
        <v>1800</v>
      </c>
      <c r="J18" s="103">
        <f t="shared" si="10"/>
        <v>7.350193541099201</v>
      </c>
      <c r="K18" s="54">
        <f t="shared" si="11"/>
        <v>0.83890287409342246</v>
      </c>
      <c r="L18" s="103">
        <f t="shared" si="12"/>
        <v>5.1043010702077796</v>
      </c>
      <c r="M18" s="54">
        <f t="shared" si="0"/>
        <v>0.40456350023795468</v>
      </c>
      <c r="N18" s="103">
        <f t="shared" si="13"/>
        <v>7.350193541099201</v>
      </c>
      <c r="O18" s="54">
        <f t="shared" si="14"/>
        <v>0.83890287409342246</v>
      </c>
      <c r="P18" s="103">
        <f t="shared" si="15"/>
        <v>11.484677407967503</v>
      </c>
      <c r="Q18" s="54">
        <f t="shared" si="16"/>
        <v>2.0481027199546449</v>
      </c>
      <c r="S18" s="99"/>
      <c r="T18" s="31">
        <f t="shared" si="1"/>
        <v>0.41945143704671123</v>
      </c>
      <c r="U18" s="31">
        <f t="shared" si="1"/>
        <v>0.41945143704671123</v>
      </c>
      <c r="V18" s="31">
        <f t="shared" si="1"/>
        <v>0.41945143704671123</v>
      </c>
      <c r="W18" s="31">
        <f t="shared" si="1"/>
        <v>0.20228175011897734</v>
      </c>
      <c r="X18" s="31">
        <f t="shared" si="1"/>
        <v>0.20228175011897734</v>
      </c>
      <c r="Y18" s="31">
        <f t="shared" si="1"/>
        <v>0.20228175011897734</v>
      </c>
      <c r="Z18" s="31">
        <f t="shared" si="1"/>
        <v>0.20228175011897734</v>
      </c>
      <c r="AA18" s="31">
        <f t="shared" si="1"/>
        <v>0.20228175011897734</v>
      </c>
      <c r="AB18" s="54">
        <f t="shared" si="2"/>
        <v>0.41945143704671123</v>
      </c>
      <c r="AC18" s="54">
        <f t="shared" si="2"/>
        <v>0.41945143704671123</v>
      </c>
      <c r="AD18" s="103">
        <f t="shared" si="2"/>
        <v>0.41945143704671123</v>
      </c>
      <c r="AE18" s="31">
        <f t="shared" si="17"/>
        <v>3.5281173728751543</v>
      </c>
      <c r="AF18" s="54">
        <f t="shared" si="3"/>
        <v>0.33007970896653055</v>
      </c>
      <c r="AG18" s="31">
        <f t="shared" si="4"/>
        <v>0.3894860820760857</v>
      </c>
      <c r="AH18" s="31">
        <f t="shared" si="5"/>
        <v>27.047683163917768</v>
      </c>
      <c r="AI18" s="31">
        <f t="shared" si="6"/>
        <v>19.817683163917771</v>
      </c>
      <c r="AJ18" s="31">
        <f t="shared" si="7"/>
        <v>27.047683163917768</v>
      </c>
      <c r="AK18" s="31">
        <f t="shared" si="8"/>
        <v>19.467683163917769</v>
      </c>
      <c r="AL18" s="31">
        <f t="shared" si="9"/>
        <v>6.2576831639177701</v>
      </c>
    </row>
    <row r="19" spans="2:48" x14ac:dyDescent="0.25">
      <c r="B19" s="227"/>
      <c r="C19" s="41" t="s">
        <v>31</v>
      </c>
      <c r="D19" s="154">
        <v>51</v>
      </c>
      <c r="E19" s="8"/>
      <c r="H19" s="232"/>
      <c r="I19" s="30">
        <v>2000</v>
      </c>
      <c r="J19" s="103">
        <f t="shared" si="10"/>
        <v>8.1668817123324455</v>
      </c>
      <c r="K19" s="54">
        <f t="shared" si="11"/>
        <v>1.0356825606091635</v>
      </c>
      <c r="L19" s="103">
        <f t="shared" si="12"/>
        <v>5.6714456335641987</v>
      </c>
      <c r="M19" s="54">
        <f t="shared" si="0"/>
        <v>0.49946111140488214</v>
      </c>
      <c r="N19" s="103">
        <f t="shared" si="13"/>
        <v>8.1668817123324455</v>
      </c>
      <c r="O19" s="54">
        <f t="shared" si="14"/>
        <v>1.0356825606091635</v>
      </c>
      <c r="P19" s="103">
        <f t="shared" si="15"/>
        <v>12.760752675519448</v>
      </c>
      <c r="Q19" s="54">
        <f t="shared" si="16"/>
        <v>2.5285218764872166</v>
      </c>
      <c r="S19" s="99"/>
      <c r="T19" s="31">
        <f t="shared" ref="T19:AA24" si="18">T$8*IF(T$7=$J$6,$K19,IF(T$7=$L$6,$M19,IF(T$7=$N$6,$O19,$Q19)))</f>
        <v>0.51784128030458176</v>
      </c>
      <c r="U19" s="31">
        <f t="shared" si="18"/>
        <v>0.51784128030458176</v>
      </c>
      <c r="V19" s="31">
        <f t="shared" si="18"/>
        <v>0.51784128030458176</v>
      </c>
      <c r="W19" s="31">
        <f t="shared" si="18"/>
        <v>0.24973055570244107</v>
      </c>
      <c r="X19" s="31">
        <f t="shared" si="18"/>
        <v>0.24973055570244107</v>
      </c>
      <c r="Y19" s="31">
        <f t="shared" si="18"/>
        <v>0.24973055570244107</v>
      </c>
      <c r="Z19" s="31">
        <f t="shared" si="18"/>
        <v>0.24973055570244107</v>
      </c>
      <c r="AA19" s="31">
        <f t="shared" si="18"/>
        <v>0.24973055570244107</v>
      </c>
      <c r="AB19" s="54">
        <f t="shared" si="2"/>
        <v>0.51784128030458176</v>
      </c>
      <c r="AC19" s="54">
        <f t="shared" si="2"/>
        <v>0.51784128030458176</v>
      </c>
      <c r="AD19" s="103">
        <f t="shared" si="2"/>
        <v>0.51784128030458176</v>
      </c>
      <c r="AE19" s="31">
        <f t="shared" si="17"/>
        <v>4.3557004603396958</v>
      </c>
      <c r="AF19" s="54">
        <f t="shared" si="3"/>
        <v>0.40111618423325984</v>
      </c>
      <c r="AG19" s="31">
        <f t="shared" si="4"/>
        <v>0.47330740669722016</v>
      </c>
      <c r="AH19" s="31">
        <f t="shared" si="5"/>
        <v>28.030124051270171</v>
      </c>
      <c r="AI19" s="31">
        <f t="shared" si="6"/>
        <v>20.800124051270174</v>
      </c>
      <c r="AJ19" s="31">
        <f t="shared" si="7"/>
        <v>28.030124051270171</v>
      </c>
      <c r="AK19" s="31">
        <f t="shared" si="8"/>
        <v>20.450124051270176</v>
      </c>
      <c r="AL19" s="31">
        <f t="shared" si="9"/>
        <v>7.2401240512701754</v>
      </c>
    </row>
    <row r="20" spans="2:48" x14ac:dyDescent="0.25">
      <c r="B20" s="227"/>
      <c r="C20" s="41" t="s">
        <v>21</v>
      </c>
      <c r="D20" s="154">
        <v>100</v>
      </c>
      <c r="E20" s="8"/>
      <c r="H20" s="232"/>
      <c r="I20" s="30">
        <v>2200</v>
      </c>
      <c r="J20" s="103">
        <f t="shared" si="10"/>
        <v>8.983569883565691</v>
      </c>
      <c r="K20" s="54">
        <f t="shared" si="11"/>
        <v>1.2531758983370882</v>
      </c>
      <c r="L20" s="103">
        <f t="shared" si="12"/>
        <v>6.2385901969206188</v>
      </c>
      <c r="M20" s="54">
        <f t="shared" si="0"/>
        <v>0.6043479447999075</v>
      </c>
      <c r="N20" s="103">
        <f t="shared" si="13"/>
        <v>8.983569883565691</v>
      </c>
      <c r="O20" s="54">
        <f t="shared" si="14"/>
        <v>1.2531758983370882</v>
      </c>
      <c r="P20" s="103">
        <f t="shared" si="15"/>
        <v>14.036827943071394</v>
      </c>
      <c r="Q20" s="54">
        <f t="shared" si="16"/>
        <v>3.0595114705495323</v>
      </c>
      <c r="S20" s="99"/>
      <c r="T20" s="31">
        <f t="shared" si="18"/>
        <v>0.6265879491685441</v>
      </c>
      <c r="U20" s="31">
        <f t="shared" si="18"/>
        <v>0.6265879491685441</v>
      </c>
      <c r="V20" s="31">
        <f t="shared" si="18"/>
        <v>0.6265879491685441</v>
      </c>
      <c r="W20" s="31">
        <f t="shared" si="18"/>
        <v>0.30217397239995375</v>
      </c>
      <c r="X20" s="31">
        <f t="shared" si="18"/>
        <v>0.30217397239995375</v>
      </c>
      <c r="Y20" s="31">
        <f t="shared" si="18"/>
        <v>0.30217397239995375</v>
      </c>
      <c r="Z20" s="31">
        <f t="shared" si="18"/>
        <v>0.30217397239995375</v>
      </c>
      <c r="AA20" s="31">
        <f t="shared" si="18"/>
        <v>0.30217397239995375</v>
      </c>
      <c r="AB20" s="54">
        <f t="shared" si="2"/>
        <v>0.6265879491685441</v>
      </c>
      <c r="AC20" s="54">
        <f t="shared" si="2"/>
        <v>0.6265879491685441</v>
      </c>
      <c r="AD20" s="103">
        <f t="shared" si="2"/>
        <v>0.6265879491685441</v>
      </c>
      <c r="AE20" s="31">
        <f t="shared" si="17"/>
        <v>5.2703975570110337</v>
      </c>
      <c r="AF20" s="54">
        <f t="shared" si="3"/>
        <v>0.47846112026240672</v>
      </c>
      <c r="AG20" s="31">
        <f t="shared" si="4"/>
        <v>0.56457256260982591</v>
      </c>
      <c r="AH20" s="31">
        <f t="shared" si="5"/>
        <v>29.113431239883262</v>
      </c>
      <c r="AI20" s="31">
        <f t="shared" si="6"/>
        <v>21.883431239883265</v>
      </c>
      <c r="AJ20" s="31">
        <f t="shared" si="7"/>
        <v>29.113431239883262</v>
      </c>
      <c r="AK20" s="31">
        <f t="shared" si="8"/>
        <v>21.533431239883267</v>
      </c>
      <c r="AL20" s="31">
        <f t="shared" si="9"/>
        <v>8.3234312398832664</v>
      </c>
    </row>
    <row r="21" spans="2:48" x14ac:dyDescent="0.25">
      <c r="B21" s="227"/>
      <c r="C21" s="38" t="s">
        <v>115</v>
      </c>
      <c r="D21" s="155">
        <v>10</v>
      </c>
      <c r="E21" s="8"/>
      <c r="H21" s="232"/>
      <c r="I21" s="30">
        <v>2400</v>
      </c>
      <c r="J21" s="103">
        <f t="shared" si="10"/>
        <v>9.8002580547989364</v>
      </c>
      <c r="K21" s="54">
        <f t="shared" si="11"/>
        <v>1.4913828872771959</v>
      </c>
      <c r="L21" s="103">
        <f t="shared" si="12"/>
        <v>6.8057347602770388</v>
      </c>
      <c r="M21" s="54">
        <f t="shared" si="0"/>
        <v>0.71922400042303047</v>
      </c>
      <c r="N21" s="103">
        <f t="shared" si="13"/>
        <v>9.8002580547989364</v>
      </c>
      <c r="O21" s="54">
        <f t="shared" si="14"/>
        <v>1.4913828872771959</v>
      </c>
      <c r="P21" s="103">
        <f t="shared" si="15"/>
        <v>15.312903210623338</v>
      </c>
      <c r="Q21" s="54">
        <f t="shared" si="16"/>
        <v>3.6410715021415916</v>
      </c>
      <c r="S21" s="99"/>
      <c r="T21" s="31">
        <f t="shared" si="18"/>
        <v>0.74569144363859796</v>
      </c>
      <c r="U21" s="31">
        <f t="shared" si="18"/>
        <v>0.74569144363859796</v>
      </c>
      <c r="V21" s="31">
        <f t="shared" si="18"/>
        <v>0.74569144363859796</v>
      </c>
      <c r="W21" s="31">
        <f t="shared" si="18"/>
        <v>0.35961200021151524</v>
      </c>
      <c r="X21" s="31">
        <f t="shared" si="18"/>
        <v>0.35961200021151524</v>
      </c>
      <c r="Y21" s="31">
        <f t="shared" si="18"/>
        <v>0.35961200021151524</v>
      </c>
      <c r="Z21" s="31">
        <f t="shared" si="18"/>
        <v>0.35961200021151524</v>
      </c>
      <c r="AA21" s="31">
        <f t="shared" si="18"/>
        <v>0.35961200021151524</v>
      </c>
      <c r="AB21" s="54">
        <f t="shared" si="2"/>
        <v>0.74569144363859796</v>
      </c>
      <c r="AC21" s="54">
        <f t="shared" si="2"/>
        <v>0.74569144363859796</v>
      </c>
      <c r="AD21" s="103">
        <f t="shared" si="2"/>
        <v>0.74569144363859796</v>
      </c>
      <c r="AE21" s="31">
        <f t="shared" si="17"/>
        <v>6.2722086628891631</v>
      </c>
      <c r="AF21" s="54">
        <f t="shared" si="3"/>
        <v>0.56202481383622771</v>
      </c>
      <c r="AG21" s="31">
        <f t="shared" si="4"/>
        <v>0.66317570218413491</v>
      </c>
      <c r="AH21" s="31">
        <f t="shared" si="5"/>
        <v>30.297409178909522</v>
      </c>
      <c r="AI21" s="31">
        <f t="shared" si="6"/>
        <v>23.067409178909525</v>
      </c>
      <c r="AJ21" s="31">
        <f t="shared" si="7"/>
        <v>30.297409178909522</v>
      </c>
      <c r="AK21" s="31">
        <f t="shared" si="8"/>
        <v>22.717409178909527</v>
      </c>
      <c r="AL21" s="31">
        <f t="shared" si="9"/>
        <v>9.5074091789095263</v>
      </c>
    </row>
    <row r="22" spans="2:48" x14ac:dyDescent="0.25">
      <c r="B22" s="227"/>
      <c r="C22" s="38" t="s">
        <v>68</v>
      </c>
      <c r="D22" s="154">
        <v>2</v>
      </c>
      <c r="E22" s="8"/>
      <c r="H22" s="232"/>
      <c r="I22" s="30">
        <v>2600</v>
      </c>
      <c r="J22" s="103">
        <f t="shared" si="10"/>
        <v>10.61694622603218</v>
      </c>
      <c r="K22" s="54">
        <f t="shared" si="11"/>
        <v>1.7503035274294867</v>
      </c>
      <c r="L22" s="103">
        <f t="shared" si="12"/>
        <v>7.3728793236334589</v>
      </c>
      <c r="M22" s="54">
        <f t="shared" si="0"/>
        <v>0.84408927827425095</v>
      </c>
      <c r="N22" s="103">
        <f t="shared" si="13"/>
        <v>10.61694622603218</v>
      </c>
      <c r="O22" s="54">
        <f t="shared" si="14"/>
        <v>1.7503035274294867</v>
      </c>
      <c r="P22" s="103">
        <f t="shared" si="15"/>
        <v>16.588978478175285</v>
      </c>
      <c r="Q22" s="54">
        <f t="shared" si="16"/>
        <v>4.2732019712633971</v>
      </c>
      <c r="S22" s="99"/>
      <c r="T22" s="31">
        <f t="shared" si="18"/>
        <v>0.87515176371474335</v>
      </c>
      <c r="U22" s="31">
        <f t="shared" si="18"/>
        <v>0.87515176371474335</v>
      </c>
      <c r="V22" s="31">
        <f t="shared" si="18"/>
        <v>0.87515176371474335</v>
      </c>
      <c r="W22" s="31">
        <f t="shared" si="18"/>
        <v>0.42204463913712548</v>
      </c>
      <c r="X22" s="31">
        <f t="shared" si="18"/>
        <v>0.42204463913712548</v>
      </c>
      <c r="Y22" s="31">
        <f t="shared" si="18"/>
        <v>0.42204463913712548</v>
      </c>
      <c r="Z22" s="31">
        <f t="shared" si="18"/>
        <v>0.42204463913712548</v>
      </c>
      <c r="AA22" s="31">
        <f t="shared" si="18"/>
        <v>0.42204463913712548</v>
      </c>
      <c r="AB22" s="54">
        <f t="shared" si="2"/>
        <v>0.87515176371474335</v>
      </c>
      <c r="AC22" s="54">
        <f t="shared" si="2"/>
        <v>0.87515176371474335</v>
      </c>
      <c r="AD22" s="103">
        <f t="shared" si="2"/>
        <v>0.87515176371474335</v>
      </c>
      <c r="AE22" s="31">
        <f t="shared" si="17"/>
        <v>7.3611337779740884</v>
      </c>
      <c r="AF22" s="54">
        <f t="shared" si="3"/>
        <v>0.65172651007257332</v>
      </c>
      <c r="AG22" s="31">
        <f t="shared" si="4"/>
        <v>0.76902153661019468</v>
      </c>
      <c r="AH22" s="31">
        <f t="shared" si="5"/>
        <v>31.581881824656854</v>
      </c>
      <c r="AI22" s="31">
        <f t="shared" si="6"/>
        <v>24.351881824656857</v>
      </c>
      <c r="AJ22" s="31">
        <f t="shared" si="7"/>
        <v>31.581881824656854</v>
      </c>
      <c r="AK22" s="31">
        <f t="shared" si="8"/>
        <v>24.001881824656856</v>
      </c>
      <c r="AL22" s="31">
        <f t="shared" si="9"/>
        <v>10.791881824656857</v>
      </c>
    </row>
    <row r="23" spans="2:48" ht="18" customHeight="1" thickBot="1" x14ac:dyDescent="0.3">
      <c r="B23" s="228"/>
      <c r="C23" s="39" t="s">
        <v>135</v>
      </c>
      <c r="D23" s="144">
        <f>(0.25*PI()*D21^2)/144</f>
        <v>0.54541539124822802</v>
      </c>
      <c r="E23" s="10"/>
      <c r="H23" s="232"/>
      <c r="I23" s="30">
        <v>2800</v>
      </c>
      <c r="J23" s="103">
        <f t="shared" si="10"/>
        <v>11.433634397265426</v>
      </c>
      <c r="K23" s="54">
        <f t="shared" si="11"/>
        <v>2.029937818793961</v>
      </c>
      <c r="L23" s="103">
        <f t="shared" si="12"/>
        <v>7.9400238869898789</v>
      </c>
      <c r="M23" s="54">
        <f t="shared" si="0"/>
        <v>0.97894377835356927</v>
      </c>
      <c r="N23" s="103">
        <f t="shared" si="13"/>
        <v>11.433634397265426</v>
      </c>
      <c r="O23" s="54">
        <f t="shared" si="14"/>
        <v>2.029937818793961</v>
      </c>
      <c r="P23" s="103">
        <f t="shared" si="15"/>
        <v>17.865053745727227</v>
      </c>
      <c r="Q23" s="54">
        <f t="shared" si="16"/>
        <v>4.9559028779149443</v>
      </c>
      <c r="S23" s="99"/>
      <c r="T23" s="31">
        <f t="shared" si="18"/>
        <v>1.0149689093969805</v>
      </c>
      <c r="U23" s="31">
        <f t="shared" si="18"/>
        <v>1.0149689093969805</v>
      </c>
      <c r="V23" s="31">
        <f t="shared" si="18"/>
        <v>1.0149689093969805</v>
      </c>
      <c r="W23" s="31">
        <f t="shared" si="18"/>
        <v>0.48947188917678464</v>
      </c>
      <c r="X23" s="31">
        <f t="shared" si="18"/>
        <v>0.48947188917678464</v>
      </c>
      <c r="Y23" s="31">
        <f t="shared" si="18"/>
        <v>0.48947188917678464</v>
      </c>
      <c r="Z23" s="31">
        <f t="shared" si="18"/>
        <v>0.48947188917678464</v>
      </c>
      <c r="AA23" s="31">
        <f t="shared" si="18"/>
        <v>0.48947188917678464</v>
      </c>
      <c r="AB23" s="54">
        <f t="shared" si="2"/>
        <v>1.0149689093969805</v>
      </c>
      <c r="AC23" s="54">
        <f t="shared" si="2"/>
        <v>1.0149689093969805</v>
      </c>
      <c r="AD23" s="103">
        <f t="shared" si="2"/>
        <v>1.0149689093969805</v>
      </c>
      <c r="AE23" s="31">
        <f t="shared" si="17"/>
        <v>8.5371729022658052</v>
      </c>
      <c r="AF23" s="54">
        <f t="shared" si="3"/>
        <v>0.74749286444994345</v>
      </c>
      <c r="AG23" s="31">
        <f t="shared" si="4"/>
        <v>0.88202352112458982</v>
      </c>
      <c r="AH23" s="31">
        <f t="shared" si="5"/>
        <v>32.966689287840339</v>
      </c>
      <c r="AI23" s="31">
        <f t="shared" si="6"/>
        <v>25.736689287840338</v>
      </c>
      <c r="AJ23" s="31">
        <f t="shared" si="7"/>
        <v>32.966689287840339</v>
      </c>
      <c r="AK23" s="31">
        <f t="shared" si="8"/>
        <v>25.386689287840341</v>
      </c>
      <c r="AL23" s="31">
        <f t="shared" si="9"/>
        <v>12.176689287840338</v>
      </c>
    </row>
    <row r="24" spans="2:48" ht="18" customHeight="1" thickBot="1" x14ac:dyDescent="0.3">
      <c r="B24" s="226" t="s">
        <v>161</v>
      </c>
      <c r="C24" s="38" t="s">
        <v>20</v>
      </c>
      <c r="D24" s="100" t="s">
        <v>142</v>
      </c>
      <c r="E24" s="8"/>
      <c r="H24" s="233"/>
      <c r="I24" s="32">
        <v>3000</v>
      </c>
      <c r="J24" s="187">
        <f t="shared" si="10"/>
        <v>12.250322568498669</v>
      </c>
      <c r="K24" s="56">
        <f t="shared" si="11"/>
        <v>2.330285761370618</v>
      </c>
      <c r="L24" s="187">
        <f t="shared" si="12"/>
        <v>8.507168450346299</v>
      </c>
      <c r="M24" s="56">
        <f t="shared" si="0"/>
        <v>1.1237875006609852</v>
      </c>
      <c r="N24" s="187">
        <f t="shared" si="13"/>
        <v>12.250322568498669</v>
      </c>
      <c r="O24" s="56">
        <f t="shared" si="14"/>
        <v>2.330285761370618</v>
      </c>
      <c r="P24" s="187">
        <f t="shared" si="15"/>
        <v>19.141129013279173</v>
      </c>
      <c r="Q24" s="56">
        <f t="shared" si="16"/>
        <v>5.6891742220962369</v>
      </c>
      <c r="S24" s="99"/>
      <c r="T24" s="33">
        <f t="shared" si="18"/>
        <v>1.165142880685309</v>
      </c>
      <c r="U24" s="33">
        <f t="shared" si="18"/>
        <v>1.165142880685309</v>
      </c>
      <c r="V24" s="33">
        <f t="shared" si="18"/>
        <v>1.165142880685309</v>
      </c>
      <c r="W24" s="33">
        <f t="shared" si="18"/>
        <v>0.5618937503304926</v>
      </c>
      <c r="X24" s="33">
        <f t="shared" si="18"/>
        <v>0.5618937503304926</v>
      </c>
      <c r="Y24" s="33">
        <f t="shared" si="18"/>
        <v>0.5618937503304926</v>
      </c>
      <c r="Z24" s="33">
        <f t="shared" si="18"/>
        <v>0.5618937503304926</v>
      </c>
      <c r="AA24" s="33">
        <f t="shared" si="18"/>
        <v>0.5618937503304926</v>
      </c>
      <c r="AB24" s="56">
        <f t="shared" si="2"/>
        <v>1.165142880685309</v>
      </c>
      <c r="AC24" s="56">
        <f t="shared" si="2"/>
        <v>1.165142880685309</v>
      </c>
      <c r="AD24" s="151">
        <f t="shared" si="2"/>
        <v>1.165142880685309</v>
      </c>
      <c r="AE24" s="33">
        <f t="shared" si="17"/>
        <v>9.800326035764316</v>
      </c>
      <c r="AF24" s="56">
        <f t="shared" si="3"/>
        <v>0.84925676391514804</v>
      </c>
      <c r="AG24" s="33">
        <f t="shared" si="4"/>
        <v>1.0021024639459621</v>
      </c>
      <c r="AH24" s="33">
        <f t="shared" si="5"/>
        <v>34.451685263625421</v>
      </c>
      <c r="AI24" s="33">
        <f t="shared" si="6"/>
        <v>27.221685263625425</v>
      </c>
      <c r="AJ24" s="33">
        <f t="shared" si="7"/>
        <v>34.451685263625421</v>
      </c>
      <c r="AK24" s="33">
        <f t="shared" si="8"/>
        <v>26.871685263625427</v>
      </c>
      <c r="AL24" s="33">
        <f t="shared" si="9"/>
        <v>13.661685263625426</v>
      </c>
    </row>
    <row r="25" spans="2:48" x14ac:dyDescent="0.25">
      <c r="B25" s="227"/>
      <c r="C25" s="38" t="s">
        <v>31</v>
      </c>
      <c r="D25" s="100">
        <v>51</v>
      </c>
      <c r="E25" s="8"/>
      <c r="H25" s="68"/>
      <c r="I25" s="68"/>
      <c r="J25" s="68"/>
      <c r="K25" s="68"/>
      <c r="L25" s="68"/>
      <c r="M25" s="68"/>
      <c r="N25" s="68"/>
      <c r="O25" s="68"/>
      <c r="P25" s="108"/>
      <c r="Q25" s="10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145"/>
      <c r="AF25" s="68"/>
      <c r="AG25" s="68"/>
      <c r="AH25" s="68"/>
      <c r="AI25" s="68"/>
      <c r="AJ25" s="68"/>
      <c r="AK25" s="68"/>
      <c r="AL25" s="68"/>
      <c r="AM25" s="68"/>
      <c r="AN25" s="145"/>
      <c r="AO25" s="68"/>
      <c r="AP25" s="68"/>
      <c r="AQ25" s="98"/>
      <c r="AR25" s="68"/>
      <c r="AS25" s="68"/>
      <c r="AT25" s="68"/>
      <c r="AU25" s="68"/>
      <c r="AV25" s="68"/>
    </row>
    <row r="26" spans="2:48" x14ac:dyDescent="0.25">
      <c r="B26" s="227"/>
      <c r="C26" s="38" t="s">
        <v>21</v>
      </c>
      <c r="D26" s="100">
        <v>100</v>
      </c>
      <c r="E26" s="8"/>
      <c r="H26" s="68"/>
      <c r="I26" s="68"/>
      <c r="J26" s="68"/>
      <c r="K26" s="68"/>
      <c r="L26" s="68"/>
      <c r="M26" s="68"/>
      <c r="N26" s="68"/>
      <c r="O26" s="70" t="s">
        <v>122</v>
      </c>
      <c r="P26" s="108"/>
      <c r="Q26" s="10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145"/>
      <c r="AF26" s="68"/>
      <c r="AG26" s="68"/>
      <c r="AH26" s="68"/>
      <c r="AI26" s="68"/>
      <c r="AJ26" s="68"/>
      <c r="AK26" s="68"/>
      <c r="AL26" s="68"/>
      <c r="AM26" s="68"/>
      <c r="AN26" s="145"/>
      <c r="AO26" s="68"/>
      <c r="AP26" s="68"/>
      <c r="AQ26" s="98"/>
      <c r="AR26" s="68"/>
      <c r="AS26" s="68"/>
      <c r="AT26" s="68"/>
      <c r="AU26" s="68"/>
      <c r="AV26" s="68"/>
    </row>
    <row r="27" spans="2:48" x14ac:dyDescent="0.25">
      <c r="B27" s="227"/>
      <c r="C27" s="38" t="s">
        <v>115</v>
      </c>
      <c r="D27" s="100">
        <v>10</v>
      </c>
      <c r="E27" s="8"/>
      <c r="P27" s="70"/>
      <c r="Q27" s="70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145"/>
      <c r="AF27" s="68"/>
      <c r="AG27" s="68"/>
      <c r="AH27" s="68"/>
      <c r="AI27" s="68"/>
      <c r="AJ27" s="68"/>
      <c r="AK27" s="68"/>
      <c r="AL27" s="68"/>
    </row>
    <row r="28" spans="2:48" ht="15.75" thickBot="1" x14ac:dyDescent="0.3">
      <c r="B28" s="227"/>
      <c r="C28" s="38" t="s">
        <v>137</v>
      </c>
      <c r="D28" s="100">
        <v>2</v>
      </c>
      <c r="E28" s="8"/>
    </row>
    <row r="29" spans="2:48" ht="15.75" thickBot="1" x14ac:dyDescent="0.3">
      <c r="B29" s="227"/>
      <c r="C29" s="38" t="s">
        <v>166</v>
      </c>
      <c r="D29" s="99">
        <f>(0.25*PI()*D27^2)/144</f>
        <v>0.54541539124822802</v>
      </c>
      <c r="E29" s="8"/>
      <c r="T29" s="238" t="s">
        <v>69</v>
      </c>
      <c r="U29" s="239"/>
      <c r="V29" s="239"/>
      <c r="W29" s="239"/>
      <c r="X29" s="240"/>
      <c r="Y29" s="247" t="s">
        <v>212</v>
      </c>
      <c r="AC29" s="238" t="s">
        <v>163</v>
      </c>
      <c r="AD29" s="239"/>
      <c r="AE29" s="239"/>
      <c r="AF29" s="239"/>
      <c r="AG29" s="239"/>
      <c r="AH29" s="240"/>
      <c r="AI29" s="247" t="s">
        <v>213</v>
      </c>
    </row>
    <row r="30" spans="2:48" ht="18" customHeight="1" x14ac:dyDescent="0.25">
      <c r="B30" s="226" t="s">
        <v>167</v>
      </c>
      <c r="C30" s="40" t="s">
        <v>20</v>
      </c>
      <c r="D30" s="46" t="s">
        <v>142</v>
      </c>
      <c r="E30" s="6"/>
      <c r="S30" s="186" t="s">
        <v>118</v>
      </c>
      <c r="T30" s="21" t="s">
        <v>143</v>
      </c>
      <c r="U30" s="21" t="s">
        <v>144</v>
      </c>
      <c r="V30" s="21" t="s">
        <v>145</v>
      </c>
      <c r="W30" s="21" t="s">
        <v>146</v>
      </c>
      <c r="X30" s="21"/>
      <c r="Y30" s="247"/>
      <c r="Z30" s="246" t="s">
        <v>207</v>
      </c>
      <c r="AA30" s="246" t="s">
        <v>208</v>
      </c>
      <c r="AB30" s="149" t="s">
        <v>22</v>
      </c>
      <c r="AC30" s="21" t="s">
        <v>150</v>
      </c>
      <c r="AD30" s="21" t="s">
        <v>147</v>
      </c>
      <c r="AE30" s="21" t="s">
        <v>148</v>
      </c>
      <c r="AF30" s="21" t="s">
        <v>149</v>
      </c>
      <c r="AG30" s="21" t="s">
        <v>151</v>
      </c>
      <c r="AH30" s="21" t="s">
        <v>151</v>
      </c>
      <c r="AI30" s="247"/>
      <c r="AJ30" s="246" t="s">
        <v>209</v>
      </c>
      <c r="AK30" s="246" t="s">
        <v>210</v>
      </c>
      <c r="AL30" s="246" t="s">
        <v>211</v>
      </c>
    </row>
    <row r="31" spans="2:48" ht="15" customHeight="1" x14ac:dyDescent="0.25">
      <c r="B31" s="227"/>
      <c r="C31" s="41" t="s">
        <v>31</v>
      </c>
      <c r="D31" s="23">
        <v>51</v>
      </c>
      <c r="E31" s="8"/>
      <c r="S31" s="186" t="s">
        <v>123</v>
      </c>
      <c r="T31" s="65">
        <v>12</v>
      </c>
      <c r="U31" s="65">
        <v>10</v>
      </c>
      <c r="V31" s="65">
        <v>12</v>
      </c>
      <c r="W31" s="65">
        <v>12</v>
      </c>
      <c r="X31" s="65">
        <v>12</v>
      </c>
      <c r="Y31" s="247"/>
      <c r="Z31" s="246"/>
      <c r="AA31" s="246"/>
      <c r="AB31" s="148"/>
      <c r="AC31" s="65">
        <v>8</v>
      </c>
      <c r="AD31" s="65">
        <v>12</v>
      </c>
      <c r="AE31" s="65">
        <v>12</v>
      </c>
      <c r="AF31" s="65">
        <v>12</v>
      </c>
      <c r="AG31" s="65">
        <v>12</v>
      </c>
      <c r="AH31" s="65">
        <v>12</v>
      </c>
      <c r="AI31" s="247"/>
      <c r="AJ31" s="246"/>
      <c r="AK31" s="246"/>
      <c r="AL31" s="246"/>
    </row>
    <row r="32" spans="2:48" ht="15.75" thickBot="1" x14ac:dyDescent="0.3">
      <c r="B32" s="227"/>
      <c r="C32" s="41" t="s">
        <v>21</v>
      </c>
      <c r="D32" s="23">
        <v>100</v>
      </c>
      <c r="E32" s="8"/>
      <c r="S32" s="186" t="s">
        <v>119</v>
      </c>
      <c r="T32" s="66">
        <v>1</v>
      </c>
      <c r="U32" s="66">
        <v>0.5</v>
      </c>
      <c r="V32" s="66">
        <v>0.5</v>
      </c>
      <c r="W32" s="66">
        <v>0.5</v>
      </c>
      <c r="X32" s="66"/>
      <c r="Y32" s="247"/>
      <c r="Z32" s="246"/>
      <c r="AA32" s="246"/>
      <c r="AB32" s="149"/>
      <c r="AC32" s="66">
        <v>0.5</v>
      </c>
      <c r="AD32" s="66">
        <v>0.5</v>
      </c>
      <c r="AE32" s="66">
        <v>0.5</v>
      </c>
      <c r="AF32" s="66">
        <v>0.5</v>
      </c>
      <c r="AG32" s="66">
        <v>0.5</v>
      </c>
      <c r="AH32" s="66">
        <v>0.5</v>
      </c>
      <c r="AI32" s="247"/>
      <c r="AJ32" s="246"/>
      <c r="AK32" s="246"/>
      <c r="AL32" s="246"/>
    </row>
    <row r="33" spans="2:39" x14ac:dyDescent="0.25">
      <c r="B33" s="227"/>
      <c r="C33" s="41" t="s">
        <v>115</v>
      </c>
      <c r="D33" s="64">
        <v>10</v>
      </c>
      <c r="E33" s="8"/>
      <c r="R33" s="49" t="s">
        <v>108</v>
      </c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</row>
    <row r="34" spans="2:39" ht="15.75" thickBot="1" x14ac:dyDescent="0.3">
      <c r="B34" s="227"/>
      <c r="C34" s="41" t="s">
        <v>137</v>
      </c>
      <c r="D34" s="64">
        <v>11.16</v>
      </c>
      <c r="E34" s="8"/>
      <c r="Q34" s="186" t="s">
        <v>206</v>
      </c>
      <c r="R34" s="186" t="s">
        <v>182</v>
      </c>
      <c r="S34" s="95" t="s">
        <v>205</v>
      </c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</row>
    <row r="35" spans="2:39" ht="18" thickBot="1" x14ac:dyDescent="0.3">
      <c r="B35" s="228"/>
      <c r="C35" s="42" t="s">
        <v>121</v>
      </c>
      <c r="D35" s="62">
        <f>0.25*PI()*(D33^2)/144</f>
        <v>0.54541539124822802</v>
      </c>
      <c r="E35" s="10"/>
      <c r="Q35" s="234">
        <f>'VS Pump Data'!D42</f>
        <v>1</v>
      </c>
      <c r="R35" s="243" t="str">
        <f>CONCATENATE('VS Pump Data'!D43,$R$33,R$34)</f>
        <v>1900 RPM</v>
      </c>
      <c r="S35" s="215">
        <f>'VS Pump Data'!D45</f>
        <v>960</v>
      </c>
      <c r="T35" s="192">
        <f>((($S35/449)/(0.25*PI()*((T$31/12)^2)))^2)*T$32/64.4</f>
        <v>0.11507584006768491</v>
      </c>
      <c r="U35" s="192">
        <f t="shared" ref="U35:X50" si="19">((($S35/449)/(0.25*PI()*((U$31/12)^2)))^2)*U$32/64.4</f>
        <v>0.11931063098217567</v>
      </c>
      <c r="V35" s="192">
        <f t="shared" si="19"/>
        <v>5.7537920033842456E-2</v>
      </c>
      <c r="W35" s="192">
        <f t="shared" si="19"/>
        <v>5.7537920033842456E-2</v>
      </c>
      <c r="X35" s="192">
        <f t="shared" si="19"/>
        <v>0</v>
      </c>
      <c r="Y35" s="192">
        <f>SUM(T35:X35)</f>
        <v>0.3494623111175455</v>
      </c>
      <c r="Z35" s="192">
        <f>(10.44*$D$22*(S35^1.85))/(($D$20^1.85)*($D$21^4.87))</f>
        <v>1.8489802636815808E-2</v>
      </c>
      <c r="AA35" s="192">
        <f>SUM(Y35:Z35)</f>
        <v>0.36795211375436132</v>
      </c>
      <c r="AB35" s="192"/>
      <c r="AC35" s="192">
        <f>((($S35/449)/(0.25*PI()*((AC$31/12)^2)))^2)*AC$32/64.4</f>
        <v>0.29128572017132742</v>
      </c>
      <c r="AD35" s="192">
        <f t="shared" ref="AD35:AH50" si="20">((($S35/449)/(0.25*PI()*((AD$31/12)^2)))^2)*AD$32/64.4</f>
        <v>5.7537920033842456E-2</v>
      </c>
      <c r="AE35" s="192">
        <f t="shared" si="20"/>
        <v>5.7537920033842456E-2</v>
      </c>
      <c r="AF35" s="192">
        <f t="shared" si="20"/>
        <v>5.7537920033842456E-2</v>
      </c>
      <c r="AG35" s="192">
        <f t="shared" si="20"/>
        <v>5.7537920033842456E-2</v>
      </c>
      <c r="AH35" s="192">
        <f t="shared" si="20"/>
        <v>5.7537920033842456E-2</v>
      </c>
      <c r="AI35" s="192">
        <f>SUM(AC35:AH35)</f>
        <v>0.57897532034053978</v>
      </c>
      <c r="AJ35" s="198">
        <f>(10.44*$D$28*(S35^1.85))/(($D$26^1.85)*($D$27^4.87))</f>
        <v>1.8489802636815808E-2</v>
      </c>
      <c r="AK35" s="192">
        <f>SUM(AI35:AJ35)</f>
        <v>0.59746512297735554</v>
      </c>
      <c r="AL35" s="101">
        <f>SUM(AA35,AK35)</f>
        <v>0.96541723673171687</v>
      </c>
    </row>
    <row r="36" spans="2:39" ht="15" customHeight="1" x14ac:dyDescent="0.25">
      <c r="B36" s="226" t="s">
        <v>168</v>
      </c>
      <c r="C36" s="40" t="s">
        <v>20</v>
      </c>
      <c r="D36" s="72" t="s">
        <v>142</v>
      </c>
      <c r="E36" s="6"/>
      <c r="Q36" s="235"/>
      <c r="R36" s="244"/>
      <c r="S36" s="216">
        <f>'VS Pump Data'!D46</f>
        <v>1440</v>
      </c>
      <c r="T36" s="99">
        <f t="shared" ref="T36:T89" si="21">((($S36/449)/(0.25*PI()*((T$31/12)^2)))^2)*T$32/64.4</f>
        <v>0.25892064015229099</v>
      </c>
      <c r="U36" s="99">
        <f t="shared" si="19"/>
        <v>0.26844891970989521</v>
      </c>
      <c r="V36" s="99">
        <f t="shared" si="19"/>
        <v>0.1294603200761455</v>
      </c>
      <c r="W36" s="99">
        <f t="shared" si="19"/>
        <v>0.1294603200761455</v>
      </c>
      <c r="X36" s="99">
        <f t="shared" si="19"/>
        <v>0</v>
      </c>
      <c r="Y36" s="99">
        <f t="shared" ref="Y36:Y39" si="22">SUM(T36:X36)</f>
        <v>0.78629020001447714</v>
      </c>
      <c r="Z36" s="99">
        <f t="shared" ref="Z36:Z39" si="23">(10.44*$D$22*(S36^1.85))/(($D$20^1.85)*($D$21^4.87))</f>
        <v>3.9147236062757669E-2</v>
      </c>
      <c r="AA36" s="99">
        <f t="shared" ref="AA36:AA39" si="24">SUM(Y36:Z36)</f>
        <v>0.82543743607723485</v>
      </c>
      <c r="AB36" s="99"/>
      <c r="AC36" s="99">
        <f t="shared" ref="AC36:AH67" si="25">((($S36/449)/(0.25*PI()*((AC$31/12)^2)))^2)*AC$32/64.4</f>
        <v>0.65539287038548655</v>
      </c>
      <c r="AD36" s="99">
        <f t="shared" si="20"/>
        <v>0.1294603200761455</v>
      </c>
      <c r="AE36" s="99">
        <f t="shared" si="20"/>
        <v>0.1294603200761455</v>
      </c>
      <c r="AF36" s="99">
        <f t="shared" si="20"/>
        <v>0.1294603200761455</v>
      </c>
      <c r="AG36" s="99">
        <f t="shared" si="20"/>
        <v>0.1294603200761455</v>
      </c>
      <c r="AH36" s="99">
        <f t="shared" si="20"/>
        <v>0.1294603200761455</v>
      </c>
      <c r="AI36" s="99">
        <f t="shared" ref="AI36:AI39" si="26">SUM(AC36:AH36)</f>
        <v>1.302694470766214</v>
      </c>
      <c r="AJ36" s="195">
        <f t="shared" ref="AJ36:AJ39" si="27">(10.44*$D$28*(S36^1.85))/(($D$26^1.85)*($D$27^4.87))</f>
        <v>3.9147236062757669E-2</v>
      </c>
      <c r="AK36" s="99">
        <f t="shared" ref="AK36:AK39" si="28">SUM(AI36:AJ36)</f>
        <v>1.3418417068289716</v>
      </c>
      <c r="AL36" s="54">
        <f t="shared" ref="AL36:AL39" si="29">SUM(AA36,AK36)</f>
        <v>2.1672791429062066</v>
      </c>
    </row>
    <row r="37" spans="2:39" x14ac:dyDescent="0.25">
      <c r="B37" s="227"/>
      <c r="C37" s="41" t="s">
        <v>31</v>
      </c>
      <c r="D37" s="64">
        <v>51</v>
      </c>
      <c r="E37" s="8"/>
      <c r="Q37" s="235"/>
      <c r="R37" s="244"/>
      <c r="S37" s="216">
        <f>'VS Pump Data'!D47</f>
        <v>1920</v>
      </c>
      <c r="T37" s="99">
        <f t="shared" si="21"/>
        <v>0.46030336027073965</v>
      </c>
      <c r="U37" s="99">
        <f t="shared" si="19"/>
        <v>0.4772425239287027</v>
      </c>
      <c r="V37" s="99">
        <f t="shared" si="19"/>
        <v>0.23015168013536982</v>
      </c>
      <c r="W37" s="99">
        <f t="shared" si="19"/>
        <v>0.23015168013536982</v>
      </c>
      <c r="X37" s="99">
        <f t="shared" si="19"/>
        <v>0</v>
      </c>
      <c r="Y37" s="99">
        <f t="shared" si="22"/>
        <v>1.397849244470182</v>
      </c>
      <c r="Z37" s="99">
        <f t="shared" si="23"/>
        <v>6.6655772720052811E-2</v>
      </c>
      <c r="AA37" s="99">
        <f t="shared" si="24"/>
        <v>1.4645050171902347</v>
      </c>
      <c r="AB37" s="99"/>
      <c r="AC37" s="99">
        <f t="shared" si="25"/>
        <v>1.1651428806853097</v>
      </c>
      <c r="AD37" s="99">
        <f t="shared" si="20"/>
        <v>0.23015168013536982</v>
      </c>
      <c r="AE37" s="99">
        <f t="shared" si="20"/>
        <v>0.23015168013536982</v>
      </c>
      <c r="AF37" s="99">
        <f t="shared" si="20"/>
        <v>0.23015168013536982</v>
      </c>
      <c r="AG37" s="99">
        <f t="shared" si="20"/>
        <v>0.23015168013536982</v>
      </c>
      <c r="AH37" s="99">
        <f t="shared" si="20"/>
        <v>0.23015168013536982</v>
      </c>
      <c r="AI37" s="99">
        <f t="shared" si="26"/>
        <v>2.3159012813621591</v>
      </c>
      <c r="AJ37" s="195">
        <f t="shared" si="27"/>
        <v>6.6655772720052811E-2</v>
      </c>
      <c r="AK37" s="99">
        <f t="shared" si="28"/>
        <v>2.3825570540822119</v>
      </c>
      <c r="AL37" s="54">
        <f t="shared" si="29"/>
        <v>3.8470620712724468</v>
      </c>
    </row>
    <row r="38" spans="2:39" x14ac:dyDescent="0.25">
      <c r="B38" s="227"/>
      <c r="C38" s="41" t="s">
        <v>21</v>
      </c>
      <c r="D38" s="64">
        <v>100</v>
      </c>
      <c r="E38" s="8"/>
      <c r="Q38" s="235"/>
      <c r="R38" s="244"/>
      <c r="S38" s="216">
        <f>'VS Pump Data'!D48</f>
        <v>2400</v>
      </c>
      <c r="T38" s="99">
        <f t="shared" si="21"/>
        <v>0.71922400042303047</v>
      </c>
      <c r="U38" s="99">
        <f t="shared" si="19"/>
        <v>0.74569144363859796</v>
      </c>
      <c r="V38" s="99">
        <f t="shared" si="19"/>
        <v>0.35961200021151524</v>
      </c>
      <c r="W38" s="99">
        <f t="shared" si="19"/>
        <v>0.35961200021151524</v>
      </c>
      <c r="X38" s="99">
        <f t="shared" si="19"/>
        <v>0</v>
      </c>
      <c r="Y38" s="99">
        <f t="shared" si="22"/>
        <v>2.1841394444846589</v>
      </c>
      <c r="Z38" s="99">
        <f t="shared" si="23"/>
        <v>0.10072129280219135</v>
      </c>
      <c r="AA38" s="99">
        <f t="shared" si="24"/>
        <v>2.2848607372868504</v>
      </c>
      <c r="AB38" s="99"/>
      <c r="AC38" s="99">
        <f t="shared" si="25"/>
        <v>1.8205357510707958</v>
      </c>
      <c r="AD38" s="99">
        <f t="shared" si="20"/>
        <v>0.35961200021151524</v>
      </c>
      <c r="AE38" s="99">
        <f t="shared" si="20"/>
        <v>0.35961200021151524</v>
      </c>
      <c r="AF38" s="99">
        <f t="shared" si="20"/>
        <v>0.35961200021151524</v>
      </c>
      <c r="AG38" s="99">
        <f t="shared" si="20"/>
        <v>0.35961200021151524</v>
      </c>
      <c r="AH38" s="99">
        <f t="shared" si="20"/>
        <v>0.35961200021151524</v>
      </c>
      <c r="AI38" s="99">
        <f t="shared" si="26"/>
        <v>3.6185957521283711</v>
      </c>
      <c r="AJ38" s="195">
        <f t="shared" si="27"/>
        <v>0.10072129280219135</v>
      </c>
      <c r="AK38" s="99">
        <f t="shared" si="28"/>
        <v>3.7193170449305626</v>
      </c>
      <c r="AL38" s="54">
        <f t="shared" si="29"/>
        <v>6.0041777822174129</v>
      </c>
    </row>
    <row r="39" spans="2:39" ht="15.75" thickBot="1" x14ac:dyDescent="0.3">
      <c r="B39" s="227"/>
      <c r="C39" s="41" t="s">
        <v>115</v>
      </c>
      <c r="D39" s="64">
        <v>12</v>
      </c>
      <c r="E39" s="8"/>
      <c r="Q39" s="236"/>
      <c r="R39" s="245"/>
      <c r="S39" s="13">
        <f>'VS Pump Data'!D49</f>
        <v>2880</v>
      </c>
      <c r="T39" s="9">
        <f t="shared" si="21"/>
        <v>1.035682560609164</v>
      </c>
      <c r="U39" s="9">
        <f t="shared" si="19"/>
        <v>1.0737956788395808</v>
      </c>
      <c r="V39" s="9">
        <f t="shared" si="19"/>
        <v>0.51784128030458199</v>
      </c>
      <c r="W39" s="9">
        <f t="shared" si="19"/>
        <v>0.51784128030458199</v>
      </c>
      <c r="X39" s="9">
        <f t="shared" si="19"/>
        <v>0</v>
      </c>
      <c r="Y39" s="199">
        <f t="shared" si="22"/>
        <v>3.1451608000579085</v>
      </c>
      <c r="Z39" s="199">
        <f t="shared" si="23"/>
        <v>0.14112585844598274</v>
      </c>
      <c r="AA39" s="199">
        <f t="shared" si="24"/>
        <v>3.2862866585038915</v>
      </c>
      <c r="AB39" s="199"/>
      <c r="AC39" s="9">
        <f t="shared" si="25"/>
        <v>2.6215714815419462</v>
      </c>
      <c r="AD39" s="9">
        <f t="shared" si="20"/>
        <v>0.51784128030458199</v>
      </c>
      <c r="AE39" s="9">
        <f t="shared" si="20"/>
        <v>0.51784128030458199</v>
      </c>
      <c r="AF39" s="9">
        <f t="shared" si="20"/>
        <v>0.51784128030458199</v>
      </c>
      <c r="AG39" s="9">
        <f t="shared" si="20"/>
        <v>0.51784128030458199</v>
      </c>
      <c r="AH39" s="9">
        <f t="shared" si="20"/>
        <v>0.51784128030458199</v>
      </c>
      <c r="AI39" s="199">
        <f t="shared" si="26"/>
        <v>5.2107778830648561</v>
      </c>
      <c r="AJ39" s="200">
        <f t="shared" si="27"/>
        <v>0.14112585844598274</v>
      </c>
      <c r="AK39" s="199">
        <f t="shared" si="28"/>
        <v>5.3519037415108386</v>
      </c>
      <c r="AL39" s="201">
        <f t="shared" si="29"/>
        <v>8.6381904000147305</v>
      </c>
    </row>
    <row r="40" spans="2:39" x14ac:dyDescent="0.25">
      <c r="B40" s="227"/>
      <c r="C40" s="38" t="s">
        <v>116</v>
      </c>
      <c r="D40" s="23">
        <v>32</v>
      </c>
      <c r="E40" s="8"/>
      <c r="Q40" s="234">
        <f>'VS Pump Data'!F42</f>
        <v>0.95</v>
      </c>
      <c r="R40" s="243" t="str">
        <f>CONCATENATE('VS Pump Data'!F43,$R$33,R$34)</f>
        <v>1805 RPM</v>
      </c>
      <c r="S40" s="215">
        <f>'VS Pump Data'!F45</f>
        <v>912</v>
      </c>
      <c r="T40" s="192">
        <f t="shared" si="21"/>
        <v>0.10385594566108561</v>
      </c>
      <c r="U40" s="192">
        <f t="shared" si="19"/>
        <v>0.10767784446141351</v>
      </c>
      <c r="V40" s="192">
        <f t="shared" si="19"/>
        <v>5.1927972830542804E-2</v>
      </c>
      <c r="W40" s="192">
        <f t="shared" si="19"/>
        <v>5.1927972830542804E-2</v>
      </c>
      <c r="X40" s="192">
        <f t="shared" si="19"/>
        <v>0</v>
      </c>
      <c r="Y40" s="202">
        <f t="shared" ref="Y40:Y89" si="30">SUM(T40:X40)</f>
        <v>0.3153897357835847</v>
      </c>
      <c r="Z40" s="202">
        <f t="shared" ref="Z40:Z89" si="31">(10.44*$D$22*(S40^1.85))/(($D$20^1.85)*($D$21^4.87))</f>
        <v>1.6815932106218408E-2</v>
      </c>
      <c r="AA40" s="202">
        <f t="shared" ref="AA40:AA89" si="32">SUM(Y40:Z40)</f>
        <v>0.3322056678898031</v>
      </c>
      <c r="AB40" s="202"/>
      <c r="AC40" s="192">
        <f t="shared" si="25"/>
        <v>0.26288536245462296</v>
      </c>
      <c r="AD40" s="192">
        <f t="shared" si="20"/>
        <v>5.1927972830542804E-2</v>
      </c>
      <c r="AE40" s="192">
        <f t="shared" si="20"/>
        <v>5.1927972830542804E-2</v>
      </c>
      <c r="AF40" s="192">
        <f t="shared" si="20"/>
        <v>5.1927972830542804E-2</v>
      </c>
      <c r="AG40" s="192">
        <f t="shared" si="20"/>
        <v>5.1927972830542804E-2</v>
      </c>
      <c r="AH40" s="192">
        <f t="shared" si="20"/>
        <v>5.1927972830542804E-2</v>
      </c>
      <c r="AI40" s="202">
        <f t="shared" ref="AI40:AI89" si="33">SUM(AC40:AH40)</f>
        <v>0.52252522660733691</v>
      </c>
      <c r="AJ40" s="203">
        <f t="shared" ref="AJ40:AJ89" si="34">(10.44*$D$28*(S40^1.85))/(($D$26^1.85)*($D$27^4.87))</f>
        <v>1.6815932106218408E-2</v>
      </c>
      <c r="AK40" s="202">
        <f t="shared" ref="AK40:AK89" si="35">SUM(AI40:AJ40)</f>
        <v>0.53934115871355537</v>
      </c>
      <c r="AL40" s="204">
        <f t="shared" ref="AL40:AL89" si="36">SUM(AA40,AK40)</f>
        <v>0.87154682660335847</v>
      </c>
      <c r="AM40" s="49">
        <v>95</v>
      </c>
    </row>
    <row r="41" spans="2:39" ht="18" thickBot="1" x14ac:dyDescent="0.3">
      <c r="B41" s="228"/>
      <c r="C41" s="39" t="s">
        <v>121</v>
      </c>
      <c r="D41" s="9">
        <f>0.25*PI()*(D39^2)*(1/144)</f>
        <v>0.78539816339744828</v>
      </c>
      <c r="E41" s="10"/>
      <c r="Q41" s="235"/>
      <c r="R41" s="244"/>
      <c r="S41" s="216">
        <f>'VS Pump Data'!F46</f>
        <v>1368</v>
      </c>
      <c r="T41" s="99">
        <f t="shared" si="21"/>
        <v>0.23367587773744258</v>
      </c>
      <c r="U41" s="99">
        <f t="shared" si="19"/>
        <v>0.24227515003818043</v>
      </c>
      <c r="V41" s="99">
        <f t="shared" si="19"/>
        <v>0.11683793886872129</v>
      </c>
      <c r="W41" s="99">
        <f t="shared" si="19"/>
        <v>0.11683793886872129</v>
      </c>
      <c r="X41" s="99">
        <f t="shared" si="19"/>
        <v>0</v>
      </c>
      <c r="Y41" s="196">
        <f t="shared" si="30"/>
        <v>0.70962690551306562</v>
      </c>
      <c r="Z41" s="196">
        <f t="shared" si="31"/>
        <v>3.5603260711213544E-2</v>
      </c>
      <c r="AA41" s="196">
        <f t="shared" si="32"/>
        <v>0.74523016622427918</v>
      </c>
      <c r="AB41" s="196"/>
      <c r="AC41" s="99">
        <f t="shared" si="25"/>
        <v>0.59149206552290146</v>
      </c>
      <c r="AD41" s="99">
        <f t="shared" si="20"/>
        <v>0.11683793886872129</v>
      </c>
      <c r="AE41" s="99">
        <f t="shared" si="20"/>
        <v>0.11683793886872129</v>
      </c>
      <c r="AF41" s="99">
        <f t="shared" si="20"/>
        <v>0.11683793886872129</v>
      </c>
      <c r="AG41" s="99">
        <f t="shared" si="20"/>
        <v>0.11683793886872129</v>
      </c>
      <c r="AH41" s="99">
        <f t="shared" si="20"/>
        <v>0.11683793886872129</v>
      </c>
      <c r="AI41" s="196">
        <f t="shared" si="33"/>
        <v>1.1756817598665079</v>
      </c>
      <c r="AJ41" s="197">
        <f t="shared" si="34"/>
        <v>3.5603260711213544E-2</v>
      </c>
      <c r="AK41" s="196">
        <f t="shared" si="35"/>
        <v>1.2112850205777215</v>
      </c>
      <c r="AL41" s="205">
        <f t="shared" si="36"/>
        <v>1.9565151868020005</v>
      </c>
    </row>
    <row r="42" spans="2:39" ht="15.75" thickBot="1" x14ac:dyDescent="0.3">
      <c r="B42" s="63"/>
      <c r="C42" s="57" t="s">
        <v>77</v>
      </c>
      <c r="D42" s="105">
        <f>SUM(D22,D28,D34,D40)</f>
        <v>47.16</v>
      </c>
      <c r="E42" s="50"/>
      <c r="Q42" s="235"/>
      <c r="R42" s="244"/>
      <c r="S42" s="216">
        <f>'VS Pump Data'!F47</f>
        <v>1824</v>
      </c>
      <c r="T42" s="99">
        <f t="shared" si="21"/>
        <v>0.41542378264434243</v>
      </c>
      <c r="U42" s="99">
        <f t="shared" si="19"/>
        <v>0.43071137784565405</v>
      </c>
      <c r="V42" s="99">
        <f t="shared" si="19"/>
        <v>0.20771189132217122</v>
      </c>
      <c r="W42" s="99">
        <f t="shared" si="19"/>
        <v>0.20771189132217122</v>
      </c>
      <c r="X42" s="99">
        <f t="shared" si="19"/>
        <v>0</v>
      </c>
      <c r="Y42" s="196">
        <f t="shared" si="30"/>
        <v>1.2615589431343388</v>
      </c>
      <c r="Z42" s="196">
        <f t="shared" si="31"/>
        <v>6.0621466359846651E-2</v>
      </c>
      <c r="AA42" s="196">
        <f t="shared" si="32"/>
        <v>1.3221804094941854</v>
      </c>
      <c r="AB42" s="196"/>
      <c r="AC42" s="99">
        <f t="shared" si="25"/>
        <v>1.0515414498184918</v>
      </c>
      <c r="AD42" s="99">
        <f t="shared" si="20"/>
        <v>0.20771189132217122</v>
      </c>
      <c r="AE42" s="99">
        <f t="shared" si="20"/>
        <v>0.20771189132217122</v>
      </c>
      <c r="AF42" s="99">
        <f t="shared" si="20"/>
        <v>0.20771189132217122</v>
      </c>
      <c r="AG42" s="99">
        <f t="shared" si="20"/>
        <v>0.20771189132217122</v>
      </c>
      <c r="AH42" s="99">
        <f t="shared" si="20"/>
        <v>0.20771189132217122</v>
      </c>
      <c r="AI42" s="196">
        <f t="shared" si="33"/>
        <v>2.0901009064293476</v>
      </c>
      <c r="AJ42" s="197">
        <f t="shared" si="34"/>
        <v>6.0621466359846651E-2</v>
      </c>
      <c r="AK42" s="196">
        <f t="shared" si="35"/>
        <v>2.1507223727891942</v>
      </c>
      <c r="AL42" s="205">
        <f t="shared" si="36"/>
        <v>3.4729027822833798</v>
      </c>
    </row>
    <row r="43" spans="2:39" x14ac:dyDescent="0.25">
      <c r="Q43" s="235"/>
      <c r="R43" s="244"/>
      <c r="S43" s="216">
        <f>'VS Pump Data'!F48</f>
        <v>2280</v>
      </c>
      <c r="T43" s="99">
        <f t="shared" si="21"/>
        <v>0.64909966038178524</v>
      </c>
      <c r="U43" s="99">
        <f t="shared" si="19"/>
        <v>0.67298652788383473</v>
      </c>
      <c r="V43" s="99">
        <f t="shared" si="19"/>
        <v>0.32454983019089262</v>
      </c>
      <c r="W43" s="99">
        <f t="shared" si="19"/>
        <v>0.32454983019089262</v>
      </c>
      <c r="X43" s="99">
        <f t="shared" si="19"/>
        <v>0</v>
      </c>
      <c r="Y43" s="196">
        <f t="shared" si="30"/>
        <v>1.9711858486474054</v>
      </c>
      <c r="Z43" s="196">
        <f t="shared" si="31"/>
        <v>9.1603055731906732E-2</v>
      </c>
      <c r="AA43" s="196">
        <f t="shared" si="32"/>
        <v>2.0627889043793122</v>
      </c>
      <c r="AB43" s="196"/>
      <c r="AC43" s="99">
        <f t="shared" si="25"/>
        <v>1.643033515341394</v>
      </c>
      <c r="AD43" s="99">
        <f t="shared" si="20"/>
        <v>0.32454983019089262</v>
      </c>
      <c r="AE43" s="99">
        <f t="shared" si="20"/>
        <v>0.32454983019089262</v>
      </c>
      <c r="AF43" s="99">
        <f t="shared" si="20"/>
        <v>0.32454983019089262</v>
      </c>
      <c r="AG43" s="99">
        <f t="shared" si="20"/>
        <v>0.32454983019089262</v>
      </c>
      <c r="AH43" s="99">
        <f t="shared" si="20"/>
        <v>0.32454983019089262</v>
      </c>
      <c r="AI43" s="196">
        <f t="shared" si="33"/>
        <v>3.2657826662958573</v>
      </c>
      <c r="AJ43" s="197">
        <f t="shared" si="34"/>
        <v>9.1603055731906732E-2</v>
      </c>
      <c r="AK43" s="196">
        <f t="shared" si="35"/>
        <v>3.3573857220277641</v>
      </c>
      <c r="AL43" s="205">
        <f t="shared" si="36"/>
        <v>5.4201746264070767</v>
      </c>
    </row>
    <row r="44" spans="2:39" ht="15.75" thickBot="1" x14ac:dyDescent="0.3">
      <c r="Q44" s="236"/>
      <c r="R44" s="245"/>
      <c r="S44" s="13">
        <f>'VS Pump Data'!F49</f>
        <v>2736</v>
      </c>
      <c r="T44" s="9">
        <f t="shared" si="21"/>
        <v>0.93470351094977033</v>
      </c>
      <c r="U44" s="9">
        <f t="shared" si="19"/>
        <v>0.9691006001527217</v>
      </c>
      <c r="V44" s="9">
        <f t="shared" si="19"/>
        <v>0.46735175547488517</v>
      </c>
      <c r="W44" s="9">
        <f t="shared" si="19"/>
        <v>0.46735175547488517</v>
      </c>
      <c r="X44" s="9">
        <f t="shared" si="19"/>
        <v>0</v>
      </c>
      <c r="Y44" s="199">
        <f t="shared" si="30"/>
        <v>2.8385076220522625</v>
      </c>
      <c r="Z44" s="199">
        <f t="shared" si="31"/>
        <v>0.12834982074574089</v>
      </c>
      <c r="AA44" s="199">
        <f t="shared" si="32"/>
        <v>2.9668574427980032</v>
      </c>
      <c r="AB44" s="199"/>
      <c r="AC44" s="9">
        <f t="shared" si="25"/>
        <v>2.3659682620916058</v>
      </c>
      <c r="AD44" s="9">
        <f t="shared" si="20"/>
        <v>0.46735175547488517</v>
      </c>
      <c r="AE44" s="9">
        <f t="shared" si="20"/>
        <v>0.46735175547488517</v>
      </c>
      <c r="AF44" s="9">
        <f t="shared" si="20"/>
        <v>0.46735175547488517</v>
      </c>
      <c r="AG44" s="9">
        <f t="shared" si="20"/>
        <v>0.46735175547488517</v>
      </c>
      <c r="AH44" s="9">
        <f t="shared" si="20"/>
        <v>0.46735175547488517</v>
      </c>
      <c r="AI44" s="199">
        <f t="shared" si="33"/>
        <v>4.7027270394660317</v>
      </c>
      <c r="AJ44" s="200">
        <f t="shared" si="34"/>
        <v>0.12834982074574089</v>
      </c>
      <c r="AK44" s="199">
        <f t="shared" si="35"/>
        <v>4.8310768602117724</v>
      </c>
      <c r="AL44" s="201">
        <f t="shared" si="36"/>
        <v>7.7979343030097752</v>
      </c>
    </row>
    <row r="45" spans="2:39" x14ac:dyDescent="0.25">
      <c r="Q45" s="234">
        <f>'VS Pump Data'!H42</f>
        <v>0.9</v>
      </c>
      <c r="R45" s="243" t="str">
        <f>CONCATENATE('VS Pump Data'!H43,$R$33,R$34)</f>
        <v>1710 RPM</v>
      </c>
      <c r="S45" s="215">
        <f>'VS Pump Data'!H45</f>
        <v>864</v>
      </c>
      <c r="T45" s="192">
        <f t="shared" si="21"/>
        <v>9.3211430454824745E-2</v>
      </c>
      <c r="U45" s="192">
        <f t="shared" si="19"/>
        <v>9.6641611095562296E-2</v>
      </c>
      <c r="V45" s="192">
        <f t="shared" si="19"/>
        <v>4.6605715227412373E-2</v>
      </c>
      <c r="W45" s="192">
        <f t="shared" si="19"/>
        <v>4.6605715227412373E-2</v>
      </c>
      <c r="X45" s="192">
        <f t="shared" si="19"/>
        <v>0</v>
      </c>
      <c r="Y45" s="202">
        <f t="shared" si="30"/>
        <v>0.28306447200521179</v>
      </c>
      <c r="Z45" s="202">
        <f t="shared" si="31"/>
        <v>1.5215313949186399E-2</v>
      </c>
      <c r="AA45" s="202">
        <f t="shared" si="32"/>
        <v>0.29827978595439819</v>
      </c>
      <c r="AB45" s="202"/>
      <c r="AC45" s="192">
        <f t="shared" si="25"/>
        <v>0.23594143333877513</v>
      </c>
      <c r="AD45" s="192">
        <f t="shared" si="20"/>
        <v>4.6605715227412373E-2</v>
      </c>
      <c r="AE45" s="192">
        <f t="shared" si="20"/>
        <v>4.6605715227412373E-2</v>
      </c>
      <c r="AF45" s="192">
        <f t="shared" si="20"/>
        <v>4.6605715227412373E-2</v>
      </c>
      <c r="AG45" s="192">
        <f t="shared" si="20"/>
        <v>4.6605715227412373E-2</v>
      </c>
      <c r="AH45" s="192">
        <f t="shared" si="20"/>
        <v>4.6605715227412373E-2</v>
      </c>
      <c r="AI45" s="202">
        <f t="shared" si="33"/>
        <v>0.46897000947583695</v>
      </c>
      <c r="AJ45" s="203">
        <f t="shared" si="34"/>
        <v>1.5215313949186399E-2</v>
      </c>
      <c r="AK45" s="202">
        <f t="shared" si="35"/>
        <v>0.48418532342502335</v>
      </c>
      <c r="AL45" s="204">
        <f t="shared" si="36"/>
        <v>0.78246510937942149</v>
      </c>
      <c r="AM45" s="49">
        <v>90</v>
      </c>
    </row>
    <row r="46" spans="2:39" x14ac:dyDescent="0.25">
      <c r="Q46" s="235"/>
      <c r="R46" s="244"/>
      <c r="S46" s="216">
        <f>'VS Pump Data'!H46</f>
        <v>1296</v>
      </c>
      <c r="T46" s="99">
        <f t="shared" si="21"/>
        <v>0.20972571852335567</v>
      </c>
      <c r="U46" s="99">
        <f t="shared" si="19"/>
        <v>0.21744362496501513</v>
      </c>
      <c r="V46" s="99">
        <f t="shared" si="19"/>
        <v>0.10486285926167783</v>
      </c>
      <c r="W46" s="99">
        <f t="shared" si="19"/>
        <v>0.10486285926167783</v>
      </c>
      <c r="X46" s="99">
        <f t="shared" si="19"/>
        <v>0</v>
      </c>
      <c r="Y46" s="196">
        <f t="shared" si="30"/>
        <v>0.63689506201172641</v>
      </c>
      <c r="Z46" s="196">
        <f t="shared" si="31"/>
        <v>3.2214377764734507E-2</v>
      </c>
      <c r="AA46" s="196">
        <f t="shared" si="32"/>
        <v>0.66910943977646087</v>
      </c>
      <c r="AB46" s="196"/>
      <c r="AC46" s="99">
        <f t="shared" si="25"/>
        <v>0.53086822501224407</v>
      </c>
      <c r="AD46" s="99">
        <f t="shared" si="20"/>
        <v>0.10486285926167783</v>
      </c>
      <c r="AE46" s="99">
        <f t="shared" si="20"/>
        <v>0.10486285926167783</v>
      </c>
      <c r="AF46" s="99">
        <f t="shared" si="20"/>
        <v>0.10486285926167783</v>
      </c>
      <c r="AG46" s="99">
        <f t="shared" si="20"/>
        <v>0.10486285926167783</v>
      </c>
      <c r="AH46" s="99">
        <f t="shared" si="20"/>
        <v>0.10486285926167783</v>
      </c>
      <c r="AI46" s="196">
        <f t="shared" si="33"/>
        <v>1.0551825213206332</v>
      </c>
      <c r="AJ46" s="197">
        <f t="shared" si="34"/>
        <v>3.2214377764734507E-2</v>
      </c>
      <c r="AK46" s="196">
        <f t="shared" si="35"/>
        <v>1.0873968990853677</v>
      </c>
      <c r="AL46" s="205">
        <f t="shared" si="36"/>
        <v>1.7565063388618287</v>
      </c>
    </row>
    <row r="47" spans="2:39" x14ac:dyDescent="0.25">
      <c r="Q47" s="235"/>
      <c r="R47" s="244"/>
      <c r="S47" s="216">
        <f>'VS Pump Data'!H47</f>
        <v>1728</v>
      </c>
      <c r="T47" s="99">
        <f t="shared" si="21"/>
        <v>0.37284572181929898</v>
      </c>
      <c r="U47" s="99">
        <f t="shared" si="19"/>
        <v>0.38656644438224919</v>
      </c>
      <c r="V47" s="99">
        <f t="shared" si="19"/>
        <v>0.18642286090964949</v>
      </c>
      <c r="W47" s="99">
        <f t="shared" si="19"/>
        <v>0.18642286090964949</v>
      </c>
      <c r="X47" s="99">
        <f t="shared" si="19"/>
        <v>0</v>
      </c>
      <c r="Y47" s="196">
        <f t="shared" si="30"/>
        <v>1.1322578880208471</v>
      </c>
      <c r="Z47" s="196">
        <f t="shared" si="31"/>
        <v>5.4851234941893076E-2</v>
      </c>
      <c r="AA47" s="196">
        <f t="shared" si="32"/>
        <v>1.1871091229627402</v>
      </c>
      <c r="AB47" s="196"/>
      <c r="AC47" s="99">
        <f t="shared" si="25"/>
        <v>0.9437657333551005</v>
      </c>
      <c r="AD47" s="99">
        <f t="shared" si="20"/>
        <v>0.18642286090964949</v>
      </c>
      <c r="AE47" s="99">
        <f t="shared" si="20"/>
        <v>0.18642286090964949</v>
      </c>
      <c r="AF47" s="99">
        <f t="shared" si="20"/>
        <v>0.18642286090964949</v>
      </c>
      <c r="AG47" s="99">
        <f t="shared" si="20"/>
        <v>0.18642286090964949</v>
      </c>
      <c r="AH47" s="99">
        <f t="shared" si="20"/>
        <v>0.18642286090964949</v>
      </c>
      <c r="AI47" s="196">
        <f t="shared" si="33"/>
        <v>1.8758800379033478</v>
      </c>
      <c r="AJ47" s="197">
        <f t="shared" si="34"/>
        <v>5.4851234941893076E-2</v>
      </c>
      <c r="AK47" s="196">
        <f t="shared" si="35"/>
        <v>1.9307312728452408</v>
      </c>
      <c r="AL47" s="205">
        <f t="shared" si="36"/>
        <v>3.1178403958079812</v>
      </c>
    </row>
    <row r="48" spans="2:39" x14ac:dyDescent="0.25">
      <c r="Q48" s="235"/>
      <c r="R48" s="244"/>
      <c r="S48" s="216">
        <f>'VS Pump Data'!H48</f>
        <v>2160</v>
      </c>
      <c r="T48" s="99">
        <f t="shared" si="21"/>
        <v>0.58257144034265451</v>
      </c>
      <c r="U48" s="99">
        <f t="shared" si="19"/>
        <v>0.60401006934726409</v>
      </c>
      <c r="V48" s="99">
        <f t="shared" si="19"/>
        <v>0.29128572017132726</v>
      </c>
      <c r="W48" s="99">
        <f t="shared" si="19"/>
        <v>0.29128572017132726</v>
      </c>
      <c r="X48" s="99">
        <f t="shared" si="19"/>
        <v>0</v>
      </c>
      <c r="Y48" s="196">
        <f t="shared" si="30"/>
        <v>1.7691529500325731</v>
      </c>
      <c r="Z48" s="196">
        <f t="shared" si="31"/>
        <v>8.2883853411276201E-2</v>
      </c>
      <c r="AA48" s="196">
        <f t="shared" si="32"/>
        <v>1.8520368034438492</v>
      </c>
      <c r="AB48" s="196"/>
      <c r="AC48" s="99">
        <f t="shared" si="25"/>
        <v>1.4746339583673445</v>
      </c>
      <c r="AD48" s="99">
        <f t="shared" si="20"/>
        <v>0.29128572017132726</v>
      </c>
      <c r="AE48" s="99">
        <f t="shared" si="20"/>
        <v>0.29128572017132726</v>
      </c>
      <c r="AF48" s="99">
        <f t="shared" si="20"/>
        <v>0.29128572017132726</v>
      </c>
      <c r="AG48" s="99">
        <f t="shared" si="20"/>
        <v>0.29128572017132726</v>
      </c>
      <c r="AH48" s="99">
        <f t="shared" si="20"/>
        <v>0.29128572017132726</v>
      </c>
      <c r="AI48" s="196">
        <f t="shared" si="33"/>
        <v>2.9310625592239807</v>
      </c>
      <c r="AJ48" s="197">
        <f t="shared" si="34"/>
        <v>8.2883853411276201E-2</v>
      </c>
      <c r="AK48" s="196">
        <f t="shared" si="35"/>
        <v>3.0139464126352569</v>
      </c>
      <c r="AL48" s="205">
        <f t="shared" si="36"/>
        <v>4.8659832160791066</v>
      </c>
    </row>
    <row r="49" spans="4:39" ht="15.75" thickBot="1" x14ac:dyDescent="0.3">
      <c r="Q49" s="236"/>
      <c r="R49" s="245"/>
      <c r="S49" s="13">
        <f>'VS Pump Data'!H49</f>
        <v>2592</v>
      </c>
      <c r="T49" s="9">
        <f t="shared" si="21"/>
        <v>0.83890287409342268</v>
      </c>
      <c r="U49" s="9">
        <f t="shared" si="19"/>
        <v>0.8697744998600605</v>
      </c>
      <c r="V49" s="9">
        <f t="shared" si="19"/>
        <v>0.41945143704671134</v>
      </c>
      <c r="W49" s="9">
        <f t="shared" si="19"/>
        <v>0.41945143704671134</v>
      </c>
      <c r="X49" s="9">
        <f t="shared" si="19"/>
        <v>0</v>
      </c>
      <c r="Y49" s="199">
        <f t="shared" si="30"/>
        <v>2.5475802480469056</v>
      </c>
      <c r="Z49" s="199">
        <f t="shared" si="31"/>
        <v>0.11613289145274816</v>
      </c>
      <c r="AA49" s="199">
        <f t="shared" si="32"/>
        <v>2.6637131394996536</v>
      </c>
      <c r="AB49" s="199"/>
      <c r="AC49" s="9">
        <f t="shared" si="25"/>
        <v>2.1234729000489763</v>
      </c>
      <c r="AD49" s="9">
        <f t="shared" si="20"/>
        <v>0.41945143704671134</v>
      </c>
      <c r="AE49" s="9">
        <f t="shared" si="20"/>
        <v>0.41945143704671134</v>
      </c>
      <c r="AF49" s="9">
        <f t="shared" si="20"/>
        <v>0.41945143704671134</v>
      </c>
      <c r="AG49" s="9">
        <f t="shared" si="20"/>
        <v>0.41945143704671134</v>
      </c>
      <c r="AH49" s="9">
        <f t="shared" si="20"/>
        <v>0.41945143704671134</v>
      </c>
      <c r="AI49" s="199">
        <f t="shared" si="33"/>
        <v>4.2207300852825327</v>
      </c>
      <c r="AJ49" s="200">
        <f t="shared" si="34"/>
        <v>0.11613289145274816</v>
      </c>
      <c r="AK49" s="199">
        <f t="shared" si="35"/>
        <v>4.3368629767352811</v>
      </c>
      <c r="AL49" s="201">
        <f t="shared" si="36"/>
        <v>7.0005761162349351</v>
      </c>
    </row>
    <row r="50" spans="4:39" x14ac:dyDescent="0.25">
      <c r="Q50" s="234">
        <f>'VS Pump Data'!J42</f>
        <v>0.85</v>
      </c>
      <c r="R50" s="243" t="str">
        <f>CONCATENATE('VS Pump Data'!J43,$R$33,R$34)</f>
        <v>1615 RPM</v>
      </c>
      <c r="S50" s="215">
        <f>'VS Pump Data'!J45</f>
        <v>816</v>
      </c>
      <c r="T50" s="192">
        <f t="shared" si="21"/>
        <v>8.3142294448902324E-2</v>
      </c>
      <c r="U50" s="192">
        <f t="shared" si="19"/>
        <v>8.6201930884621913E-2</v>
      </c>
      <c r="V50" s="192">
        <f t="shared" si="19"/>
        <v>4.1571147224451162E-2</v>
      </c>
      <c r="W50" s="192">
        <f t="shared" si="19"/>
        <v>4.1571147224451162E-2</v>
      </c>
      <c r="X50" s="192">
        <f t="shared" si="19"/>
        <v>0</v>
      </c>
      <c r="Y50" s="202">
        <f t="shared" si="30"/>
        <v>0.25248651978242653</v>
      </c>
      <c r="Z50" s="202">
        <f t="shared" si="31"/>
        <v>1.3688545000366868E-2</v>
      </c>
      <c r="AA50" s="202">
        <f t="shared" si="32"/>
        <v>0.2661750647827934</v>
      </c>
      <c r="AB50" s="202"/>
      <c r="AC50" s="192">
        <f t="shared" si="25"/>
        <v>0.21045393282378397</v>
      </c>
      <c r="AD50" s="192">
        <f t="shared" si="20"/>
        <v>4.1571147224451162E-2</v>
      </c>
      <c r="AE50" s="192">
        <f t="shared" si="20"/>
        <v>4.1571147224451162E-2</v>
      </c>
      <c r="AF50" s="192">
        <f t="shared" si="20"/>
        <v>4.1571147224451162E-2</v>
      </c>
      <c r="AG50" s="192">
        <f t="shared" si="20"/>
        <v>4.1571147224451162E-2</v>
      </c>
      <c r="AH50" s="192">
        <f t="shared" si="20"/>
        <v>4.1571147224451162E-2</v>
      </c>
      <c r="AI50" s="202">
        <f t="shared" si="33"/>
        <v>0.41830966894603977</v>
      </c>
      <c r="AJ50" s="203">
        <f t="shared" si="34"/>
        <v>1.3688545000366868E-2</v>
      </c>
      <c r="AK50" s="202">
        <f t="shared" si="35"/>
        <v>0.43199821394640664</v>
      </c>
      <c r="AL50" s="204">
        <f t="shared" si="36"/>
        <v>0.6981732787292001</v>
      </c>
      <c r="AM50" s="49">
        <v>85</v>
      </c>
    </row>
    <row r="51" spans="4:39" x14ac:dyDescent="0.25">
      <c r="Q51" s="235"/>
      <c r="R51" s="244"/>
      <c r="S51" s="216">
        <f>'VS Pump Data'!J46</f>
        <v>1224</v>
      </c>
      <c r="T51" s="99">
        <f t="shared" si="21"/>
        <v>0.18707016251003025</v>
      </c>
      <c r="U51" s="99">
        <f t="shared" ref="U51:X66" si="37">((($S51/449)/(0.25*PI()*((U$31/12)^2)))^2)*U$32/64.4</f>
        <v>0.19395434449039928</v>
      </c>
      <c r="V51" s="99">
        <f t="shared" si="37"/>
        <v>9.3535081255015126E-2</v>
      </c>
      <c r="W51" s="99">
        <f t="shared" si="37"/>
        <v>9.3535081255015126E-2</v>
      </c>
      <c r="X51" s="99">
        <f t="shared" si="37"/>
        <v>0</v>
      </c>
      <c r="Y51" s="196">
        <f t="shared" si="30"/>
        <v>0.56809466951045984</v>
      </c>
      <c r="Z51" s="196">
        <f t="shared" si="31"/>
        <v>2.8981850861839534E-2</v>
      </c>
      <c r="AA51" s="196">
        <f t="shared" si="32"/>
        <v>0.59707652037229941</v>
      </c>
      <c r="AB51" s="196"/>
      <c r="AC51" s="99">
        <f t="shared" si="25"/>
        <v>0.4735213488535141</v>
      </c>
      <c r="AD51" s="99">
        <f t="shared" si="25"/>
        <v>9.3535081255015126E-2</v>
      </c>
      <c r="AE51" s="99">
        <f t="shared" si="25"/>
        <v>9.3535081255015126E-2</v>
      </c>
      <c r="AF51" s="99">
        <f t="shared" si="25"/>
        <v>9.3535081255015126E-2</v>
      </c>
      <c r="AG51" s="99">
        <f t="shared" si="25"/>
        <v>9.3535081255015126E-2</v>
      </c>
      <c r="AH51" s="99">
        <f t="shared" si="25"/>
        <v>9.3535081255015126E-2</v>
      </c>
      <c r="AI51" s="196">
        <f t="shared" si="33"/>
        <v>0.94119675512858958</v>
      </c>
      <c r="AJ51" s="197">
        <f t="shared" si="34"/>
        <v>2.8981850861839534E-2</v>
      </c>
      <c r="AK51" s="196">
        <f t="shared" si="35"/>
        <v>0.97017860599042915</v>
      </c>
      <c r="AL51" s="205">
        <f t="shared" si="36"/>
        <v>1.5672551263627286</v>
      </c>
    </row>
    <row r="52" spans="4:39" x14ac:dyDescent="0.25">
      <c r="Q52" s="235"/>
      <c r="R52" s="244"/>
      <c r="S52" s="216">
        <f>'VS Pump Data'!J47</f>
        <v>1632</v>
      </c>
      <c r="T52" s="99">
        <f t="shared" si="21"/>
        <v>0.33256917779560929</v>
      </c>
      <c r="U52" s="99">
        <f t="shared" si="37"/>
        <v>0.34480772353848765</v>
      </c>
      <c r="V52" s="99">
        <f t="shared" si="37"/>
        <v>0.16628458889780465</v>
      </c>
      <c r="W52" s="99">
        <f t="shared" si="37"/>
        <v>0.16628458889780465</v>
      </c>
      <c r="X52" s="99">
        <f t="shared" si="37"/>
        <v>0</v>
      </c>
      <c r="Y52" s="196">
        <f t="shared" si="30"/>
        <v>1.0099460791297061</v>
      </c>
      <c r="Z52" s="196">
        <f t="shared" si="31"/>
        <v>4.9347230056199252E-2</v>
      </c>
      <c r="AA52" s="196">
        <f t="shared" si="32"/>
        <v>1.0592933091859054</v>
      </c>
      <c r="AB52" s="196"/>
      <c r="AC52" s="99">
        <f t="shared" si="25"/>
        <v>0.84181573129513587</v>
      </c>
      <c r="AD52" s="99">
        <f t="shared" si="25"/>
        <v>0.16628458889780465</v>
      </c>
      <c r="AE52" s="99">
        <f t="shared" si="25"/>
        <v>0.16628458889780465</v>
      </c>
      <c r="AF52" s="99">
        <f t="shared" si="25"/>
        <v>0.16628458889780465</v>
      </c>
      <c r="AG52" s="99">
        <f t="shared" si="25"/>
        <v>0.16628458889780465</v>
      </c>
      <c r="AH52" s="99">
        <f t="shared" si="25"/>
        <v>0.16628458889780465</v>
      </c>
      <c r="AI52" s="196">
        <f t="shared" si="33"/>
        <v>1.6732386757841591</v>
      </c>
      <c r="AJ52" s="197">
        <f t="shared" si="34"/>
        <v>4.9347230056199252E-2</v>
      </c>
      <c r="AK52" s="196">
        <f t="shared" si="35"/>
        <v>1.7225859058403583</v>
      </c>
      <c r="AL52" s="205">
        <f t="shared" si="36"/>
        <v>2.7818792150262635</v>
      </c>
    </row>
    <row r="53" spans="4:39" x14ac:dyDescent="0.25">
      <c r="Q53" s="235"/>
      <c r="R53" s="244"/>
      <c r="S53" s="216">
        <f>'VS Pump Data'!J48</f>
        <v>2040</v>
      </c>
      <c r="T53" s="99">
        <f t="shared" si="21"/>
        <v>0.51963934030563952</v>
      </c>
      <c r="U53" s="99">
        <f t="shared" si="37"/>
        <v>0.53876206802888704</v>
      </c>
      <c r="V53" s="99">
        <f t="shared" si="37"/>
        <v>0.25981967015281976</v>
      </c>
      <c r="W53" s="99">
        <f t="shared" si="37"/>
        <v>0.25981967015281976</v>
      </c>
      <c r="X53" s="99">
        <f t="shared" si="37"/>
        <v>0</v>
      </c>
      <c r="Y53" s="196">
        <f t="shared" si="30"/>
        <v>1.578040748640166</v>
      </c>
      <c r="Z53" s="196">
        <f t="shared" si="31"/>
        <v>7.4566937035481479E-2</v>
      </c>
      <c r="AA53" s="196">
        <f t="shared" si="32"/>
        <v>1.6526076856756475</v>
      </c>
      <c r="AB53" s="196"/>
      <c r="AC53" s="99">
        <f t="shared" si="25"/>
        <v>1.3153370801486499</v>
      </c>
      <c r="AD53" s="99">
        <f t="shared" si="25"/>
        <v>0.25981967015281976</v>
      </c>
      <c r="AE53" s="99">
        <f t="shared" si="25"/>
        <v>0.25981967015281976</v>
      </c>
      <c r="AF53" s="99">
        <f t="shared" si="25"/>
        <v>0.25981967015281976</v>
      </c>
      <c r="AG53" s="99">
        <f t="shared" si="25"/>
        <v>0.25981967015281976</v>
      </c>
      <c r="AH53" s="99">
        <f t="shared" si="25"/>
        <v>0.25981967015281976</v>
      </c>
      <c r="AI53" s="196">
        <f t="shared" si="33"/>
        <v>2.6144354309127484</v>
      </c>
      <c r="AJ53" s="197">
        <f t="shared" si="34"/>
        <v>7.4566937035481479E-2</v>
      </c>
      <c r="AK53" s="196">
        <f t="shared" si="35"/>
        <v>2.68900236794823</v>
      </c>
      <c r="AL53" s="205">
        <f t="shared" si="36"/>
        <v>4.341610053623878</v>
      </c>
    </row>
    <row r="54" spans="4:39" ht="15.75" thickBot="1" x14ac:dyDescent="0.3">
      <c r="Q54" s="236"/>
      <c r="R54" s="245"/>
      <c r="S54" s="13">
        <f>'VS Pump Data'!J49</f>
        <v>2448</v>
      </c>
      <c r="T54" s="9">
        <f t="shared" si="21"/>
        <v>0.74828065004012101</v>
      </c>
      <c r="U54" s="9">
        <f t="shared" si="37"/>
        <v>0.77581737796159711</v>
      </c>
      <c r="V54" s="9">
        <f t="shared" si="37"/>
        <v>0.3741403250200605</v>
      </c>
      <c r="W54" s="9">
        <f t="shared" si="37"/>
        <v>0.3741403250200605</v>
      </c>
      <c r="X54" s="9">
        <f t="shared" si="37"/>
        <v>0</v>
      </c>
      <c r="Y54" s="199">
        <f t="shared" si="30"/>
        <v>2.2723786780418394</v>
      </c>
      <c r="Z54" s="199">
        <f t="shared" si="31"/>
        <v>0.10447962598620378</v>
      </c>
      <c r="AA54" s="199">
        <f t="shared" si="32"/>
        <v>2.3768583040280431</v>
      </c>
      <c r="AB54" s="199"/>
      <c r="AC54" s="9">
        <f t="shared" si="25"/>
        <v>1.8940853954140564</v>
      </c>
      <c r="AD54" s="9">
        <f t="shared" si="25"/>
        <v>0.3741403250200605</v>
      </c>
      <c r="AE54" s="9">
        <f t="shared" si="25"/>
        <v>0.3741403250200605</v>
      </c>
      <c r="AF54" s="9">
        <f t="shared" si="25"/>
        <v>0.3741403250200605</v>
      </c>
      <c r="AG54" s="9">
        <f t="shared" si="25"/>
        <v>0.3741403250200605</v>
      </c>
      <c r="AH54" s="9">
        <f t="shared" si="25"/>
        <v>0.3741403250200605</v>
      </c>
      <c r="AI54" s="199">
        <f t="shared" si="33"/>
        <v>3.7647870205143583</v>
      </c>
      <c r="AJ54" s="200">
        <f t="shared" si="34"/>
        <v>0.10447962598620378</v>
      </c>
      <c r="AK54" s="199">
        <f t="shared" si="35"/>
        <v>3.8692666465005621</v>
      </c>
      <c r="AL54" s="201">
        <f t="shared" si="36"/>
        <v>6.2461249505286052</v>
      </c>
    </row>
    <row r="55" spans="4:39" x14ac:dyDescent="0.25">
      <c r="Q55" s="234">
        <f>'VS Pump Data'!L42</f>
        <v>0.8</v>
      </c>
      <c r="R55" s="243" t="str">
        <f>CONCATENATE('VS Pump Data'!L43,$R$33,R$34)</f>
        <v>1520 RPM</v>
      </c>
      <c r="S55" s="215">
        <f>'VS Pump Data'!L45</f>
        <v>768</v>
      </c>
      <c r="T55" s="192">
        <f t="shared" si="21"/>
        <v>7.3648537643318315E-2</v>
      </c>
      <c r="U55" s="192">
        <f t="shared" si="37"/>
        <v>7.635880382859242E-2</v>
      </c>
      <c r="V55" s="192">
        <f t="shared" si="37"/>
        <v>3.6824268821659158E-2</v>
      </c>
      <c r="W55" s="192">
        <f t="shared" si="37"/>
        <v>3.6824268821659158E-2</v>
      </c>
      <c r="X55" s="192">
        <f t="shared" si="37"/>
        <v>0</v>
      </c>
      <c r="Y55" s="202">
        <f t="shared" si="30"/>
        <v>0.22365587911522905</v>
      </c>
      <c r="Z55" s="202">
        <f t="shared" si="31"/>
        <v>1.2236261548177961E-2</v>
      </c>
      <c r="AA55" s="202">
        <f t="shared" si="32"/>
        <v>0.23589214066340702</v>
      </c>
      <c r="AB55" s="202"/>
      <c r="AC55" s="192">
        <f t="shared" si="25"/>
        <v>0.18642286090964949</v>
      </c>
      <c r="AD55" s="192">
        <f t="shared" si="25"/>
        <v>3.6824268821659158E-2</v>
      </c>
      <c r="AE55" s="192">
        <f t="shared" si="25"/>
        <v>3.6824268821659158E-2</v>
      </c>
      <c r="AF55" s="192">
        <f t="shared" si="25"/>
        <v>3.6824268821659158E-2</v>
      </c>
      <c r="AG55" s="192">
        <f t="shared" si="25"/>
        <v>3.6824268821659158E-2</v>
      </c>
      <c r="AH55" s="192">
        <f t="shared" si="25"/>
        <v>3.6824268821659158E-2</v>
      </c>
      <c r="AI55" s="202">
        <f t="shared" si="33"/>
        <v>0.37054420501794533</v>
      </c>
      <c r="AJ55" s="203">
        <f t="shared" si="34"/>
        <v>1.2236261548177961E-2</v>
      </c>
      <c r="AK55" s="202">
        <f t="shared" si="35"/>
        <v>0.3827804665661233</v>
      </c>
      <c r="AL55" s="204">
        <f t="shared" si="36"/>
        <v>0.61867260722953032</v>
      </c>
      <c r="AM55" s="49">
        <v>80</v>
      </c>
    </row>
    <row r="56" spans="4:39" x14ac:dyDescent="0.25">
      <c r="Q56" s="235"/>
      <c r="R56" s="244"/>
      <c r="S56" s="216">
        <f>'VS Pump Data'!L46</f>
        <v>1152</v>
      </c>
      <c r="T56" s="99">
        <f t="shared" si="21"/>
        <v>0.16570920969746625</v>
      </c>
      <c r="U56" s="99">
        <f t="shared" si="37"/>
        <v>0.17180730861433299</v>
      </c>
      <c r="V56" s="99">
        <f t="shared" si="37"/>
        <v>8.2854604848733124E-2</v>
      </c>
      <c r="W56" s="99">
        <f t="shared" si="37"/>
        <v>8.2854604848733124E-2</v>
      </c>
      <c r="X56" s="99">
        <f t="shared" si="37"/>
        <v>0</v>
      </c>
      <c r="Y56" s="196">
        <f t="shared" si="30"/>
        <v>0.50322572800926546</v>
      </c>
      <c r="Z56" s="196">
        <f t="shared" si="31"/>
        <v>2.5907027173907159E-2</v>
      </c>
      <c r="AA56" s="196">
        <f t="shared" si="32"/>
        <v>0.5291327551831726</v>
      </c>
      <c r="AB56" s="196"/>
      <c r="AC56" s="99">
        <f t="shared" si="25"/>
        <v>0.41945143704671145</v>
      </c>
      <c r="AD56" s="99">
        <f t="shared" si="25"/>
        <v>8.2854604848733124E-2</v>
      </c>
      <c r="AE56" s="99">
        <f t="shared" si="25"/>
        <v>8.2854604848733124E-2</v>
      </c>
      <c r="AF56" s="99">
        <f t="shared" si="25"/>
        <v>8.2854604848733124E-2</v>
      </c>
      <c r="AG56" s="99">
        <f t="shared" si="25"/>
        <v>8.2854604848733124E-2</v>
      </c>
      <c r="AH56" s="99">
        <f t="shared" si="25"/>
        <v>8.2854604848733124E-2</v>
      </c>
      <c r="AI56" s="196">
        <f t="shared" si="33"/>
        <v>0.83372446129037692</v>
      </c>
      <c r="AJ56" s="197">
        <f t="shared" si="34"/>
        <v>2.5907027173907159E-2</v>
      </c>
      <c r="AK56" s="196">
        <f t="shared" si="35"/>
        <v>0.85963148846428405</v>
      </c>
      <c r="AL56" s="205">
        <f t="shared" si="36"/>
        <v>1.3887642436474565</v>
      </c>
    </row>
    <row r="57" spans="4:39" x14ac:dyDescent="0.25">
      <c r="Q57" s="235"/>
      <c r="R57" s="244"/>
      <c r="S57" s="216">
        <f>'VS Pump Data'!L47</f>
        <v>1536</v>
      </c>
      <c r="T57" s="99">
        <f t="shared" si="21"/>
        <v>0.29459415057327326</v>
      </c>
      <c r="U57" s="99">
        <f t="shared" si="37"/>
        <v>0.30543521531436968</v>
      </c>
      <c r="V57" s="99">
        <f t="shared" si="37"/>
        <v>0.14729707528663663</v>
      </c>
      <c r="W57" s="99">
        <f t="shared" si="37"/>
        <v>0.14729707528663663</v>
      </c>
      <c r="X57" s="99">
        <f t="shared" si="37"/>
        <v>0</v>
      </c>
      <c r="Y57" s="196">
        <f t="shared" si="30"/>
        <v>0.8946235164609162</v>
      </c>
      <c r="Z57" s="196">
        <f t="shared" si="31"/>
        <v>4.4111745523690037E-2</v>
      </c>
      <c r="AA57" s="196">
        <f t="shared" si="32"/>
        <v>0.93873526198460622</v>
      </c>
      <c r="AB57" s="196"/>
      <c r="AC57" s="99">
        <f t="shared" si="25"/>
        <v>0.74569144363859796</v>
      </c>
      <c r="AD57" s="99">
        <f t="shared" si="25"/>
        <v>0.14729707528663663</v>
      </c>
      <c r="AE57" s="99">
        <f t="shared" si="25"/>
        <v>0.14729707528663663</v>
      </c>
      <c r="AF57" s="99">
        <f t="shared" si="25"/>
        <v>0.14729707528663663</v>
      </c>
      <c r="AG57" s="99">
        <f t="shared" si="25"/>
        <v>0.14729707528663663</v>
      </c>
      <c r="AH57" s="99">
        <f t="shared" si="25"/>
        <v>0.14729707528663663</v>
      </c>
      <c r="AI57" s="196">
        <f t="shared" si="33"/>
        <v>1.4821768200717813</v>
      </c>
      <c r="AJ57" s="197">
        <f t="shared" si="34"/>
        <v>4.4111745523690037E-2</v>
      </c>
      <c r="AK57" s="196">
        <f t="shared" si="35"/>
        <v>1.5262885655954714</v>
      </c>
      <c r="AL57" s="205">
        <f t="shared" si="36"/>
        <v>2.4650238275800778</v>
      </c>
    </row>
    <row r="58" spans="4:39" x14ac:dyDescent="0.25">
      <c r="Q58" s="235"/>
      <c r="R58" s="244"/>
      <c r="S58" s="216">
        <f>'VS Pump Data'!L48</f>
        <v>1920</v>
      </c>
      <c r="T58" s="99">
        <f t="shared" si="21"/>
        <v>0.46030336027073965</v>
      </c>
      <c r="U58" s="99">
        <f t="shared" si="37"/>
        <v>0.4772425239287027</v>
      </c>
      <c r="V58" s="99">
        <f t="shared" si="37"/>
        <v>0.23015168013536982</v>
      </c>
      <c r="W58" s="99">
        <f t="shared" si="37"/>
        <v>0.23015168013536982</v>
      </c>
      <c r="X58" s="99">
        <f t="shared" si="37"/>
        <v>0</v>
      </c>
      <c r="Y58" s="196">
        <f t="shared" si="30"/>
        <v>1.397849244470182</v>
      </c>
      <c r="Z58" s="196">
        <f t="shared" si="31"/>
        <v>6.6655772720052811E-2</v>
      </c>
      <c r="AA58" s="196">
        <f t="shared" si="32"/>
        <v>1.4645050171902347</v>
      </c>
      <c r="AB58" s="196"/>
      <c r="AC58" s="99">
        <f t="shared" si="25"/>
        <v>1.1651428806853097</v>
      </c>
      <c r="AD58" s="99">
        <f t="shared" si="25"/>
        <v>0.23015168013536982</v>
      </c>
      <c r="AE58" s="99">
        <f t="shared" si="25"/>
        <v>0.23015168013536982</v>
      </c>
      <c r="AF58" s="99">
        <f t="shared" si="25"/>
        <v>0.23015168013536982</v>
      </c>
      <c r="AG58" s="99">
        <f t="shared" si="25"/>
        <v>0.23015168013536982</v>
      </c>
      <c r="AH58" s="99">
        <f t="shared" si="25"/>
        <v>0.23015168013536982</v>
      </c>
      <c r="AI58" s="196">
        <f t="shared" si="33"/>
        <v>2.3159012813621591</v>
      </c>
      <c r="AJ58" s="197">
        <f t="shared" si="34"/>
        <v>6.6655772720052811E-2</v>
      </c>
      <c r="AK58" s="196">
        <f t="shared" si="35"/>
        <v>2.3825570540822119</v>
      </c>
      <c r="AL58" s="205">
        <f t="shared" si="36"/>
        <v>3.8470620712724468</v>
      </c>
    </row>
    <row r="59" spans="4:39" ht="15.75" thickBot="1" x14ac:dyDescent="0.3">
      <c r="Q59" s="236"/>
      <c r="R59" s="245"/>
      <c r="S59" s="13">
        <f>'VS Pump Data'!L49</f>
        <v>2304</v>
      </c>
      <c r="T59" s="9">
        <f t="shared" si="21"/>
        <v>0.66283683878986499</v>
      </c>
      <c r="U59" s="9">
        <f t="shared" si="37"/>
        <v>0.68722923445733197</v>
      </c>
      <c r="V59" s="9">
        <f t="shared" si="37"/>
        <v>0.3314184193949325</v>
      </c>
      <c r="W59" s="9">
        <f t="shared" si="37"/>
        <v>0.3314184193949325</v>
      </c>
      <c r="X59" s="9">
        <f t="shared" si="37"/>
        <v>0</v>
      </c>
      <c r="Y59" s="199">
        <f t="shared" si="30"/>
        <v>2.0129029120370618</v>
      </c>
      <c r="Z59" s="199">
        <f t="shared" si="31"/>
        <v>9.3394880901420604E-2</v>
      </c>
      <c r="AA59" s="199">
        <f t="shared" si="32"/>
        <v>2.1062977929384825</v>
      </c>
      <c r="AB59" s="199"/>
      <c r="AC59" s="9">
        <f t="shared" si="25"/>
        <v>1.6778057481868458</v>
      </c>
      <c r="AD59" s="9">
        <f t="shared" si="25"/>
        <v>0.3314184193949325</v>
      </c>
      <c r="AE59" s="9">
        <f t="shared" si="25"/>
        <v>0.3314184193949325</v>
      </c>
      <c r="AF59" s="9">
        <f t="shared" si="25"/>
        <v>0.3314184193949325</v>
      </c>
      <c r="AG59" s="9">
        <f t="shared" si="25"/>
        <v>0.3314184193949325</v>
      </c>
      <c r="AH59" s="9">
        <f t="shared" si="25"/>
        <v>0.3314184193949325</v>
      </c>
      <c r="AI59" s="199">
        <f t="shared" si="33"/>
        <v>3.3348978451615077</v>
      </c>
      <c r="AJ59" s="200">
        <f t="shared" si="34"/>
        <v>9.3394880901420604E-2</v>
      </c>
      <c r="AK59" s="199">
        <f t="shared" si="35"/>
        <v>3.4282927260629283</v>
      </c>
      <c r="AL59" s="201">
        <f t="shared" si="36"/>
        <v>5.5345905190014104</v>
      </c>
    </row>
    <row r="60" spans="4:39" x14ac:dyDescent="0.25">
      <c r="Q60" s="234">
        <f>'VS Pump Data'!N42</f>
        <v>0.75</v>
      </c>
      <c r="R60" s="243" t="str">
        <f>CONCATENATE('VS Pump Data'!N43,$R$33,R$34)</f>
        <v>1425 RPM</v>
      </c>
      <c r="S60" s="215">
        <f>'VS Pump Data'!N45</f>
        <v>720</v>
      </c>
      <c r="T60" s="192">
        <f t="shared" si="21"/>
        <v>6.4730160038072748E-2</v>
      </c>
      <c r="U60" s="192">
        <f t="shared" si="37"/>
        <v>6.7112229927473802E-2</v>
      </c>
      <c r="V60" s="192">
        <f t="shared" si="37"/>
        <v>3.2365080019036374E-2</v>
      </c>
      <c r="W60" s="192">
        <f t="shared" si="37"/>
        <v>3.2365080019036374E-2</v>
      </c>
      <c r="X60" s="192">
        <f t="shared" si="37"/>
        <v>0</v>
      </c>
      <c r="Y60" s="202">
        <f t="shared" si="30"/>
        <v>0.19657255000361928</v>
      </c>
      <c r="Z60" s="202">
        <f t="shared" si="31"/>
        <v>1.0859144512767328E-2</v>
      </c>
      <c r="AA60" s="202">
        <f t="shared" si="32"/>
        <v>0.2074316945163866</v>
      </c>
      <c r="AB60" s="202"/>
      <c r="AC60" s="192">
        <f t="shared" si="25"/>
        <v>0.16384821759637164</v>
      </c>
      <c r="AD60" s="192">
        <f t="shared" si="25"/>
        <v>3.2365080019036374E-2</v>
      </c>
      <c r="AE60" s="192">
        <f t="shared" si="25"/>
        <v>3.2365080019036374E-2</v>
      </c>
      <c r="AF60" s="192">
        <f t="shared" si="25"/>
        <v>3.2365080019036374E-2</v>
      </c>
      <c r="AG60" s="192">
        <f t="shared" si="25"/>
        <v>3.2365080019036374E-2</v>
      </c>
      <c r="AH60" s="192">
        <f t="shared" si="25"/>
        <v>3.2365080019036374E-2</v>
      </c>
      <c r="AI60" s="202">
        <f t="shared" si="33"/>
        <v>0.32567361769155351</v>
      </c>
      <c r="AJ60" s="203">
        <f t="shared" si="34"/>
        <v>1.0859144512767328E-2</v>
      </c>
      <c r="AK60" s="202">
        <f t="shared" si="35"/>
        <v>0.33653276220432082</v>
      </c>
      <c r="AL60" s="204">
        <f t="shared" si="36"/>
        <v>0.54396445672070737</v>
      </c>
      <c r="AM60" s="49">
        <v>75</v>
      </c>
    </row>
    <row r="61" spans="4:39" x14ac:dyDescent="0.25">
      <c r="D61" s="49" t="s">
        <v>120</v>
      </c>
      <c r="Q61" s="235"/>
      <c r="R61" s="244"/>
      <c r="S61" s="216">
        <f>'VS Pump Data'!N46</f>
        <v>1080</v>
      </c>
      <c r="T61" s="99">
        <f t="shared" si="21"/>
        <v>0.14564286008566363</v>
      </c>
      <c r="U61" s="99">
        <f t="shared" si="37"/>
        <v>0.15100251733681602</v>
      </c>
      <c r="V61" s="99">
        <f t="shared" si="37"/>
        <v>7.2821430042831814E-2</v>
      </c>
      <c r="W61" s="99">
        <f t="shared" si="37"/>
        <v>7.2821430042831814E-2</v>
      </c>
      <c r="X61" s="99">
        <f t="shared" si="37"/>
        <v>0</v>
      </c>
      <c r="Y61" s="196">
        <f t="shared" si="30"/>
        <v>0.44228823750814328</v>
      </c>
      <c r="Z61" s="196">
        <f t="shared" si="31"/>
        <v>2.299134836812463E-2</v>
      </c>
      <c r="AA61" s="196">
        <f t="shared" si="32"/>
        <v>0.46527958587626789</v>
      </c>
      <c r="AB61" s="196"/>
      <c r="AC61" s="99">
        <f t="shared" si="25"/>
        <v>0.36865848959183611</v>
      </c>
      <c r="AD61" s="99">
        <f t="shared" si="25"/>
        <v>7.2821430042831814E-2</v>
      </c>
      <c r="AE61" s="99">
        <f t="shared" si="25"/>
        <v>7.2821430042831814E-2</v>
      </c>
      <c r="AF61" s="99">
        <f t="shared" si="25"/>
        <v>7.2821430042831814E-2</v>
      </c>
      <c r="AG61" s="99">
        <f t="shared" si="25"/>
        <v>7.2821430042831814E-2</v>
      </c>
      <c r="AH61" s="99">
        <f t="shared" si="25"/>
        <v>7.2821430042831814E-2</v>
      </c>
      <c r="AI61" s="196">
        <f t="shared" si="33"/>
        <v>0.73276563980599518</v>
      </c>
      <c r="AJ61" s="197">
        <f t="shared" si="34"/>
        <v>2.299134836812463E-2</v>
      </c>
      <c r="AK61" s="196">
        <f t="shared" si="35"/>
        <v>0.75575698817411985</v>
      </c>
      <c r="AL61" s="205">
        <f t="shared" si="36"/>
        <v>1.2210365740503877</v>
      </c>
    </row>
    <row r="62" spans="4:39" x14ac:dyDescent="0.25">
      <c r="D62" s="71">
        <f>D21</f>
        <v>10</v>
      </c>
      <c r="Q62" s="235"/>
      <c r="R62" s="244"/>
      <c r="S62" s="216">
        <f>'VS Pump Data'!N47</f>
        <v>1440</v>
      </c>
      <c r="T62" s="99">
        <f t="shared" si="21"/>
        <v>0.25892064015229099</v>
      </c>
      <c r="U62" s="99">
        <f t="shared" si="37"/>
        <v>0.26844891970989521</v>
      </c>
      <c r="V62" s="99">
        <f t="shared" si="37"/>
        <v>0.1294603200761455</v>
      </c>
      <c r="W62" s="99">
        <f t="shared" si="37"/>
        <v>0.1294603200761455</v>
      </c>
      <c r="X62" s="99">
        <f t="shared" si="37"/>
        <v>0</v>
      </c>
      <c r="Y62" s="196">
        <f t="shared" si="30"/>
        <v>0.78629020001447714</v>
      </c>
      <c r="Z62" s="196">
        <f t="shared" si="31"/>
        <v>3.9147236062757669E-2</v>
      </c>
      <c r="AA62" s="196">
        <f t="shared" si="32"/>
        <v>0.82543743607723485</v>
      </c>
      <c r="AB62" s="196"/>
      <c r="AC62" s="99">
        <f t="shared" si="25"/>
        <v>0.65539287038548655</v>
      </c>
      <c r="AD62" s="99">
        <f t="shared" si="25"/>
        <v>0.1294603200761455</v>
      </c>
      <c r="AE62" s="99">
        <f t="shared" si="25"/>
        <v>0.1294603200761455</v>
      </c>
      <c r="AF62" s="99">
        <f t="shared" si="25"/>
        <v>0.1294603200761455</v>
      </c>
      <c r="AG62" s="99">
        <f t="shared" si="25"/>
        <v>0.1294603200761455</v>
      </c>
      <c r="AH62" s="99">
        <f t="shared" si="25"/>
        <v>0.1294603200761455</v>
      </c>
      <c r="AI62" s="196">
        <f t="shared" si="33"/>
        <v>1.302694470766214</v>
      </c>
      <c r="AJ62" s="197">
        <f t="shared" si="34"/>
        <v>3.9147236062757669E-2</v>
      </c>
      <c r="AK62" s="196">
        <f t="shared" si="35"/>
        <v>1.3418417068289716</v>
      </c>
      <c r="AL62" s="205">
        <f t="shared" si="36"/>
        <v>2.1672791429062066</v>
      </c>
    </row>
    <row r="63" spans="4:39" x14ac:dyDescent="0.25">
      <c r="D63" s="71">
        <f>D33</f>
        <v>10</v>
      </c>
      <c r="Q63" s="235"/>
      <c r="R63" s="244"/>
      <c r="S63" s="216">
        <f>'VS Pump Data'!N48</f>
        <v>1800</v>
      </c>
      <c r="T63" s="99">
        <f t="shared" si="21"/>
        <v>0.40456350023795468</v>
      </c>
      <c r="U63" s="99">
        <f t="shared" si="37"/>
        <v>0.41945143704671123</v>
      </c>
      <c r="V63" s="99">
        <f t="shared" si="37"/>
        <v>0.20228175011897734</v>
      </c>
      <c r="W63" s="99">
        <f t="shared" si="37"/>
        <v>0.20228175011897734</v>
      </c>
      <c r="X63" s="99">
        <f t="shared" si="37"/>
        <v>0</v>
      </c>
      <c r="Y63" s="196">
        <f t="shared" si="30"/>
        <v>1.2285784375226205</v>
      </c>
      <c r="Z63" s="196">
        <f t="shared" si="31"/>
        <v>5.9154069707263536E-2</v>
      </c>
      <c r="AA63" s="196">
        <f t="shared" si="32"/>
        <v>1.287732507229884</v>
      </c>
      <c r="AB63" s="196"/>
      <c r="AC63" s="99">
        <f t="shared" si="25"/>
        <v>1.0240513599773224</v>
      </c>
      <c r="AD63" s="99">
        <f t="shared" si="25"/>
        <v>0.20228175011897734</v>
      </c>
      <c r="AE63" s="99">
        <f t="shared" si="25"/>
        <v>0.20228175011897734</v>
      </c>
      <c r="AF63" s="99">
        <f t="shared" si="25"/>
        <v>0.20228175011897734</v>
      </c>
      <c r="AG63" s="99">
        <f t="shared" si="25"/>
        <v>0.20228175011897734</v>
      </c>
      <c r="AH63" s="99">
        <f t="shared" si="25"/>
        <v>0.20228175011897734</v>
      </c>
      <c r="AI63" s="196">
        <f t="shared" si="33"/>
        <v>2.0354601105722092</v>
      </c>
      <c r="AJ63" s="197">
        <f t="shared" si="34"/>
        <v>5.9154069707263536E-2</v>
      </c>
      <c r="AK63" s="196">
        <f t="shared" si="35"/>
        <v>2.0946141802794727</v>
      </c>
      <c r="AL63" s="205">
        <f t="shared" si="36"/>
        <v>3.3823466875093566</v>
      </c>
    </row>
    <row r="64" spans="4:39" ht="15.75" thickBot="1" x14ac:dyDescent="0.3">
      <c r="D64" s="71">
        <f>D39</f>
        <v>12</v>
      </c>
      <c r="Q64" s="236"/>
      <c r="R64" s="245"/>
      <c r="S64" s="13">
        <f>'VS Pump Data'!N49</f>
        <v>2160</v>
      </c>
      <c r="T64" s="9">
        <f t="shared" si="21"/>
        <v>0.58257144034265451</v>
      </c>
      <c r="U64" s="9">
        <f t="shared" si="37"/>
        <v>0.60401006934726409</v>
      </c>
      <c r="V64" s="9">
        <f t="shared" si="37"/>
        <v>0.29128572017132726</v>
      </c>
      <c r="W64" s="9">
        <f t="shared" si="37"/>
        <v>0.29128572017132726</v>
      </c>
      <c r="X64" s="9">
        <f t="shared" si="37"/>
        <v>0</v>
      </c>
      <c r="Y64" s="199">
        <f t="shared" si="30"/>
        <v>1.7691529500325731</v>
      </c>
      <c r="Z64" s="199">
        <f t="shared" si="31"/>
        <v>8.2883853411276201E-2</v>
      </c>
      <c r="AA64" s="199">
        <f t="shared" si="32"/>
        <v>1.8520368034438492</v>
      </c>
      <c r="AB64" s="199"/>
      <c r="AC64" s="9">
        <f t="shared" si="25"/>
        <v>1.4746339583673445</v>
      </c>
      <c r="AD64" s="9">
        <f t="shared" si="25"/>
        <v>0.29128572017132726</v>
      </c>
      <c r="AE64" s="9">
        <f t="shared" si="25"/>
        <v>0.29128572017132726</v>
      </c>
      <c r="AF64" s="9">
        <f t="shared" si="25"/>
        <v>0.29128572017132726</v>
      </c>
      <c r="AG64" s="9">
        <f t="shared" si="25"/>
        <v>0.29128572017132726</v>
      </c>
      <c r="AH64" s="9">
        <f t="shared" si="25"/>
        <v>0.29128572017132726</v>
      </c>
      <c r="AI64" s="199">
        <f t="shared" si="33"/>
        <v>2.9310625592239807</v>
      </c>
      <c r="AJ64" s="200">
        <f t="shared" si="34"/>
        <v>8.2883853411276201E-2</v>
      </c>
      <c r="AK64" s="199">
        <f t="shared" si="35"/>
        <v>3.0139464126352569</v>
      </c>
      <c r="AL64" s="201">
        <f t="shared" si="36"/>
        <v>4.8659832160791066</v>
      </c>
    </row>
    <row r="65" spans="4:39" x14ac:dyDescent="0.25">
      <c r="D65" s="71">
        <f>P6</f>
        <v>8</v>
      </c>
      <c r="Q65" s="234">
        <f>'VS Pump Data'!P42</f>
        <v>0.7</v>
      </c>
      <c r="R65" s="243" t="str">
        <f>CONCATENATE('VS Pump Data'!P43,$R$33,R$34)</f>
        <v>1330 RPM</v>
      </c>
      <c r="S65" s="215">
        <f>'VS Pump Data'!P45</f>
        <v>672</v>
      </c>
      <c r="T65" s="192">
        <f t="shared" si="21"/>
        <v>5.6387161633165594E-2</v>
      </c>
      <c r="U65" s="192">
        <f t="shared" si="37"/>
        <v>5.8462209181266087E-2</v>
      </c>
      <c r="V65" s="192">
        <f t="shared" si="37"/>
        <v>2.8193580816582797E-2</v>
      </c>
      <c r="W65" s="192">
        <f t="shared" si="37"/>
        <v>2.8193580816582797E-2</v>
      </c>
      <c r="X65" s="192">
        <f t="shared" si="37"/>
        <v>0</v>
      </c>
      <c r="Y65" s="202">
        <f t="shared" si="30"/>
        <v>0.17123653244759729</v>
      </c>
      <c r="Z65" s="202">
        <f t="shared" si="31"/>
        <v>9.5579256854000511E-3</v>
      </c>
      <c r="AA65" s="202">
        <f t="shared" si="32"/>
        <v>0.18079445813299733</v>
      </c>
      <c r="AB65" s="202"/>
      <c r="AC65" s="192">
        <f t="shared" si="25"/>
        <v>0.14273000288395041</v>
      </c>
      <c r="AD65" s="192">
        <f t="shared" si="25"/>
        <v>2.8193580816582797E-2</v>
      </c>
      <c r="AE65" s="192">
        <f t="shared" si="25"/>
        <v>2.8193580816582797E-2</v>
      </c>
      <c r="AF65" s="192">
        <f t="shared" si="25"/>
        <v>2.8193580816582797E-2</v>
      </c>
      <c r="AG65" s="192">
        <f t="shared" si="25"/>
        <v>2.8193580816582797E-2</v>
      </c>
      <c r="AH65" s="192">
        <f t="shared" si="25"/>
        <v>2.8193580816582797E-2</v>
      </c>
      <c r="AI65" s="202">
        <f t="shared" si="33"/>
        <v>0.28369790696686442</v>
      </c>
      <c r="AJ65" s="203">
        <f t="shared" si="34"/>
        <v>9.5579256854000511E-3</v>
      </c>
      <c r="AK65" s="202">
        <f t="shared" si="35"/>
        <v>0.29325583265226446</v>
      </c>
      <c r="AL65" s="204">
        <f t="shared" si="36"/>
        <v>0.47405029078526179</v>
      </c>
      <c r="AM65" s="49">
        <v>70</v>
      </c>
    </row>
    <row r="66" spans="4:39" x14ac:dyDescent="0.25">
      <c r="Q66" s="235"/>
      <c r="R66" s="244"/>
      <c r="S66" s="216">
        <f>'VS Pump Data'!P46</f>
        <v>1008</v>
      </c>
      <c r="T66" s="99">
        <f t="shared" si="21"/>
        <v>0.12687111367462256</v>
      </c>
      <c r="U66" s="99">
        <f t="shared" si="37"/>
        <v>0.13153997065784867</v>
      </c>
      <c r="V66" s="99">
        <f t="shared" si="37"/>
        <v>6.343555683731128E-2</v>
      </c>
      <c r="W66" s="99">
        <f t="shared" si="37"/>
        <v>6.343555683731128E-2</v>
      </c>
      <c r="X66" s="99">
        <f t="shared" si="37"/>
        <v>0</v>
      </c>
      <c r="Y66" s="196">
        <f t="shared" si="30"/>
        <v>0.38528219800709379</v>
      </c>
      <c r="Z66" s="196">
        <f t="shared" si="31"/>
        <v>2.0236363817731189E-2</v>
      </c>
      <c r="AA66" s="196">
        <f t="shared" si="32"/>
        <v>0.40551856182482499</v>
      </c>
      <c r="AB66" s="196"/>
      <c r="AC66" s="99">
        <f t="shared" si="25"/>
        <v>0.32114250648888848</v>
      </c>
      <c r="AD66" s="99">
        <f t="shared" si="25"/>
        <v>6.343555683731128E-2</v>
      </c>
      <c r="AE66" s="99">
        <f t="shared" si="25"/>
        <v>6.343555683731128E-2</v>
      </c>
      <c r="AF66" s="99">
        <f t="shared" si="25"/>
        <v>6.343555683731128E-2</v>
      </c>
      <c r="AG66" s="99">
        <f t="shared" si="25"/>
        <v>6.343555683731128E-2</v>
      </c>
      <c r="AH66" s="99">
        <f t="shared" si="25"/>
        <v>6.343555683731128E-2</v>
      </c>
      <c r="AI66" s="196">
        <f t="shared" si="33"/>
        <v>0.63832029067544482</v>
      </c>
      <c r="AJ66" s="197">
        <f t="shared" si="34"/>
        <v>2.0236363817731189E-2</v>
      </c>
      <c r="AK66" s="196">
        <f t="shared" si="35"/>
        <v>0.65855665449317602</v>
      </c>
      <c r="AL66" s="205">
        <f t="shared" si="36"/>
        <v>1.0640752163180009</v>
      </c>
    </row>
    <row r="67" spans="4:39" x14ac:dyDescent="0.25">
      <c r="Q67" s="235"/>
      <c r="R67" s="244"/>
      <c r="S67" s="216">
        <f>'VS Pump Data'!P47</f>
        <v>1344</v>
      </c>
      <c r="T67" s="99">
        <f t="shared" si="21"/>
        <v>0.22554864653266238</v>
      </c>
      <c r="U67" s="99">
        <f t="shared" ref="U67:X82" si="38">((($S67/449)/(0.25*PI()*((U$31/12)^2)))^2)*U$32/64.4</f>
        <v>0.23384883672506435</v>
      </c>
      <c r="V67" s="99">
        <f t="shared" si="38"/>
        <v>0.11277432326633119</v>
      </c>
      <c r="W67" s="99">
        <f t="shared" si="38"/>
        <v>0.11277432326633119</v>
      </c>
      <c r="X67" s="99">
        <f t="shared" si="38"/>
        <v>0</v>
      </c>
      <c r="Y67" s="196">
        <f t="shared" si="30"/>
        <v>0.68494612979038916</v>
      </c>
      <c r="Z67" s="196">
        <f t="shared" si="31"/>
        <v>3.4456339782266948E-2</v>
      </c>
      <c r="AA67" s="196">
        <f t="shared" si="32"/>
        <v>0.71940246957265608</v>
      </c>
      <c r="AB67" s="196"/>
      <c r="AC67" s="99">
        <f t="shared" si="25"/>
        <v>0.57092001153580163</v>
      </c>
      <c r="AD67" s="99">
        <f t="shared" si="25"/>
        <v>0.11277432326633119</v>
      </c>
      <c r="AE67" s="99">
        <f t="shared" si="25"/>
        <v>0.11277432326633119</v>
      </c>
      <c r="AF67" s="99">
        <f t="shared" si="25"/>
        <v>0.11277432326633119</v>
      </c>
      <c r="AG67" s="99">
        <f t="shared" si="25"/>
        <v>0.11277432326633119</v>
      </c>
      <c r="AH67" s="99">
        <f t="shared" si="25"/>
        <v>0.11277432326633119</v>
      </c>
      <c r="AI67" s="196">
        <f t="shared" si="33"/>
        <v>1.1347916278674577</v>
      </c>
      <c r="AJ67" s="197">
        <f t="shared" si="34"/>
        <v>3.4456339782266948E-2</v>
      </c>
      <c r="AK67" s="196">
        <f t="shared" si="35"/>
        <v>1.1692479676497247</v>
      </c>
      <c r="AL67" s="205">
        <f t="shared" si="36"/>
        <v>1.8886504372223807</v>
      </c>
    </row>
    <row r="68" spans="4:39" x14ac:dyDescent="0.25">
      <c r="Q68" s="235"/>
      <c r="R68" s="244"/>
      <c r="S68" s="216">
        <f>'VS Pump Data'!P48</f>
        <v>1680</v>
      </c>
      <c r="T68" s="99">
        <f t="shared" si="21"/>
        <v>0.35241976020728499</v>
      </c>
      <c r="U68" s="99">
        <f t="shared" si="38"/>
        <v>0.36538880738291296</v>
      </c>
      <c r="V68" s="99">
        <f t="shared" si="38"/>
        <v>0.1762098801036425</v>
      </c>
      <c r="W68" s="99">
        <f t="shared" si="38"/>
        <v>0.1762098801036425</v>
      </c>
      <c r="X68" s="99">
        <f t="shared" si="38"/>
        <v>0</v>
      </c>
      <c r="Y68" s="196">
        <f t="shared" si="30"/>
        <v>1.0702283277974829</v>
      </c>
      <c r="Z68" s="196">
        <f t="shared" si="31"/>
        <v>5.2065814354552327E-2</v>
      </c>
      <c r="AA68" s="196">
        <f t="shared" si="32"/>
        <v>1.1222941421520352</v>
      </c>
      <c r="AB68" s="196"/>
      <c r="AC68" s="99">
        <f t="shared" ref="AC68:AH89" si="39">((($S68/449)/(0.25*PI()*((AC$31/12)^2)))^2)*AC$32/64.4</f>
        <v>0.89206251802469005</v>
      </c>
      <c r="AD68" s="99">
        <f t="shared" si="39"/>
        <v>0.1762098801036425</v>
      </c>
      <c r="AE68" s="99">
        <f t="shared" si="39"/>
        <v>0.1762098801036425</v>
      </c>
      <c r="AF68" s="99">
        <f t="shared" si="39"/>
        <v>0.1762098801036425</v>
      </c>
      <c r="AG68" s="99">
        <f t="shared" si="39"/>
        <v>0.1762098801036425</v>
      </c>
      <c r="AH68" s="99">
        <f t="shared" si="39"/>
        <v>0.1762098801036425</v>
      </c>
      <c r="AI68" s="196">
        <f t="shared" si="33"/>
        <v>1.7731119185429025</v>
      </c>
      <c r="AJ68" s="197">
        <f t="shared" si="34"/>
        <v>5.2065814354552327E-2</v>
      </c>
      <c r="AK68" s="196">
        <f t="shared" si="35"/>
        <v>1.8251777328974548</v>
      </c>
      <c r="AL68" s="205">
        <f t="shared" si="36"/>
        <v>2.9474718750494899</v>
      </c>
    </row>
    <row r="69" spans="4:39" ht="15.75" thickBot="1" x14ac:dyDescent="0.3">
      <c r="Q69" s="236"/>
      <c r="R69" s="245"/>
      <c r="S69" s="13">
        <f>'VS Pump Data'!P49</f>
        <v>2016</v>
      </c>
      <c r="T69" s="9">
        <f t="shared" si="21"/>
        <v>0.50748445469849024</v>
      </c>
      <c r="U69" s="9">
        <f t="shared" si="38"/>
        <v>0.52615988263139468</v>
      </c>
      <c r="V69" s="9">
        <f t="shared" si="38"/>
        <v>0.25374222734924512</v>
      </c>
      <c r="W69" s="9">
        <f t="shared" si="38"/>
        <v>0.25374222734924512</v>
      </c>
      <c r="X69" s="9">
        <f t="shared" si="38"/>
        <v>0</v>
      </c>
      <c r="Y69" s="199">
        <f t="shared" si="30"/>
        <v>1.5411287920283752</v>
      </c>
      <c r="Z69" s="199">
        <f t="shared" si="31"/>
        <v>7.2952129009165242E-2</v>
      </c>
      <c r="AA69" s="199">
        <f t="shared" si="32"/>
        <v>1.6140809210375404</v>
      </c>
      <c r="AB69" s="199"/>
      <c r="AC69" s="9">
        <f t="shared" si="39"/>
        <v>1.2845700259555539</v>
      </c>
      <c r="AD69" s="9">
        <f t="shared" si="39"/>
        <v>0.25374222734924512</v>
      </c>
      <c r="AE69" s="9">
        <f t="shared" si="39"/>
        <v>0.25374222734924512</v>
      </c>
      <c r="AF69" s="9">
        <f t="shared" si="39"/>
        <v>0.25374222734924512</v>
      </c>
      <c r="AG69" s="9">
        <f t="shared" si="39"/>
        <v>0.25374222734924512</v>
      </c>
      <c r="AH69" s="9">
        <f t="shared" si="39"/>
        <v>0.25374222734924512</v>
      </c>
      <c r="AI69" s="199">
        <f t="shared" si="33"/>
        <v>2.5532811627017793</v>
      </c>
      <c r="AJ69" s="200">
        <f t="shared" si="34"/>
        <v>7.2952129009165242E-2</v>
      </c>
      <c r="AK69" s="199">
        <f t="shared" si="35"/>
        <v>2.6262332917109443</v>
      </c>
      <c r="AL69" s="201">
        <f t="shared" si="36"/>
        <v>4.2403142127484852</v>
      </c>
    </row>
    <row r="70" spans="4:39" x14ac:dyDescent="0.25">
      <c r="Q70" s="234">
        <f>'VS Pump Data'!R42</f>
        <v>0.65</v>
      </c>
      <c r="R70" s="243" t="str">
        <f>CONCATENATE('VS Pump Data'!R43,$R$33,R$34)</f>
        <v>1235 RPM</v>
      </c>
      <c r="S70" s="215">
        <f>'VS Pump Data'!R45</f>
        <v>624</v>
      </c>
      <c r="T70" s="192">
        <f t="shared" si="21"/>
        <v>4.8619542428596854E-2</v>
      </c>
      <c r="U70" s="192">
        <f t="shared" si="38"/>
        <v>5.0408741589969205E-2</v>
      </c>
      <c r="V70" s="192">
        <f t="shared" si="38"/>
        <v>2.4309771214298427E-2</v>
      </c>
      <c r="W70" s="192">
        <f t="shared" si="38"/>
        <v>2.4309771214298427E-2</v>
      </c>
      <c r="X70" s="192">
        <f t="shared" si="38"/>
        <v>0</v>
      </c>
      <c r="Y70" s="202">
        <f t="shared" si="30"/>
        <v>0.1476478264471629</v>
      </c>
      <c r="Z70" s="202">
        <f t="shared" si="31"/>
        <v>8.3333953362385894E-3</v>
      </c>
      <c r="AA70" s="202">
        <f t="shared" si="32"/>
        <v>0.15598122178340149</v>
      </c>
      <c r="AB70" s="202"/>
      <c r="AC70" s="192">
        <f t="shared" si="39"/>
        <v>0.1230682167723858</v>
      </c>
      <c r="AD70" s="192">
        <f t="shared" si="39"/>
        <v>2.4309771214298427E-2</v>
      </c>
      <c r="AE70" s="192">
        <f t="shared" si="39"/>
        <v>2.4309771214298427E-2</v>
      </c>
      <c r="AF70" s="192">
        <f t="shared" si="39"/>
        <v>2.4309771214298427E-2</v>
      </c>
      <c r="AG70" s="192">
        <f t="shared" si="39"/>
        <v>2.4309771214298427E-2</v>
      </c>
      <c r="AH70" s="192">
        <f t="shared" si="39"/>
        <v>2.4309771214298427E-2</v>
      </c>
      <c r="AI70" s="202">
        <f t="shared" si="33"/>
        <v>0.2446170728438779</v>
      </c>
      <c r="AJ70" s="203">
        <f t="shared" si="34"/>
        <v>8.3333953362385894E-3</v>
      </c>
      <c r="AK70" s="202">
        <f t="shared" si="35"/>
        <v>0.25295046818011652</v>
      </c>
      <c r="AL70" s="204">
        <f t="shared" si="36"/>
        <v>0.40893168996351803</v>
      </c>
      <c r="AM70" s="49">
        <v>65</v>
      </c>
    </row>
    <row r="71" spans="4:39" x14ac:dyDescent="0.25">
      <c r="Q71" s="235"/>
      <c r="R71" s="244"/>
      <c r="S71" s="216">
        <f>'VS Pump Data'!R46</f>
        <v>936</v>
      </c>
      <c r="T71" s="99">
        <f t="shared" si="21"/>
        <v>0.10939397046434292</v>
      </c>
      <c r="U71" s="99">
        <f t="shared" si="38"/>
        <v>0.11341966857743072</v>
      </c>
      <c r="V71" s="99">
        <f t="shared" si="38"/>
        <v>5.4696985232171459E-2</v>
      </c>
      <c r="W71" s="99">
        <f t="shared" si="38"/>
        <v>5.4696985232171459E-2</v>
      </c>
      <c r="X71" s="99">
        <f t="shared" si="38"/>
        <v>0</v>
      </c>
      <c r="Y71" s="196">
        <f t="shared" si="30"/>
        <v>0.33220760950611661</v>
      </c>
      <c r="Z71" s="196">
        <f t="shared" si="31"/>
        <v>1.7643746709467088E-2</v>
      </c>
      <c r="AA71" s="196">
        <f t="shared" si="32"/>
        <v>0.34985135621558372</v>
      </c>
      <c r="AB71" s="196"/>
      <c r="AC71" s="99">
        <f t="shared" si="39"/>
        <v>0.27690348773786799</v>
      </c>
      <c r="AD71" s="99">
        <f t="shared" si="39"/>
        <v>5.4696985232171459E-2</v>
      </c>
      <c r="AE71" s="99">
        <f t="shared" si="39"/>
        <v>5.4696985232171459E-2</v>
      </c>
      <c r="AF71" s="99">
        <f t="shared" si="39"/>
        <v>5.4696985232171459E-2</v>
      </c>
      <c r="AG71" s="99">
        <f t="shared" si="39"/>
        <v>5.4696985232171459E-2</v>
      </c>
      <c r="AH71" s="99">
        <f t="shared" si="39"/>
        <v>5.4696985232171459E-2</v>
      </c>
      <c r="AI71" s="196">
        <f t="shared" si="33"/>
        <v>0.55038841389872539</v>
      </c>
      <c r="AJ71" s="197">
        <f t="shared" si="34"/>
        <v>1.7643746709467088E-2</v>
      </c>
      <c r="AK71" s="196">
        <f t="shared" si="35"/>
        <v>0.5680321606081925</v>
      </c>
      <c r="AL71" s="205">
        <f t="shared" si="36"/>
        <v>0.91788351682377622</v>
      </c>
    </row>
    <row r="72" spans="4:39" x14ac:dyDescent="0.25">
      <c r="Q72" s="235"/>
      <c r="R72" s="244"/>
      <c r="S72" s="216">
        <f>'VS Pump Data'!R47</f>
        <v>1248</v>
      </c>
      <c r="T72" s="99">
        <f t="shared" si="21"/>
        <v>0.19447816971438742</v>
      </c>
      <c r="U72" s="99">
        <f t="shared" si="38"/>
        <v>0.20163496635987682</v>
      </c>
      <c r="V72" s="99">
        <f t="shared" si="38"/>
        <v>9.7239084857193708E-2</v>
      </c>
      <c r="W72" s="99">
        <f t="shared" si="38"/>
        <v>9.7239084857193708E-2</v>
      </c>
      <c r="X72" s="99">
        <f t="shared" si="38"/>
        <v>0</v>
      </c>
      <c r="Y72" s="196">
        <f t="shared" si="30"/>
        <v>0.5905913057886516</v>
      </c>
      <c r="Z72" s="196">
        <f t="shared" si="31"/>
        <v>3.0041905607615875E-2</v>
      </c>
      <c r="AA72" s="196">
        <f t="shared" si="32"/>
        <v>0.62063321139626748</v>
      </c>
      <c r="AB72" s="196"/>
      <c r="AC72" s="99">
        <f t="shared" si="39"/>
        <v>0.49227286708954321</v>
      </c>
      <c r="AD72" s="99">
        <f t="shared" si="39"/>
        <v>9.7239084857193708E-2</v>
      </c>
      <c r="AE72" s="99">
        <f t="shared" si="39"/>
        <v>9.7239084857193708E-2</v>
      </c>
      <c r="AF72" s="99">
        <f t="shared" si="39"/>
        <v>9.7239084857193708E-2</v>
      </c>
      <c r="AG72" s="99">
        <f t="shared" si="39"/>
        <v>9.7239084857193708E-2</v>
      </c>
      <c r="AH72" s="99">
        <f t="shared" si="39"/>
        <v>9.7239084857193708E-2</v>
      </c>
      <c r="AI72" s="196">
        <f t="shared" si="33"/>
        <v>0.97846829137551161</v>
      </c>
      <c r="AJ72" s="197">
        <f t="shared" si="34"/>
        <v>3.0041905607615875E-2</v>
      </c>
      <c r="AK72" s="196">
        <f t="shared" si="35"/>
        <v>1.0085101969831274</v>
      </c>
      <c r="AL72" s="205">
        <f t="shared" si="36"/>
        <v>1.6291434083793948</v>
      </c>
    </row>
    <row r="73" spans="4:39" x14ac:dyDescent="0.25">
      <c r="Q73" s="235"/>
      <c r="R73" s="244"/>
      <c r="S73" s="216">
        <f>'VS Pump Data'!R48</f>
        <v>1560</v>
      </c>
      <c r="T73" s="99">
        <f t="shared" si="21"/>
        <v>0.30387214017873032</v>
      </c>
      <c r="U73" s="99">
        <f t="shared" si="38"/>
        <v>0.31505463493730756</v>
      </c>
      <c r="V73" s="99">
        <f t="shared" si="38"/>
        <v>0.15193607008936516</v>
      </c>
      <c r="W73" s="99">
        <f t="shared" si="38"/>
        <v>0.15193607008936516</v>
      </c>
      <c r="X73" s="99">
        <f t="shared" si="38"/>
        <v>0</v>
      </c>
      <c r="Y73" s="196">
        <f t="shared" si="30"/>
        <v>0.92279891529476821</v>
      </c>
      <c r="Z73" s="196">
        <f t="shared" si="31"/>
        <v>4.5395311577119693E-2</v>
      </c>
      <c r="AA73" s="196">
        <f t="shared" si="32"/>
        <v>0.96819422687188794</v>
      </c>
      <c r="AB73" s="196"/>
      <c r="AC73" s="99">
        <f t="shared" si="39"/>
        <v>0.76917635482741142</v>
      </c>
      <c r="AD73" s="99">
        <f t="shared" si="39"/>
        <v>0.15193607008936516</v>
      </c>
      <c r="AE73" s="99">
        <f t="shared" si="39"/>
        <v>0.15193607008936516</v>
      </c>
      <c r="AF73" s="99">
        <f t="shared" si="39"/>
        <v>0.15193607008936516</v>
      </c>
      <c r="AG73" s="99">
        <f t="shared" si="39"/>
        <v>0.15193607008936516</v>
      </c>
      <c r="AH73" s="99">
        <f t="shared" si="39"/>
        <v>0.15193607008936516</v>
      </c>
      <c r="AI73" s="196">
        <f t="shared" si="33"/>
        <v>1.528856705274237</v>
      </c>
      <c r="AJ73" s="197">
        <f t="shared" si="34"/>
        <v>4.5395311577119693E-2</v>
      </c>
      <c r="AK73" s="196">
        <f t="shared" si="35"/>
        <v>1.5742520168513567</v>
      </c>
      <c r="AL73" s="205">
        <f t="shared" si="36"/>
        <v>2.5424462437232447</v>
      </c>
    </row>
    <row r="74" spans="4:39" ht="15.75" thickBot="1" x14ac:dyDescent="0.3">
      <c r="Q74" s="236"/>
      <c r="R74" s="245"/>
      <c r="S74" s="13">
        <f>'VS Pump Data'!R49</f>
        <v>1872</v>
      </c>
      <c r="T74" s="9">
        <f t="shared" si="21"/>
        <v>0.43757588185737167</v>
      </c>
      <c r="U74" s="9">
        <f t="shared" si="38"/>
        <v>0.45367867430972286</v>
      </c>
      <c r="V74" s="9">
        <f t="shared" si="38"/>
        <v>0.21878794092868584</v>
      </c>
      <c r="W74" s="9">
        <f t="shared" si="38"/>
        <v>0.21878794092868584</v>
      </c>
      <c r="X74" s="9">
        <f t="shared" si="38"/>
        <v>0</v>
      </c>
      <c r="Y74" s="199">
        <f t="shared" si="30"/>
        <v>1.3288304380244664</v>
      </c>
      <c r="Z74" s="199">
        <f t="shared" si="31"/>
        <v>6.3605739536382142E-2</v>
      </c>
      <c r="AA74" s="199">
        <f t="shared" si="32"/>
        <v>1.3924361775608485</v>
      </c>
      <c r="AB74" s="199"/>
      <c r="AC74" s="9">
        <f t="shared" si="39"/>
        <v>1.107613950951472</v>
      </c>
      <c r="AD74" s="9">
        <f t="shared" si="39"/>
        <v>0.21878794092868584</v>
      </c>
      <c r="AE74" s="9">
        <f t="shared" si="39"/>
        <v>0.21878794092868584</v>
      </c>
      <c r="AF74" s="9">
        <f t="shared" si="39"/>
        <v>0.21878794092868584</v>
      </c>
      <c r="AG74" s="9">
        <f t="shared" si="39"/>
        <v>0.21878794092868584</v>
      </c>
      <c r="AH74" s="9">
        <f t="shared" si="39"/>
        <v>0.21878794092868584</v>
      </c>
      <c r="AI74" s="199">
        <f t="shared" si="33"/>
        <v>2.2015536555949016</v>
      </c>
      <c r="AJ74" s="200">
        <f t="shared" si="34"/>
        <v>6.3605739536382142E-2</v>
      </c>
      <c r="AK74" s="199">
        <f t="shared" si="35"/>
        <v>2.2651593951312838</v>
      </c>
      <c r="AL74" s="201">
        <f t="shared" si="36"/>
        <v>3.6575955726921325</v>
      </c>
    </row>
    <row r="75" spans="4:39" x14ac:dyDescent="0.25">
      <c r="Q75" s="234">
        <f>'VS Pump Data'!T42</f>
        <v>0.6</v>
      </c>
      <c r="R75" s="243" t="str">
        <f>CONCATENATE('VS Pump Data'!T43,$R$33,R$34)</f>
        <v>1140 RPM</v>
      </c>
      <c r="S75" s="215">
        <f>'VS Pump Data'!T45</f>
        <v>576</v>
      </c>
      <c r="T75" s="192">
        <f t="shared" si="21"/>
        <v>4.1427302424366562E-2</v>
      </c>
      <c r="U75" s="192">
        <f t="shared" si="38"/>
        <v>4.2951827153583248E-2</v>
      </c>
      <c r="V75" s="192">
        <f t="shared" si="38"/>
        <v>2.0713651212183281E-2</v>
      </c>
      <c r="W75" s="192">
        <f t="shared" si="38"/>
        <v>2.0713651212183281E-2</v>
      </c>
      <c r="X75" s="192">
        <f t="shared" si="38"/>
        <v>0</v>
      </c>
      <c r="Y75" s="202">
        <f t="shared" si="30"/>
        <v>0.12580643200231637</v>
      </c>
      <c r="Z75" s="202">
        <f t="shared" si="31"/>
        <v>7.1864116160498676E-3</v>
      </c>
      <c r="AA75" s="202">
        <f t="shared" si="32"/>
        <v>0.13299284361836622</v>
      </c>
      <c r="AB75" s="202"/>
      <c r="AC75" s="192">
        <f t="shared" si="39"/>
        <v>0.10486285926167786</v>
      </c>
      <c r="AD75" s="192">
        <f t="shared" si="39"/>
        <v>2.0713651212183281E-2</v>
      </c>
      <c r="AE75" s="192">
        <f t="shared" si="39"/>
        <v>2.0713651212183281E-2</v>
      </c>
      <c r="AF75" s="192">
        <f t="shared" si="39"/>
        <v>2.0713651212183281E-2</v>
      </c>
      <c r="AG75" s="192">
        <f t="shared" si="39"/>
        <v>2.0713651212183281E-2</v>
      </c>
      <c r="AH75" s="192">
        <f t="shared" si="39"/>
        <v>2.0713651212183281E-2</v>
      </c>
      <c r="AI75" s="202">
        <f t="shared" si="33"/>
        <v>0.20843111532259423</v>
      </c>
      <c r="AJ75" s="203">
        <f t="shared" si="34"/>
        <v>7.1864116160498676E-3</v>
      </c>
      <c r="AK75" s="202">
        <f t="shared" si="35"/>
        <v>0.21561752693864411</v>
      </c>
      <c r="AL75" s="204">
        <f t="shared" si="36"/>
        <v>0.34861037055701033</v>
      </c>
      <c r="AM75" s="49">
        <v>60</v>
      </c>
    </row>
    <row r="76" spans="4:39" x14ac:dyDescent="0.25">
      <c r="Q76" s="235"/>
      <c r="R76" s="244"/>
      <c r="S76" s="216">
        <f>'VS Pump Data'!T46</f>
        <v>864</v>
      </c>
      <c r="T76" s="99">
        <f t="shared" si="21"/>
        <v>9.3211430454824745E-2</v>
      </c>
      <c r="U76" s="99">
        <f t="shared" si="38"/>
        <v>9.6641611095562296E-2</v>
      </c>
      <c r="V76" s="99">
        <f t="shared" si="38"/>
        <v>4.6605715227412373E-2</v>
      </c>
      <c r="W76" s="99">
        <f t="shared" si="38"/>
        <v>4.6605715227412373E-2</v>
      </c>
      <c r="X76" s="99">
        <f t="shared" si="38"/>
        <v>0</v>
      </c>
      <c r="Y76" s="196">
        <f t="shared" si="30"/>
        <v>0.28306447200521179</v>
      </c>
      <c r="Z76" s="196">
        <f t="shared" si="31"/>
        <v>1.5215313949186399E-2</v>
      </c>
      <c r="AA76" s="196">
        <f t="shared" si="32"/>
        <v>0.29827978595439819</v>
      </c>
      <c r="AB76" s="196"/>
      <c r="AC76" s="99">
        <f t="shared" si="39"/>
        <v>0.23594143333877513</v>
      </c>
      <c r="AD76" s="99">
        <f t="shared" si="39"/>
        <v>4.6605715227412373E-2</v>
      </c>
      <c r="AE76" s="99">
        <f t="shared" si="39"/>
        <v>4.6605715227412373E-2</v>
      </c>
      <c r="AF76" s="99">
        <f t="shared" si="39"/>
        <v>4.6605715227412373E-2</v>
      </c>
      <c r="AG76" s="99">
        <f t="shared" si="39"/>
        <v>4.6605715227412373E-2</v>
      </c>
      <c r="AH76" s="99">
        <f t="shared" si="39"/>
        <v>4.6605715227412373E-2</v>
      </c>
      <c r="AI76" s="196">
        <f t="shared" si="33"/>
        <v>0.46897000947583695</v>
      </c>
      <c r="AJ76" s="197">
        <f t="shared" si="34"/>
        <v>1.5215313949186399E-2</v>
      </c>
      <c r="AK76" s="196">
        <f t="shared" si="35"/>
        <v>0.48418532342502335</v>
      </c>
      <c r="AL76" s="205">
        <f t="shared" si="36"/>
        <v>0.78246510937942149</v>
      </c>
    </row>
    <row r="77" spans="4:39" x14ac:dyDescent="0.25">
      <c r="Q77" s="235"/>
      <c r="R77" s="244"/>
      <c r="S77" s="216">
        <f>'VS Pump Data'!T47</f>
        <v>1152</v>
      </c>
      <c r="T77" s="99">
        <f t="shared" si="21"/>
        <v>0.16570920969746625</v>
      </c>
      <c r="U77" s="99">
        <f t="shared" si="38"/>
        <v>0.17180730861433299</v>
      </c>
      <c r="V77" s="99">
        <f t="shared" si="38"/>
        <v>8.2854604848733124E-2</v>
      </c>
      <c r="W77" s="99">
        <f t="shared" si="38"/>
        <v>8.2854604848733124E-2</v>
      </c>
      <c r="X77" s="99">
        <f t="shared" si="38"/>
        <v>0</v>
      </c>
      <c r="Y77" s="196">
        <f t="shared" si="30"/>
        <v>0.50322572800926546</v>
      </c>
      <c r="Z77" s="196">
        <f t="shared" si="31"/>
        <v>2.5907027173907159E-2</v>
      </c>
      <c r="AA77" s="196">
        <f t="shared" si="32"/>
        <v>0.5291327551831726</v>
      </c>
      <c r="AB77" s="196"/>
      <c r="AC77" s="99">
        <f t="shared" si="39"/>
        <v>0.41945143704671145</v>
      </c>
      <c r="AD77" s="99">
        <f t="shared" si="39"/>
        <v>8.2854604848733124E-2</v>
      </c>
      <c r="AE77" s="99">
        <f t="shared" si="39"/>
        <v>8.2854604848733124E-2</v>
      </c>
      <c r="AF77" s="99">
        <f t="shared" si="39"/>
        <v>8.2854604848733124E-2</v>
      </c>
      <c r="AG77" s="99">
        <f t="shared" si="39"/>
        <v>8.2854604848733124E-2</v>
      </c>
      <c r="AH77" s="99">
        <f t="shared" si="39"/>
        <v>8.2854604848733124E-2</v>
      </c>
      <c r="AI77" s="196">
        <f t="shared" si="33"/>
        <v>0.83372446129037692</v>
      </c>
      <c r="AJ77" s="197">
        <f t="shared" si="34"/>
        <v>2.5907027173907159E-2</v>
      </c>
      <c r="AK77" s="196">
        <f t="shared" si="35"/>
        <v>0.85963148846428405</v>
      </c>
      <c r="AL77" s="205">
        <f t="shared" si="36"/>
        <v>1.3887642436474565</v>
      </c>
    </row>
    <row r="78" spans="4:39" x14ac:dyDescent="0.25">
      <c r="Q78" s="235"/>
      <c r="R78" s="244"/>
      <c r="S78" s="216">
        <f>'VS Pump Data'!T48</f>
        <v>1440</v>
      </c>
      <c r="T78" s="99">
        <f t="shared" si="21"/>
        <v>0.25892064015229099</v>
      </c>
      <c r="U78" s="99">
        <f t="shared" si="38"/>
        <v>0.26844891970989521</v>
      </c>
      <c r="V78" s="99">
        <f t="shared" si="38"/>
        <v>0.1294603200761455</v>
      </c>
      <c r="W78" s="99">
        <f t="shared" si="38"/>
        <v>0.1294603200761455</v>
      </c>
      <c r="X78" s="99">
        <f t="shared" si="38"/>
        <v>0</v>
      </c>
      <c r="Y78" s="196">
        <f t="shared" si="30"/>
        <v>0.78629020001447714</v>
      </c>
      <c r="Z78" s="196">
        <f t="shared" si="31"/>
        <v>3.9147236062757669E-2</v>
      </c>
      <c r="AA78" s="196">
        <f t="shared" si="32"/>
        <v>0.82543743607723485</v>
      </c>
      <c r="AB78" s="196"/>
      <c r="AC78" s="99">
        <f t="shared" si="39"/>
        <v>0.65539287038548655</v>
      </c>
      <c r="AD78" s="99">
        <f t="shared" si="39"/>
        <v>0.1294603200761455</v>
      </c>
      <c r="AE78" s="99">
        <f t="shared" si="39"/>
        <v>0.1294603200761455</v>
      </c>
      <c r="AF78" s="99">
        <f t="shared" si="39"/>
        <v>0.1294603200761455</v>
      </c>
      <c r="AG78" s="99">
        <f t="shared" si="39"/>
        <v>0.1294603200761455</v>
      </c>
      <c r="AH78" s="99">
        <f t="shared" si="39"/>
        <v>0.1294603200761455</v>
      </c>
      <c r="AI78" s="196">
        <f t="shared" si="33"/>
        <v>1.302694470766214</v>
      </c>
      <c r="AJ78" s="197">
        <f t="shared" si="34"/>
        <v>3.9147236062757669E-2</v>
      </c>
      <c r="AK78" s="196">
        <f t="shared" si="35"/>
        <v>1.3418417068289716</v>
      </c>
      <c r="AL78" s="205">
        <f t="shared" si="36"/>
        <v>2.1672791429062066</v>
      </c>
    </row>
    <row r="79" spans="4:39" ht="15.75" thickBot="1" x14ac:dyDescent="0.3">
      <c r="Q79" s="236"/>
      <c r="R79" s="245"/>
      <c r="S79" s="13">
        <f>'VS Pump Data'!T49</f>
        <v>1728</v>
      </c>
      <c r="T79" s="9">
        <f t="shared" si="21"/>
        <v>0.37284572181929898</v>
      </c>
      <c r="U79" s="9">
        <f t="shared" si="38"/>
        <v>0.38656644438224919</v>
      </c>
      <c r="V79" s="9">
        <f t="shared" si="38"/>
        <v>0.18642286090964949</v>
      </c>
      <c r="W79" s="9">
        <f t="shared" si="38"/>
        <v>0.18642286090964949</v>
      </c>
      <c r="X79" s="9">
        <f t="shared" si="38"/>
        <v>0</v>
      </c>
      <c r="Y79" s="199">
        <f t="shared" si="30"/>
        <v>1.1322578880208471</v>
      </c>
      <c r="Z79" s="199">
        <f t="shared" si="31"/>
        <v>5.4851234941893076E-2</v>
      </c>
      <c r="AA79" s="199">
        <f t="shared" si="32"/>
        <v>1.1871091229627402</v>
      </c>
      <c r="AB79" s="199"/>
      <c r="AC79" s="9">
        <f t="shared" si="39"/>
        <v>0.9437657333551005</v>
      </c>
      <c r="AD79" s="9">
        <f t="shared" si="39"/>
        <v>0.18642286090964949</v>
      </c>
      <c r="AE79" s="9">
        <f t="shared" si="39"/>
        <v>0.18642286090964949</v>
      </c>
      <c r="AF79" s="9">
        <f t="shared" si="39"/>
        <v>0.18642286090964949</v>
      </c>
      <c r="AG79" s="9">
        <f t="shared" si="39"/>
        <v>0.18642286090964949</v>
      </c>
      <c r="AH79" s="9">
        <f t="shared" si="39"/>
        <v>0.18642286090964949</v>
      </c>
      <c r="AI79" s="199">
        <f t="shared" si="33"/>
        <v>1.8758800379033478</v>
      </c>
      <c r="AJ79" s="200">
        <f t="shared" si="34"/>
        <v>5.4851234941893076E-2</v>
      </c>
      <c r="AK79" s="199">
        <f t="shared" si="35"/>
        <v>1.9307312728452408</v>
      </c>
      <c r="AL79" s="201">
        <f t="shared" si="36"/>
        <v>3.1178403958079812</v>
      </c>
    </row>
    <row r="80" spans="4:39" x14ac:dyDescent="0.25">
      <c r="Q80" s="234">
        <f>'VS Pump Data'!V42</f>
        <v>0.55000000000000004</v>
      </c>
      <c r="R80" s="243" t="str">
        <f>CONCATENATE('VS Pump Data'!V43,$R$33,R$34)</f>
        <v>1045 RPM</v>
      </c>
      <c r="S80" s="215">
        <f>'VS Pump Data'!V45</f>
        <v>528</v>
      </c>
      <c r="T80" s="192">
        <f t="shared" si="21"/>
        <v>3.4810441620474676E-2</v>
      </c>
      <c r="U80" s="192">
        <f t="shared" si="38"/>
        <v>3.6091465872108139E-2</v>
      </c>
      <c r="V80" s="192">
        <f t="shared" si="38"/>
        <v>1.7405220810237338E-2</v>
      </c>
      <c r="W80" s="192">
        <f t="shared" si="38"/>
        <v>1.7405220810237338E-2</v>
      </c>
      <c r="X80" s="192">
        <f t="shared" si="38"/>
        <v>0</v>
      </c>
      <c r="Y80" s="202">
        <f t="shared" si="30"/>
        <v>0.10571234911305749</v>
      </c>
      <c r="Z80" s="202">
        <f t="shared" si="31"/>
        <v>6.1179123551721518E-3</v>
      </c>
      <c r="AA80" s="202">
        <f t="shared" si="32"/>
        <v>0.11183026146822964</v>
      </c>
      <c r="AB80" s="202"/>
      <c r="AC80" s="192">
        <f t="shared" si="39"/>
        <v>8.8113930351826519E-2</v>
      </c>
      <c r="AD80" s="192">
        <f t="shared" si="39"/>
        <v>1.7405220810237338E-2</v>
      </c>
      <c r="AE80" s="192">
        <f t="shared" si="39"/>
        <v>1.7405220810237338E-2</v>
      </c>
      <c r="AF80" s="192">
        <f t="shared" si="39"/>
        <v>1.7405220810237338E-2</v>
      </c>
      <c r="AG80" s="192">
        <f t="shared" si="39"/>
        <v>1.7405220810237338E-2</v>
      </c>
      <c r="AH80" s="192">
        <f t="shared" si="39"/>
        <v>1.7405220810237338E-2</v>
      </c>
      <c r="AI80" s="202">
        <f t="shared" si="33"/>
        <v>0.17514003440301323</v>
      </c>
      <c r="AJ80" s="203">
        <f t="shared" si="34"/>
        <v>6.1179123551721518E-3</v>
      </c>
      <c r="AK80" s="202">
        <f t="shared" si="35"/>
        <v>0.18125794675818538</v>
      </c>
      <c r="AL80" s="204">
        <f t="shared" si="36"/>
        <v>0.29308820822641501</v>
      </c>
      <c r="AM80" s="49">
        <v>55</v>
      </c>
    </row>
    <row r="81" spans="17:39" x14ac:dyDescent="0.25">
      <c r="Q81" s="235"/>
      <c r="R81" s="244"/>
      <c r="S81" s="216">
        <f>'VS Pump Data'!V46</f>
        <v>792</v>
      </c>
      <c r="T81" s="99">
        <f t="shared" si="21"/>
        <v>7.8323493646068013E-2</v>
      </c>
      <c r="U81" s="99">
        <f t="shared" si="38"/>
        <v>8.1205798212243302E-2</v>
      </c>
      <c r="V81" s="99">
        <f t="shared" si="38"/>
        <v>3.9161746823034006E-2</v>
      </c>
      <c r="W81" s="99">
        <f t="shared" si="38"/>
        <v>3.9161746823034006E-2</v>
      </c>
      <c r="X81" s="99">
        <f t="shared" si="38"/>
        <v>0</v>
      </c>
      <c r="Y81" s="196">
        <f t="shared" si="30"/>
        <v>0.23785278550437933</v>
      </c>
      <c r="Z81" s="196">
        <f t="shared" si="31"/>
        <v>1.2953051143028915E-2</v>
      </c>
      <c r="AA81" s="196">
        <f t="shared" si="32"/>
        <v>0.25080583664740824</v>
      </c>
      <c r="AB81" s="196"/>
      <c r="AC81" s="99">
        <f t="shared" si="39"/>
        <v>0.19825634329160965</v>
      </c>
      <c r="AD81" s="99">
        <f t="shared" si="39"/>
        <v>3.9161746823034006E-2</v>
      </c>
      <c r="AE81" s="99">
        <f t="shared" si="39"/>
        <v>3.9161746823034006E-2</v>
      </c>
      <c r="AF81" s="99">
        <f t="shared" si="39"/>
        <v>3.9161746823034006E-2</v>
      </c>
      <c r="AG81" s="99">
        <f t="shared" si="39"/>
        <v>3.9161746823034006E-2</v>
      </c>
      <c r="AH81" s="99">
        <f t="shared" si="39"/>
        <v>3.9161746823034006E-2</v>
      </c>
      <c r="AI81" s="196">
        <f t="shared" si="33"/>
        <v>0.39406507740677976</v>
      </c>
      <c r="AJ81" s="197">
        <f t="shared" si="34"/>
        <v>1.2953051143028915E-2</v>
      </c>
      <c r="AK81" s="196">
        <f t="shared" si="35"/>
        <v>0.40701812854980868</v>
      </c>
      <c r="AL81" s="205">
        <f t="shared" si="36"/>
        <v>0.65782396519721686</v>
      </c>
    </row>
    <row r="82" spans="17:39" x14ac:dyDescent="0.25">
      <c r="Q82" s="235"/>
      <c r="R82" s="244"/>
      <c r="S82" s="216">
        <f>'VS Pump Data'!V47</f>
        <v>1056</v>
      </c>
      <c r="T82" s="99">
        <f t="shared" si="21"/>
        <v>0.1392417664818987</v>
      </c>
      <c r="U82" s="99">
        <f t="shared" si="38"/>
        <v>0.14436586348843256</v>
      </c>
      <c r="V82" s="99">
        <f t="shared" si="38"/>
        <v>6.9620883240949352E-2</v>
      </c>
      <c r="W82" s="99">
        <f t="shared" si="38"/>
        <v>6.9620883240949352E-2</v>
      </c>
      <c r="X82" s="99">
        <f t="shared" si="38"/>
        <v>0</v>
      </c>
      <c r="Y82" s="196">
        <f t="shared" si="30"/>
        <v>0.42284939645222996</v>
      </c>
      <c r="Z82" s="196">
        <f t="shared" si="31"/>
        <v>2.2055085361245678E-2</v>
      </c>
      <c r="AA82" s="196">
        <f t="shared" si="32"/>
        <v>0.44490448181347564</v>
      </c>
      <c r="AB82" s="196"/>
      <c r="AC82" s="99">
        <f t="shared" si="39"/>
        <v>0.35245572140730608</v>
      </c>
      <c r="AD82" s="99">
        <f t="shared" si="39"/>
        <v>6.9620883240949352E-2</v>
      </c>
      <c r="AE82" s="99">
        <f t="shared" si="39"/>
        <v>6.9620883240949352E-2</v>
      </c>
      <c r="AF82" s="99">
        <f t="shared" si="39"/>
        <v>6.9620883240949352E-2</v>
      </c>
      <c r="AG82" s="99">
        <f t="shared" si="39"/>
        <v>6.9620883240949352E-2</v>
      </c>
      <c r="AH82" s="99">
        <f t="shared" si="39"/>
        <v>6.9620883240949352E-2</v>
      </c>
      <c r="AI82" s="196">
        <f t="shared" si="33"/>
        <v>0.70056013761205294</v>
      </c>
      <c r="AJ82" s="197">
        <f t="shared" si="34"/>
        <v>2.2055085361245678E-2</v>
      </c>
      <c r="AK82" s="196">
        <f t="shared" si="35"/>
        <v>0.72261522297329861</v>
      </c>
      <c r="AL82" s="205">
        <f t="shared" si="36"/>
        <v>1.1675197047867742</v>
      </c>
    </row>
    <row r="83" spans="17:39" x14ac:dyDescent="0.25">
      <c r="Q83" s="235"/>
      <c r="R83" s="244"/>
      <c r="S83" s="216">
        <f>'VS Pump Data'!V48</f>
        <v>1320</v>
      </c>
      <c r="T83" s="99">
        <f t="shared" si="21"/>
        <v>0.21756526012796673</v>
      </c>
      <c r="U83" s="99">
        <f t="shared" ref="U83:X89" si="40">((($S83/449)/(0.25*PI()*((U$31/12)^2)))^2)*U$32/64.4</f>
        <v>0.22557166170067591</v>
      </c>
      <c r="V83" s="99">
        <f t="shared" si="40"/>
        <v>0.10878263006398337</v>
      </c>
      <c r="W83" s="99">
        <f t="shared" si="40"/>
        <v>0.10878263006398337</v>
      </c>
      <c r="X83" s="99">
        <f t="shared" si="40"/>
        <v>0</v>
      </c>
      <c r="Y83" s="196">
        <f t="shared" si="30"/>
        <v>0.66070218195660935</v>
      </c>
      <c r="Z83" s="196">
        <f t="shared" si="31"/>
        <v>3.3326696545504984E-2</v>
      </c>
      <c r="AA83" s="196">
        <f t="shared" si="32"/>
        <v>0.69402887850211437</v>
      </c>
      <c r="AB83" s="196"/>
      <c r="AC83" s="99">
        <f t="shared" si="39"/>
        <v>0.55071206469891587</v>
      </c>
      <c r="AD83" s="99">
        <f t="shared" si="39"/>
        <v>0.10878263006398337</v>
      </c>
      <c r="AE83" s="99">
        <f t="shared" si="39"/>
        <v>0.10878263006398337</v>
      </c>
      <c r="AF83" s="99">
        <f t="shared" si="39"/>
        <v>0.10878263006398337</v>
      </c>
      <c r="AG83" s="99">
        <f t="shared" si="39"/>
        <v>0.10878263006398337</v>
      </c>
      <c r="AH83" s="99">
        <f t="shared" si="39"/>
        <v>0.10878263006398337</v>
      </c>
      <c r="AI83" s="196">
        <f t="shared" si="33"/>
        <v>1.0946252150188327</v>
      </c>
      <c r="AJ83" s="197">
        <f t="shared" si="34"/>
        <v>3.3326696545504984E-2</v>
      </c>
      <c r="AK83" s="196">
        <f t="shared" si="35"/>
        <v>1.1279519115643377</v>
      </c>
      <c r="AL83" s="205">
        <f t="shared" si="36"/>
        <v>1.8219807900664522</v>
      </c>
    </row>
    <row r="84" spans="17:39" ht="15.75" thickBot="1" x14ac:dyDescent="0.3">
      <c r="Q84" s="236"/>
      <c r="R84" s="245"/>
      <c r="S84" s="13">
        <f>'VS Pump Data'!V49</f>
        <v>1584</v>
      </c>
      <c r="T84" s="9">
        <f t="shared" si="21"/>
        <v>0.31329397458427205</v>
      </c>
      <c r="U84" s="9">
        <f t="shared" si="40"/>
        <v>0.32482319284897321</v>
      </c>
      <c r="V84" s="9">
        <f t="shared" si="40"/>
        <v>0.15664698729213603</v>
      </c>
      <c r="W84" s="9">
        <f t="shared" si="40"/>
        <v>0.15664698729213603</v>
      </c>
      <c r="X84" s="9">
        <f t="shared" si="40"/>
        <v>0</v>
      </c>
      <c r="Y84" s="199">
        <f t="shared" si="30"/>
        <v>0.95141114201751731</v>
      </c>
      <c r="Z84" s="199">
        <f t="shared" si="31"/>
        <v>4.6695773339506155E-2</v>
      </c>
      <c r="AA84" s="199">
        <f t="shared" si="32"/>
        <v>0.99810691535702345</v>
      </c>
      <c r="AB84" s="199"/>
      <c r="AC84" s="9">
        <f t="shared" si="39"/>
        <v>0.79302537316643862</v>
      </c>
      <c r="AD84" s="9">
        <f t="shared" si="39"/>
        <v>0.15664698729213603</v>
      </c>
      <c r="AE84" s="9">
        <f t="shared" si="39"/>
        <v>0.15664698729213603</v>
      </c>
      <c r="AF84" s="9">
        <f t="shared" si="39"/>
        <v>0.15664698729213603</v>
      </c>
      <c r="AG84" s="9">
        <f t="shared" si="39"/>
        <v>0.15664698729213603</v>
      </c>
      <c r="AH84" s="9">
        <f t="shared" si="39"/>
        <v>0.15664698729213603</v>
      </c>
      <c r="AI84" s="199">
        <f t="shared" si="33"/>
        <v>1.576260309627119</v>
      </c>
      <c r="AJ84" s="200">
        <f t="shared" si="34"/>
        <v>4.6695773339506155E-2</v>
      </c>
      <c r="AK84" s="199">
        <f t="shared" si="35"/>
        <v>1.6229560829666252</v>
      </c>
      <c r="AL84" s="201">
        <f t="shared" si="36"/>
        <v>2.6210629983236489</v>
      </c>
    </row>
    <row r="85" spans="17:39" x14ac:dyDescent="0.25">
      <c r="Q85" s="234">
        <f>'VS Pump Data'!X42</f>
        <v>0.5</v>
      </c>
      <c r="R85" s="243" t="str">
        <f>CONCATENATE('VS Pump Data'!X43,$R$33,R$34)</f>
        <v>950 RPM</v>
      </c>
      <c r="S85" s="215">
        <f>'VS Pump Data'!X45</f>
        <v>480</v>
      </c>
      <c r="T85" s="192">
        <f t="shared" si="21"/>
        <v>2.8768960016921228E-2</v>
      </c>
      <c r="U85" s="192">
        <f t="shared" si="40"/>
        <v>2.9827657745543919E-2</v>
      </c>
      <c r="V85" s="192">
        <f t="shared" si="40"/>
        <v>1.4384480008460614E-2</v>
      </c>
      <c r="W85" s="192">
        <f t="shared" si="40"/>
        <v>1.4384480008460614E-2</v>
      </c>
      <c r="X85" s="192">
        <f t="shared" si="40"/>
        <v>0</v>
      </c>
      <c r="Y85" s="202">
        <f t="shared" si="30"/>
        <v>8.7365577779386375E-2</v>
      </c>
      <c r="Z85" s="202">
        <f t="shared" si="31"/>
        <v>5.1289301375925965E-3</v>
      </c>
      <c r="AA85" s="202">
        <f t="shared" si="32"/>
        <v>9.2494507916978969E-2</v>
      </c>
      <c r="AB85" s="202"/>
      <c r="AC85" s="192">
        <f t="shared" si="39"/>
        <v>7.2821430042831856E-2</v>
      </c>
      <c r="AD85" s="192">
        <f t="shared" si="39"/>
        <v>1.4384480008460614E-2</v>
      </c>
      <c r="AE85" s="192">
        <f t="shared" si="39"/>
        <v>1.4384480008460614E-2</v>
      </c>
      <c r="AF85" s="192">
        <f t="shared" si="39"/>
        <v>1.4384480008460614E-2</v>
      </c>
      <c r="AG85" s="192">
        <f t="shared" si="39"/>
        <v>1.4384480008460614E-2</v>
      </c>
      <c r="AH85" s="192">
        <f t="shared" si="39"/>
        <v>1.4384480008460614E-2</v>
      </c>
      <c r="AI85" s="202">
        <f t="shared" si="33"/>
        <v>0.14474383008513494</v>
      </c>
      <c r="AJ85" s="203">
        <f t="shared" si="34"/>
        <v>5.1289301375925965E-3</v>
      </c>
      <c r="AK85" s="202">
        <f t="shared" si="35"/>
        <v>0.14987276022272755</v>
      </c>
      <c r="AL85" s="204">
        <f t="shared" si="36"/>
        <v>0.24236726813970652</v>
      </c>
      <c r="AM85" s="49">
        <v>50</v>
      </c>
    </row>
    <row r="86" spans="17:39" x14ac:dyDescent="0.25">
      <c r="Q86" s="235"/>
      <c r="R86" s="244"/>
      <c r="S86" s="216">
        <f>'VS Pump Data'!X46</f>
        <v>720</v>
      </c>
      <c r="T86" s="99">
        <f t="shared" si="21"/>
        <v>6.4730160038072748E-2</v>
      </c>
      <c r="U86" s="99">
        <f t="shared" si="40"/>
        <v>6.7112229927473802E-2</v>
      </c>
      <c r="V86" s="99">
        <f t="shared" si="40"/>
        <v>3.2365080019036374E-2</v>
      </c>
      <c r="W86" s="99">
        <f t="shared" si="40"/>
        <v>3.2365080019036374E-2</v>
      </c>
      <c r="X86" s="99">
        <f t="shared" si="40"/>
        <v>0</v>
      </c>
      <c r="Y86" s="196">
        <f t="shared" si="30"/>
        <v>0.19657255000361928</v>
      </c>
      <c r="Z86" s="196">
        <f t="shared" si="31"/>
        <v>1.0859144512767328E-2</v>
      </c>
      <c r="AA86" s="196">
        <f t="shared" si="32"/>
        <v>0.2074316945163866</v>
      </c>
      <c r="AB86" s="196"/>
      <c r="AC86" s="99">
        <f t="shared" si="39"/>
        <v>0.16384821759637164</v>
      </c>
      <c r="AD86" s="99">
        <f t="shared" si="39"/>
        <v>3.2365080019036374E-2</v>
      </c>
      <c r="AE86" s="99">
        <f t="shared" si="39"/>
        <v>3.2365080019036374E-2</v>
      </c>
      <c r="AF86" s="99">
        <f t="shared" si="39"/>
        <v>3.2365080019036374E-2</v>
      </c>
      <c r="AG86" s="99">
        <f t="shared" si="39"/>
        <v>3.2365080019036374E-2</v>
      </c>
      <c r="AH86" s="99">
        <f t="shared" si="39"/>
        <v>3.2365080019036374E-2</v>
      </c>
      <c r="AI86" s="196">
        <f t="shared" si="33"/>
        <v>0.32567361769155351</v>
      </c>
      <c r="AJ86" s="197">
        <f t="shared" si="34"/>
        <v>1.0859144512767328E-2</v>
      </c>
      <c r="AK86" s="196">
        <f t="shared" si="35"/>
        <v>0.33653276220432082</v>
      </c>
      <c r="AL86" s="205">
        <f t="shared" si="36"/>
        <v>0.54396445672070737</v>
      </c>
    </row>
    <row r="87" spans="17:39" x14ac:dyDescent="0.25">
      <c r="Q87" s="235"/>
      <c r="R87" s="244"/>
      <c r="S87" s="216">
        <f>'VS Pump Data'!X47</f>
        <v>960</v>
      </c>
      <c r="T87" s="99">
        <f t="shared" si="21"/>
        <v>0.11507584006768491</v>
      </c>
      <c r="U87" s="99">
        <f t="shared" si="40"/>
        <v>0.11931063098217567</v>
      </c>
      <c r="V87" s="99">
        <f t="shared" si="40"/>
        <v>5.7537920033842456E-2</v>
      </c>
      <c r="W87" s="99">
        <f t="shared" si="40"/>
        <v>5.7537920033842456E-2</v>
      </c>
      <c r="X87" s="99">
        <f t="shared" si="40"/>
        <v>0</v>
      </c>
      <c r="Y87" s="196">
        <f t="shared" si="30"/>
        <v>0.3494623111175455</v>
      </c>
      <c r="Z87" s="196">
        <f t="shared" si="31"/>
        <v>1.8489802636815808E-2</v>
      </c>
      <c r="AA87" s="196">
        <f t="shared" si="32"/>
        <v>0.36795211375436132</v>
      </c>
      <c r="AB87" s="196"/>
      <c r="AC87" s="99">
        <f t="shared" si="39"/>
        <v>0.29128572017132742</v>
      </c>
      <c r="AD87" s="99">
        <f t="shared" si="39"/>
        <v>5.7537920033842456E-2</v>
      </c>
      <c r="AE87" s="99">
        <f t="shared" si="39"/>
        <v>5.7537920033842456E-2</v>
      </c>
      <c r="AF87" s="99">
        <f t="shared" si="39"/>
        <v>5.7537920033842456E-2</v>
      </c>
      <c r="AG87" s="99">
        <f t="shared" si="39"/>
        <v>5.7537920033842456E-2</v>
      </c>
      <c r="AH87" s="99">
        <f t="shared" si="39"/>
        <v>5.7537920033842456E-2</v>
      </c>
      <c r="AI87" s="196">
        <f t="shared" si="33"/>
        <v>0.57897532034053978</v>
      </c>
      <c r="AJ87" s="197">
        <f t="shared" si="34"/>
        <v>1.8489802636815808E-2</v>
      </c>
      <c r="AK87" s="196">
        <f t="shared" si="35"/>
        <v>0.59746512297735554</v>
      </c>
      <c r="AL87" s="205">
        <f t="shared" si="36"/>
        <v>0.96541723673171687</v>
      </c>
    </row>
    <row r="88" spans="17:39" x14ac:dyDescent="0.25">
      <c r="Q88" s="235"/>
      <c r="R88" s="244"/>
      <c r="S88" s="216">
        <f>'VS Pump Data'!X48</f>
        <v>1200</v>
      </c>
      <c r="T88" s="99">
        <f t="shared" si="21"/>
        <v>0.17980600010575762</v>
      </c>
      <c r="U88" s="99">
        <f t="shared" si="40"/>
        <v>0.18642286090964949</v>
      </c>
      <c r="V88" s="99">
        <f t="shared" si="40"/>
        <v>8.9903000052878809E-2</v>
      </c>
      <c r="W88" s="99">
        <f t="shared" si="40"/>
        <v>8.9903000052878809E-2</v>
      </c>
      <c r="X88" s="99">
        <f t="shared" si="40"/>
        <v>0</v>
      </c>
      <c r="Y88" s="196">
        <f t="shared" si="30"/>
        <v>0.54603486112116473</v>
      </c>
      <c r="Z88" s="196">
        <f t="shared" si="31"/>
        <v>2.7939317920129554E-2</v>
      </c>
      <c r="AA88" s="196">
        <f t="shared" si="32"/>
        <v>0.57397417904129433</v>
      </c>
      <c r="AB88" s="196"/>
      <c r="AC88" s="99">
        <f t="shared" si="39"/>
        <v>0.45513393776769895</v>
      </c>
      <c r="AD88" s="99">
        <f t="shared" si="39"/>
        <v>8.9903000052878809E-2</v>
      </c>
      <c r="AE88" s="99">
        <f t="shared" si="39"/>
        <v>8.9903000052878809E-2</v>
      </c>
      <c r="AF88" s="99">
        <f t="shared" si="39"/>
        <v>8.9903000052878809E-2</v>
      </c>
      <c r="AG88" s="99">
        <f t="shared" si="39"/>
        <v>8.9903000052878809E-2</v>
      </c>
      <c r="AH88" s="99">
        <f t="shared" si="39"/>
        <v>8.9903000052878809E-2</v>
      </c>
      <c r="AI88" s="196">
        <f t="shared" si="33"/>
        <v>0.90464893803209279</v>
      </c>
      <c r="AJ88" s="197">
        <f t="shared" si="34"/>
        <v>2.7939317920129554E-2</v>
      </c>
      <c r="AK88" s="196">
        <f t="shared" si="35"/>
        <v>0.93258825595222239</v>
      </c>
      <c r="AL88" s="205">
        <f t="shared" si="36"/>
        <v>1.5065624349935167</v>
      </c>
    </row>
    <row r="89" spans="17:39" ht="15.75" thickBot="1" x14ac:dyDescent="0.3">
      <c r="Q89" s="236"/>
      <c r="R89" s="245"/>
      <c r="S89" s="13">
        <f>'VS Pump Data'!X49</f>
        <v>1440</v>
      </c>
      <c r="T89" s="9">
        <f t="shared" si="21"/>
        <v>0.25892064015229099</v>
      </c>
      <c r="U89" s="9">
        <f t="shared" si="40"/>
        <v>0.26844891970989521</v>
      </c>
      <c r="V89" s="9">
        <f t="shared" si="40"/>
        <v>0.1294603200761455</v>
      </c>
      <c r="W89" s="9">
        <f t="shared" si="40"/>
        <v>0.1294603200761455</v>
      </c>
      <c r="X89" s="9">
        <f t="shared" si="40"/>
        <v>0</v>
      </c>
      <c r="Y89" s="199">
        <f t="shared" si="30"/>
        <v>0.78629020001447714</v>
      </c>
      <c r="Z89" s="199">
        <f t="shared" si="31"/>
        <v>3.9147236062757669E-2</v>
      </c>
      <c r="AA89" s="199">
        <f t="shared" si="32"/>
        <v>0.82543743607723485</v>
      </c>
      <c r="AB89" s="199"/>
      <c r="AC89" s="9">
        <f t="shared" si="39"/>
        <v>0.65539287038548655</v>
      </c>
      <c r="AD89" s="9">
        <f t="shared" si="39"/>
        <v>0.1294603200761455</v>
      </c>
      <c r="AE89" s="9">
        <f t="shared" si="39"/>
        <v>0.1294603200761455</v>
      </c>
      <c r="AF89" s="9">
        <f t="shared" si="39"/>
        <v>0.1294603200761455</v>
      </c>
      <c r="AG89" s="9">
        <f t="shared" si="39"/>
        <v>0.1294603200761455</v>
      </c>
      <c r="AH89" s="9">
        <f t="shared" si="39"/>
        <v>0.1294603200761455</v>
      </c>
      <c r="AI89" s="199">
        <f t="shared" si="33"/>
        <v>1.302694470766214</v>
      </c>
      <c r="AJ89" s="200">
        <f t="shared" si="34"/>
        <v>3.9147236062757669E-2</v>
      </c>
      <c r="AK89" s="199">
        <f t="shared" si="35"/>
        <v>1.3418417068289716</v>
      </c>
      <c r="AL89" s="201">
        <f t="shared" si="36"/>
        <v>2.1672791429062066</v>
      </c>
    </row>
    <row r="90" spans="17:39" x14ac:dyDescent="0.25">
      <c r="Q90" s="194"/>
      <c r="R90" s="194"/>
    </row>
    <row r="91" spans="17:39" x14ac:dyDescent="0.25">
      <c r="Q91" s="194"/>
      <c r="R91" s="194"/>
    </row>
    <row r="92" spans="17:39" x14ac:dyDescent="0.25">
      <c r="Q92" s="194"/>
      <c r="R92" s="194"/>
    </row>
    <row r="93" spans="17:39" x14ac:dyDescent="0.25">
      <c r="Q93" s="194"/>
      <c r="R93" s="194"/>
    </row>
    <row r="94" spans="17:39" x14ac:dyDescent="0.25">
      <c r="Q94" s="194"/>
      <c r="R94" s="194"/>
    </row>
    <row r="95" spans="17:39" x14ac:dyDescent="0.25">
      <c r="Q95" s="194"/>
      <c r="R95" s="194"/>
    </row>
    <row r="96" spans="17:39" x14ac:dyDescent="0.25">
      <c r="Q96" s="194"/>
      <c r="R96" s="194"/>
    </row>
    <row r="97" spans="17:18" x14ac:dyDescent="0.25">
      <c r="Q97" s="194"/>
      <c r="R97" s="194"/>
    </row>
    <row r="98" spans="17:18" x14ac:dyDescent="0.25">
      <c r="Q98" s="194"/>
      <c r="R98" s="194"/>
    </row>
    <row r="99" spans="17:18" x14ac:dyDescent="0.25">
      <c r="Q99" s="194"/>
      <c r="R99" s="194"/>
    </row>
    <row r="100" spans="17:18" x14ac:dyDescent="0.25">
      <c r="Q100" s="194"/>
      <c r="R100" s="194"/>
    </row>
    <row r="101" spans="17:18" x14ac:dyDescent="0.25">
      <c r="Q101" s="194"/>
      <c r="R101" s="194"/>
    </row>
    <row r="102" spans="17:18" x14ac:dyDescent="0.25">
      <c r="Q102" s="194"/>
      <c r="R102" s="194"/>
    </row>
    <row r="103" spans="17:18" x14ac:dyDescent="0.25">
      <c r="Q103" s="194"/>
      <c r="R103" s="194"/>
    </row>
    <row r="104" spans="17:18" x14ac:dyDescent="0.25">
      <c r="Q104" s="194"/>
      <c r="R104" s="194"/>
    </row>
    <row r="105" spans="17:18" x14ac:dyDescent="0.25">
      <c r="Q105" s="194"/>
      <c r="R105" s="194"/>
    </row>
    <row r="106" spans="17:18" x14ac:dyDescent="0.25">
      <c r="Q106" s="194"/>
      <c r="R106" s="194"/>
    </row>
    <row r="107" spans="17:18" x14ac:dyDescent="0.25">
      <c r="Q107" s="194"/>
      <c r="R107" s="194"/>
    </row>
    <row r="108" spans="17:18" x14ac:dyDescent="0.25">
      <c r="Q108" s="194"/>
      <c r="R108" s="194"/>
    </row>
    <row r="109" spans="17:18" x14ac:dyDescent="0.25">
      <c r="Q109" s="194"/>
      <c r="R109" s="194"/>
    </row>
    <row r="110" spans="17:18" x14ac:dyDescent="0.25">
      <c r="Q110" s="194"/>
      <c r="R110" s="194"/>
    </row>
    <row r="111" spans="17:18" x14ac:dyDescent="0.25">
      <c r="Q111" s="194"/>
      <c r="R111" s="194"/>
    </row>
    <row r="112" spans="17:18" x14ac:dyDescent="0.25">
      <c r="Q112" s="194"/>
      <c r="R112" s="194"/>
    </row>
    <row r="113" spans="17:18" x14ac:dyDescent="0.25">
      <c r="Q113" s="194"/>
      <c r="R113" s="194"/>
    </row>
    <row r="114" spans="17:18" x14ac:dyDescent="0.25">
      <c r="Q114" s="194"/>
      <c r="R114" s="194"/>
    </row>
    <row r="115" spans="17:18" x14ac:dyDescent="0.25">
      <c r="Q115" s="194"/>
      <c r="R115" s="194"/>
    </row>
    <row r="116" spans="17:18" x14ac:dyDescent="0.25">
      <c r="Q116" s="194"/>
      <c r="R116" s="194"/>
    </row>
    <row r="117" spans="17:18" x14ac:dyDescent="0.25">
      <c r="Q117" s="194"/>
      <c r="R117" s="194"/>
    </row>
    <row r="118" spans="17:18" x14ac:dyDescent="0.25">
      <c r="Q118" s="194"/>
      <c r="R118" s="194"/>
    </row>
    <row r="119" spans="17:18" x14ac:dyDescent="0.25">
      <c r="Q119" s="194"/>
      <c r="R119" s="194"/>
    </row>
    <row r="120" spans="17:18" x14ac:dyDescent="0.25">
      <c r="Q120" s="194"/>
      <c r="R120" s="194"/>
    </row>
    <row r="121" spans="17:18" x14ac:dyDescent="0.25">
      <c r="Q121" s="194"/>
      <c r="R121" s="194"/>
    </row>
    <row r="122" spans="17:18" x14ac:dyDescent="0.25">
      <c r="Q122" s="194"/>
      <c r="R122" s="194"/>
    </row>
    <row r="123" spans="17:18" x14ac:dyDescent="0.25">
      <c r="Q123" s="194"/>
      <c r="R123" s="194"/>
    </row>
    <row r="124" spans="17:18" x14ac:dyDescent="0.25">
      <c r="Q124" s="194"/>
      <c r="R124" s="194"/>
    </row>
    <row r="125" spans="17:18" x14ac:dyDescent="0.25">
      <c r="Q125" s="194"/>
      <c r="R125" s="194"/>
    </row>
    <row r="126" spans="17:18" x14ac:dyDescent="0.25">
      <c r="Q126" s="194"/>
      <c r="R126" s="194"/>
    </row>
    <row r="127" spans="17:18" x14ac:dyDescent="0.25">
      <c r="Q127" s="194"/>
      <c r="R127" s="194"/>
    </row>
    <row r="128" spans="17:18" x14ac:dyDescent="0.25">
      <c r="Q128" s="194"/>
      <c r="R128" s="194"/>
    </row>
    <row r="129" spans="17:18" x14ac:dyDescent="0.25">
      <c r="Q129" s="194"/>
      <c r="R129" s="194"/>
    </row>
    <row r="130" spans="17:18" x14ac:dyDescent="0.25">
      <c r="Q130" s="194"/>
      <c r="R130" s="194"/>
    </row>
    <row r="131" spans="17:18" x14ac:dyDescent="0.25">
      <c r="Q131" s="194"/>
      <c r="R131" s="194"/>
    </row>
    <row r="132" spans="17:18" x14ac:dyDescent="0.25">
      <c r="Q132" s="194"/>
      <c r="R132" s="194"/>
    </row>
    <row r="133" spans="17:18" x14ac:dyDescent="0.25">
      <c r="Q133" s="194"/>
      <c r="R133" s="194"/>
    </row>
    <row r="134" spans="17:18" x14ac:dyDescent="0.25">
      <c r="Q134" s="194"/>
      <c r="R134" s="194"/>
    </row>
    <row r="135" spans="17:18" x14ac:dyDescent="0.25">
      <c r="Q135" s="194"/>
      <c r="R135" s="194"/>
    </row>
    <row r="136" spans="17:18" x14ac:dyDescent="0.25">
      <c r="Q136" s="194"/>
      <c r="R136" s="194"/>
    </row>
    <row r="137" spans="17:18" x14ac:dyDescent="0.25">
      <c r="Q137" s="194"/>
      <c r="R137" s="194"/>
    </row>
    <row r="138" spans="17:18" x14ac:dyDescent="0.25">
      <c r="Q138" s="194"/>
      <c r="R138" s="194"/>
    </row>
    <row r="139" spans="17:18" x14ac:dyDescent="0.25">
      <c r="Q139" s="194"/>
      <c r="R139" s="194"/>
    </row>
    <row r="140" spans="17:18" x14ac:dyDescent="0.25">
      <c r="Q140" s="194"/>
      <c r="R140" s="194"/>
    </row>
    <row r="141" spans="17:18" x14ac:dyDescent="0.25">
      <c r="Q141" s="194"/>
      <c r="R141" s="194"/>
    </row>
    <row r="142" spans="17:18" x14ac:dyDescent="0.25">
      <c r="Q142" s="194"/>
      <c r="R142" s="194"/>
    </row>
    <row r="143" spans="17:18" x14ac:dyDescent="0.25">
      <c r="Q143" s="194"/>
      <c r="R143" s="194"/>
    </row>
    <row r="144" spans="17:18" x14ac:dyDescent="0.25">
      <c r="Q144" s="194"/>
      <c r="R144" s="194"/>
    </row>
    <row r="145" spans="17:18" x14ac:dyDescent="0.25">
      <c r="Q145" s="194"/>
      <c r="R145" s="194"/>
    </row>
    <row r="146" spans="17:18" x14ac:dyDescent="0.25">
      <c r="Q146" s="194"/>
      <c r="R146" s="194"/>
    </row>
    <row r="147" spans="17:18" x14ac:dyDescent="0.25">
      <c r="Q147" s="194"/>
      <c r="R147" s="194"/>
    </row>
    <row r="148" spans="17:18" x14ac:dyDescent="0.25">
      <c r="Q148" s="194"/>
      <c r="R148" s="194"/>
    </row>
    <row r="149" spans="17:18" x14ac:dyDescent="0.25">
      <c r="Q149" s="194"/>
      <c r="R149" s="194"/>
    </row>
    <row r="150" spans="17:18" x14ac:dyDescent="0.25">
      <c r="Q150" s="194"/>
      <c r="R150" s="194"/>
    </row>
    <row r="151" spans="17:18" x14ac:dyDescent="0.25">
      <c r="Q151" s="194"/>
      <c r="R151" s="194"/>
    </row>
    <row r="152" spans="17:18" x14ac:dyDescent="0.25">
      <c r="Q152" s="194"/>
      <c r="R152" s="194"/>
    </row>
    <row r="153" spans="17:18" x14ac:dyDescent="0.25">
      <c r="Q153" s="194"/>
      <c r="R153" s="194"/>
    </row>
    <row r="154" spans="17:18" x14ac:dyDescent="0.25">
      <c r="Q154" s="194"/>
      <c r="R154" s="194"/>
    </row>
    <row r="155" spans="17:18" x14ac:dyDescent="0.25">
      <c r="Q155" s="194"/>
      <c r="R155" s="194"/>
    </row>
    <row r="156" spans="17:18" x14ac:dyDescent="0.25">
      <c r="Q156" s="194"/>
      <c r="R156" s="194"/>
    </row>
    <row r="157" spans="17:18" x14ac:dyDescent="0.25">
      <c r="Q157" s="194"/>
      <c r="R157" s="194"/>
    </row>
    <row r="158" spans="17:18" x14ac:dyDescent="0.25">
      <c r="Q158" s="194"/>
      <c r="R158" s="194"/>
    </row>
    <row r="159" spans="17:18" x14ac:dyDescent="0.25">
      <c r="Q159" s="194"/>
      <c r="R159" s="194"/>
    </row>
    <row r="160" spans="17:18" x14ac:dyDescent="0.25">
      <c r="Q160" s="194"/>
      <c r="R160" s="194"/>
    </row>
    <row r="161" spans="17:18" x14ac:dyDescent="0.25">
      <c r="Q161" s="194"/>
      <c r="R161" s="194"/>
    </row>
    <row r="162" spans="17:18" x14ac:dyDescent="0.25">
      <c r="Q162" s="194"/>
      <c r="R162" s="194"/>
    </row>
    <row r="163" spans="17:18" x14ac:dyDescent="0.25">
      <c r="Q163" s="194"/>
      <c r="R163" s="194"/>
    </row>
    <row r="164" spans="17:18" x14ac:dyDescent="0.25">
      <c r="Q164" s="194"/>
      <c r="R164" s="194"/>
    </row>
    <row r="165" spans="17:18" x14ac:dyDescent="0.25">
      <c r="Q165" s="194"/>
      <c r="R165" s="194"/>
    </row>
    <row r="166" spans="17:18" x14ac:dyDescent="0.25">
      <c r="Q166" s="194"/>
      <c r="R166" s="194"/>
    </row>
    <row r="167" spans="17:18" x14ac:dyDescent="0.25">
      <c r="Q167" s="194"/>
      <c r="R167" s="194"/>
    </row>
    <row r="168" spans="17:18" x14ac:dyDescent="0.25">
      <c r="Q168" s="194"/>
      <c r="R168" s="194"/>
    </row>
    <row r="169" spans="17:18" x14ac:dyDescent="0.25">
      <c r="Q169" s="194"/>
      <c r="R169" s="194"/>
    </row>
    <row r="170" spans="17:18" x14ac:dyDescent="0.25">
      <c r="Q170" s="194"/>
      <c r="R170" s="194"/>
    </row>
    <row r="171" spans="17:18" x14ac:dyDescent="0.25">
      <c r="Q171" s="194"/>
      <c r="R171" s="194"/>
    </row>
    <row r="172" spans="17:18" x14ac:dyDescent="0.25">
      <c r="Q172" s="194"/>
      <c r="R172" s="194"/>
    </row>
    <row r="173" spans="17:18" x14ac:dyDescent="0.25">
      <c r="Q173" s="194"/>
      <c r="R173" s="194"/>
    </row>
    <row r="174" spans="17:18" x14ac:dyDescent="0.25">
      <c r="Q174" s="194"/>
      <c r="R174" s="194"/>
    </row>
    <row r="175" spans="17:18" x14ac:dyDescent="0.25">
      <c r="Q175" s="194"/>
      <c r="R175" s="194"/>
    </row>
    <row r="176" spans="17:18" x14ac:dyDescent="0.25">
      <c r="Q176" s="194"/>
      <c r="R176" s="194"/>
    </row>
    <row r="177" spans="17:18" x14ac:dyDescent="0.25">
      <c r="Q177" s="194"/>
      <c r="R177" s="194"/>
    </row>
    <row r="178" spans="17:18" x14ac:dyDescent="0.25">
      <c r="Q178" s="194"/>
      <c r="R178" s="194"/>
    </row>
    <row r="179" spans="17:18" x14ac:dyDescent="0.25">
      <c r="Q179" s="194"/>
      <c r="R179" s="194"/>
    </row>
    <row r="180" spans="17:18" x14ac:dyDescent="0.25">
      <c r="Q180" s="194"/>
      <c r="R180" s="194"/>
    </row>
    <row r="181" spans="17:18" x14ac:dyDescent="0.25">
      <c r="Q181" s="194"/>
      <c r="R181" s="194"/>
    </row>
    <row r="182" spans="17:18" x14ac:dyDescent="0.25">
      <c r="Q182" s="194"/>
      <c r="R182" s="194"/>
    </row>
    <row r="183" spans="17:18" x14ac:dyDescent="0.25">
      <c r="Q183" s="194"/>
      <c r="R183" s="194"/>
    </row>
    <row r="184" spans="17:18" x14ac:dyDescent="0.25">
      <c r="Q184" s="194"/>
      <c r="R184" s="194"/>
    </row>
    <row r="185" spans="17:18" x14ac:dyDescent="0.25">
      <c r="Q185" s="194"/>
      <c r="R185" s="194"/>
    </row>
    <row r="186" spans="17:18" x14ac:dyDescent="0.25">
      <c r="Q186" s="194"/>
      <c r="R186" s="194"/>
    </row>
    <row r="187" spans="17:18" x14ac:dyDescent="0.25">
      <c r="Q187" s="194"/>
      <c r="R187" s="194"/>
    </row>
    <row r="188" spans="17:18" x14ac:dyDescent="0.25">
      <c r="Q188" s="194"/>
      <c r="R188" s="194"/>
    </row>
    <row r="189" spans="17:18" x14ac:dyDescent="0.25">
      <c r="Q189" s="194"/>
      <c r="R189" s="194"/>
    </row>
    <row r="190" spans="17:18" x14ac:dyDescent="0.25">
      <c r="Q190" s="194"/>
      <c r="R190" s="194"/>
    </row>
    <row r="191" spans="17:18" x14ac:dyDescent="0.25">
      <c r="Q191" s="194"/>
      <c r="R191" s="194"/>
    </row>
    <row r="192" spans="17:18" x14ac:dyDescent="0.25">
      <c r="Q192" s="194"/>
      <c r="R192" s="194"/>
    </row>
    <row r="193" spans="17:18" x14ac:dyDescent="0.25">
      <c r="Q193" s="194"/>
      <c r="R193" s="194"/>
    </row>
    <row r="194" spans="17:18" x14ac:dyDescent="0.25">
      <c r="Q194" s="194"/>
      <c r="R194" s="194"/>
    </row>
    <row r="195" spans="17:18" x14ac:dyDescent="0.25">
      <c r="Q195" s="194"/>
      <c r="R195" s="194"/>
    </row>
    <row r="196" spans="17:18" x14ac:dyDescent="0.25">
      <c r="Q196" s="194"/>
      <c r="R196" s="194"/>
    </row>
    <row r="197" spans="17:18" x14ac:dyDescent="0.25">
      <c r="Q197" s="194"/>
      <c r="R197" s="194"/>
    </row>
    <row r="198" spans="17:18" x14ac:dyDescent="0.25">
      <c r="Q198" s="194"/>
      <c r="R198" s="194"/>
    </row>
    <row r="199" spans="17:18" x14ac:dyDescent="0.25">
      <c r="Q199" s="194"/>
      <c r="R199" s="194"/>
    </row>
    <row r="200" spans="17:18" x14ac:dyDescent="0.25">
      <c r="Q200" s="194"/>
      <c r="R200" s="194"/>
    </row>
    <row r="201" spans="17:18" x14ac:dyDescent="0.25">
      <c r="Q201" s="194"/>
      <c r="R201" s="194"/>
    </row>
    <row r="202" spans="17:18" x14ac:dyDescent="0.25">
      <c r="Q202" s="194"/>
      <c r="R202" s="194"/>
    </row>
    <row r="203" spans="17:18" x14ac:dyDescent="0.25">
      <c r="Q203" s="194"/>
      <c r="R203" s="194"/>
    </row>
    <row r="204" spans="17:18" x14ac:dyDescent="0.25">
      <c r="Q204" s="194"/>
      <c r="R204" s="194"/>
    </row>
    <row r="205" spans="17:18" x14ac:dyDescent="0.25">
      <c r="Q205" s="194"/>
      <c r="R205" s="194"/>
    </row>
    <row r="206" spans="17:18" x14ac:dyDescent="0.25">
      <c r="Q206" s="194"/>
      <c r="R206" s="194"/>
    </row>
    <row r="207" spans="17:18" x14ac:dyDescent="0.25">
      <c r="Q207" s="194"/>
      <c r="R207" s="194"/>
    </row>
    <row r="208" spans="17:18" x14ac:dyDescent="0.25">
      <c r="Q208" s="194"/>
      <c r="R208" s="194"/>
    </row>
    <row r="209" spans="17:18" x14ac:dyDescent="0.25">
      <c r="Q209" s="194"/>
      <c r="R209" s="194"/>
    </row>
    <row r="210" spans="17:18" x14ac:dyDescent="0.25">
      <c r="Q210" s="194"/>
      <c r="R210" s="194"/>
    </row>
    <row r="211" spans="17:18" x14ac:dyDescent="0.25">
      <c r="Q211" s="194"/>
      <c r="R211" s="194"/>
    </row>
    <row r="212" spans="17:18" x14ac:dyDescent="0.25">
      <c r="Q212" s="194"/>
      <c r="R212" s="194"/>
    </row>
    <row r="213" spans="17:18" x14ac:dyDescent="0.25">
      <c r="Q213" s="194"/>
      <c r="R213" s="194"/>
    </row>
    <row r="214" spans="17:18" x14ac:dyDescent="0.25">
      <c r="Q214" s="194"/>
      <c r="R214" s="194"/>
    </row>
    <row r="215" spans="17:18" x14ac:dyDescent="0.25">
      <c r="Q215" s="194"/>
      <c r="R215" s="194"/>
    </row>
    <row r="216" spans="17:18" x14ac:dyDescent="0.25">
      <c r="Q216" s="194"/>
      <c r="R216" s="194"/>
    </row>
    <row r="217" spans="17:18" x14ac:dyDescent="0.25">
      <c r="Q217" s="194"/>
      <c r="R217" s="194"/>
    </row>
    <row r="218" spans="17:18" x14ac:dyDescent="0.25">
      <c r="Q218" s="194"/>
      <c r="R218" s="194"/>
    </row>
    <row r="219" spans="17:18" x14ac:dyDescent="0.25">
      <c r="Q219" s="194"/>
      <c r="R219" s="194"/>
    </row>
    <row r="220" spans="17:18" x14ac:dyDescent="0.25">
      <c r="Q220" s="194"/>
      <c r="R220" s="194"/>
    </row>
    <row r="221" spans="17:18" x14ac:dyDescent="0.25">
      <c r="Q221" s="194"/>
      <c r="R221" s="194"/>
    </row>
    <row r="222" spans="17:18" x14ac:dyDescent="0.25">
      <c r="Q222" s="194"/>
      <c r="R222" s="194"/>
    </row>
    <row r="223" spans="17:18" x14ac:dyDescent="0.25">
      <c r="Q223" s="194"/>
      <c r="R223" s="194"/>
    </row>
    <row r="224" spans="17:18" x14ac:dyDescent="0.25">
      <c r="Q224" s="194"/>
      <c r="R224" s="194"/>
    </row>
    <row r="225" spans="17:18" x14ac:dyDescent="0.25">
      <c r="Q225" s="194"/>
      <c r="R225" s="194"/>
    </row>
    <row r="226" spans="17:18" x14ac:dyDescent="0.25">
      <c r="Q226" s="194"/>
      <c r="R226" s="194"/>
    </row>
    <row r="227" spans="17:18" x14ac:dyDescent="0.25">
      <c r="Q227" s="194"/>
      <c r="R227" s="194"/>
    </row>
    <row r="228" spans="17:18" x14ac:dyDescent="0.25">
      <c r="Q228" s="194"/>
      <c r="R228" s="194"/>
    </row>
    <row r="229" spans="17:18" x14ac:dyDescent="0.25">
      <c r="Q229" s="194"/>
      <c r="R229" s="194"/>
    </row>
    <row r="230" spans="17:18" x14ac:dyDescent="0.25">
      <c r="Q230" s="194"/>
      <c r="R230" s="194"/>
    </row>
    <row r="231" spans="17:18" x14ac:dyDescent="0.25">
      <c r="Q231" s="194"/>
      <c r="R231" s="194"/>
    </row>
    <row r="232" spans="17:18" x14ac:dyDescent="0.25">
      <c r="Q232" s="194"/>
      <c r="R232" s="194"/>
    </row>
    <row r="233" spans="17:18" x14ac:dyDescent="0.25">
      <c r="Q233" s="194"/>
      <c r="R233" s="194"/>
    </row>
    <row r="234" spans="17:18" x14ac:dyDescent="0.25">
      <c r="Q234" s="194"/>
      <c r="R234" s="194"/>
    </row>
    <row r="235" spans="17:18" x14ac:dyDescent="0.25">
      <c r="Q235" s="194"/>
      <c r="R235" s="194"/>
    </row>
    <row r="236" spans="17:18" x14ac:dyDescent="0.25">
      <c r="Q236" s="194"/>
      <c r="R236" s="194"/>
    </row>
    <row r="237" spans="17:18" x14ac:dyDescent="0.25">
      <c r="Q237" s="194"/>
      <c r="R237" s="194"/>
    </row>
    <row r="238" spans="17:18" x14ac:dyDescent="0.25">
      <c r="Q238" s="194"/>
      <c r="R238" s="194"/>
    </row>
    <row r="239" spans="17:18" x14ac:dyDescent="0.25">
      <c r="Q239" s="194"/>
      <c r="R239" s="194"/>
    </row>
    <row r="240" spans="17:18" x14ac:dyDescent="0.25">
      <c r="Q240" s="194"/>
      <c r="R240" s="194"/>
    </row>
    <row r="241" spans="17:18" x14ac:dyDescent="0.25">
      <c r="Q241" s="194"/>
      <c r="R241" s="194"/>
    </row>
    <row r="242" spans="17:18" x14ac:dyDescent="0.25">
      <c r="Q242" s="194"/>
      <c r="R242" s="194"/>
    </row>
    <row r="243" spans="17:18" x14ac:dyDescent="0.25">
      <c r="Q243" s="194"/>
      <c r="R243" s="194"/>
    </row>
    <row r="244" spans="17:18" x14ac:dyDescent="0.25">
      <c r="Q244" s="194"/>
      <c r="R244" s="194"/>
    </row>
    <row r="245" spans="17:18" x14ac:dyDescent="0.25">
      <c r="Q245" s="194"/>
      <c r="R245" s="194"/>
    </row>
    <row r="246" spans="17:18" x14ac:dyDescent="0.25">
      <c r="Q246" s="194"/>
      <c r="R246" s="194"/>
    </row>
    <row r="247" spans="17:18" x14ac:dyDescent="0.25">
      <c r="Q247" s="194"/>
      <c r="R247" s="194"/>
    </row>
    <row r="248" spans="17:18" x14ac:dyDescent="0.25">
      <c r="Q248" s="194"/>
      <c r="R248" s="194"/>
    </row>
    <row r="249" spans="17:18" x14ac:dyDescent="0.25">
      <c r="Q249" s="194"/>
      <c r="R249" s="194"/>
    </row>
    <row r="250" spans="17:18" x14ac:dyDescent="0.25">
      <c r="Q250" s="194"/>
      <c r="R250" s="194"/>
    </row>
    <row r="251" spans="17:18" x14ac:dyDescent="0.25">
      <c r="Q251" s="194"/>
      <c r="R251" s="194"/>
    </row>
    <row r="252" spans="17:18" x14ac:dyDescent="0.25">
      <c r="Q252" s="194"/>
      <c r="R252" s="194"/>
    </row>
    <row r="253" spans="17:18" x14ac:dyDescent="0.25">
      <c r="Q253" s="194"/>
      <c r="R253" s="194"/>
    </row>
    <row r="254" spans="17:18" x14ac:dyDescent="0.25">
      <c r="Q254" s="194"/>
      <c r="R254" s="194"/>
    </row>
    <row r="255" spans="17:18" x14ac:dyDescent="0.25">
      <c r="Q255" s="194"/>
      <c r="R255" s="194"/>
    </row>
    <row r="256" spans="17:18" x14ac:dyDescent="0.25">
      <c r="Q256" s="194"/>
      <c r="R256" s="194"/>
    </row>
    <row r="257" spans="17:18" x14ac:dyDescent="0.25">
      <c r="Q257" s="194"/>
      <c r="R257" s="194"/>
    </row>
    <row r="258" spans="17:18" x14ac:dyDescent="0.25">
      <c r="Q258" s="194"/>
      <c r="R258" s="194"/>
    </row>
    <row r="259" spans="17:18" x14ac:dyDescent="0.25">
      <c r="Q259" s="194"/>
      <c r="R259" s="194"/>
    </row>
    <row r="260" spans="17:18" x14ac:dyDescent="0.25">
      <c r="Q260" s="194"/>
      <c r="R260" s="194"/>
    </row>
    <row r="261" spans="17:18" x14ac:dyDescent="0.25">
      <c r="Q261" s="194"/>
      <c r="R261" s="194"/>
    </row>
    <row r="262" spans="17:18" x14ac:dyDescent="0.25">
      <c r="Q262" s="194"/>
      <c r="R262" s="194"/>
    </row>
    <row r="263" spans="17:18" x14ac:dyDescent="0.25">
      <c r="Q263" s="194"/>
      <c r="R263" s="194"/>
    </row>
    <row r="264" spans="17:18" x14ac:dyDescent="0.25">
      <c r="Q264" s="194"/>
      <c r="R264" s="194"/>
    </row>
    <row r="265" spans="17:18" x14ac:dyDescent="0.25">
      <c r="Q265" s="194"/>
      <c r="R265" s="194"/>
    </row>
    <row r="266" spans="17:18" x14ac:dyDescent="0.25">
      <c r="Q266" s="194"/>
      <c r="R266" s="194"/>
    </row>
    <row r="267" spans="17:18" x14ac:dyDescent="0.25">
      <c r="Q267" s="194"/>
      <c r="R267" s="194"/>
    </row>
    <row r="268" spans="17:18" x14ac:dyDescent="0.25">
      <c r="Q268" s="194"/>
      <c r="R268" s="194"/>
    </row>
    <row r="269" spans="17:18" x14ac:dyDescent="0.25">
      <c r="Q269" s="194"/>
      <c r="R269" s="194"/>
    </row>
    <row r="270" spans="17:18" x14ac:dyDescent="0.25">
      <c r="Q270" s="194"/>
      <c r="R270" s="194"/>
    </row>
    <row r="271" spans="17:18" x14ac:dyDescent="0.25">
      <c r="Q271" s="194"/>
      <c r="R271" s="194"/>
    </row>
    <row r="272" spans="17:18" x14ac:dyDescent="0.25">
      <c r="Q272" s="194"/>
      <c r="R272" s="194"/>
    </row>
    <row r="273" spans="17:18" x14ac:dyDescent="0.25">
      <c r="Q273" s="194"/>
      <c r="R273" s="194"/>
    </row>
    <row r="274" spans="17:18" x14ac:dyDescent="0.25">
      <c r="Q274" s="194"/>
      <c r="R274" s="194"/>
    </row>
    <row r="275" spans="17:18" x14ac:dyDescent="0.25">
      <c r="Q275" s="194"/>
      <c r="R275" s="194"/>
    </row>
    <row r="276" spans="17:18" x14ac:dyDescent="0.25">
      <c r="Q276" s="194"/>
      <c r="R276" s="194"/>
    </row>
    <row r="277" spans="17:18" x14ac:dyDescent="0.25">
      <c r="Q277" s="194"/>
      <c r="R277" s="194"/>
    </row>
    <row r="278" spans="17:18" x14ac:dyDescent="0.25">
      <c r="Q278" s="194"/>
      <c r="R278" s="194"/>
    </row>
    <row r="279" spans="17:18" x14ac:dyDescent="0.25">
      <c r="Q279" s="194"/>
      <c r="R279" s="194"/>
    </row>
    <row r="280" spans="17:18" x14ac:dyDescent="0.25">
      <c r="Q280" s="194"/>
      <c r="R280" s="194"/>
    </row>
    <row r="281" spans="17:18" x14ac:dyDescent="0.25">
      <c r="Q281" s="194"/>
      <c r="R281" s="194"/>
    </row>
    <row r="282" spans="17:18" x14ac:dyDescent="0.25">
      <c r="Q282" s="194"/>
      <c r="R282" s="194"/>
    </row>
    <row r="283" spans="17:18" x14ac:dyDescent="0.25">
      <c r="Q283" s="194"/>
      <c r="R283" s="194"/>
    </row>
    <row r="284" spans="17:18" x14ac:dyDescent="0.25">
      <c r="Q284" s="194"/>
      <c r="R284" s="194"/>
    </row>
    <row r="285" spans="17:18" x14ac:dyDescent="0.25">
      <c r="Q285" s="194"/>
      <c r="R285" s="194"/>
    </row>
    <row r="286" spans="17:18" x14ac:dyDescent="0.25">
      <c r="Q286" s="194"/>
      <c r="R286" s="194"/>
    </row>
    <row r="287" spans="17:18" x14ac:dyDescent="0.25">
      <c r="Q287" s="194"/>
      <c r="R287" s="194"/>
    </row>
    <row r="288" spans="17:18" x14ac:dyDescent="0.25">
      <c r="Q288" s="194"/>
      <c r="R288" s="194"/>
    </row>
    <row r="289" spans="17:18" x14ac:dyDescent="0.25">
      <c r="Q289" s="194"/>
      <c r="R289" s="194"/>
    </row>
    <row r="290" spans="17:18" x14ac:dyDescent="0.25">
      <c r="Q290" s="194"/>
      <c r="R290" s="194"/>
    </row>
    <row r="291" spans="17:18" x14ac:dyDescent="0.25">
      <c r="Q291" s="194"/>
      <c r="R291" s="194"/>
    </row>
    <row r="292" spans="17:18" x14ac:dyDescent="0.25">
      <c r="Q292" s="194"/>
      <c r="R292" s="194"/>
    </row>
    <row r="293" spans="17:18" x14ac:dyDescent="0.25">
      <c r="Q293" s="194"/>
      <c r="R293" s="194"/>
    </row>
    <row r="294" spans="17:18" x14ac:dyDescent="0.25">
      <c r="Q294" s="194"/>
      <c r="R294" s="194"/>
    </row>
    <row r="295" spans="17:18" x14ac:dyDescent="0.25">
      <c r="Q295" s="194"/>
      <c r="R295" s="194"/>
    </row>
    <row r="296" spans="17:18" x14ac:dyDescent="0.25">
      <c r="Q296" s="194"/>
      <c r="R296" s="194"/>
    </row>
    <row r="297" spans="17:18" x14ac:dyDescent="0.25">
      <c r="Q297" s="194"/>
      <c r="R297" s="194"/>
    </row>
    <row r="298" spans="17:18" x14ac:dyDescent="0.25">
      <c r="Q298" s="194"/>
      <c r="R298" s="194"/>
    </row>
    <row r="299" spans="17:18" x14ac:dyDescent="0.25">
      <c r="Q299" s="194"/>
      <c r="R299" s="194"/>
    </row>
    <row r="300" spans="17:18" x14ac:dyDescent="0.25">
      <c r="Q300" s="194"/>
      <c r="R300" s="194"/>
    </row>
    <row r="301" spans="17:18" x14ac:dyDescent="0.25">
      <c r="Q301" s="194"/>
      <c r="R301" s="194"/>
    </row>
    <row r="302" spans="17:18" x14ac:dyDescent="0.25">
      <c r="Q302" s="194"/>
      <c r="R302" s="194"/>
    </row>
    <row r="303" spans="17:18" x14ac:dyDescent="0.25">
      <c r="Q303" s="194"/>
      <c r="R303" s="194"/>
    </row>
    <row r="304" spans="17:18" x14ac:dyDescent="0.25">
      <c r="Q304" s="194"/>
      <c r="R304" s="194"/>
    </row>
    <row r="305" spans="17:18" x14ac:dyDescent="0.25">
      <c r="Q305" s="194"/>
      <c r="R305" s="194"/>
    </row>
    <row r="306" spans="17:18" x14ac:dyDescent="0.25">
      <c r="Q306" s="194"/>
      <c r="R306" s="194"/>
    </row>
    <row r="307" spans="17:18" x14ac:dyDescent="0.25">
      <c r="Q307" s="194"/>
      <c r="R307" s="194"/>
    </row>
    <row r="308" spans="17:18" x14ac:dyDescent="0.25">
      <c r="Q308" s="194"/>
      <c r="R308" s="194"/>
    </row>
    <row r="309" spans="17:18" x14ac:dyDescent="0.25">
      <c r="Q309" s="194"/>
      <c r="R309" s="194"/>
    </row>
    <row r="310" spans="17:18" x14ac:dyDescent="0.25">
      <c r="Q310" s="194"/>
      <c r="R310" s="194"/>
    </row>
    <row r="311" spans="17:18" x14ac:dyDescent="0.25">
      <c r="Q311" s="194"/>
      <c r="R311" s="194"/>
    </row>
    <row r="312" spans="17:18" x14ac:dyDescent="0.25">
      <c r="Q312" s="194"/>
      <c r="R312" s="194"/>
    </row>
    <row r="313" spans="17:18" x14ac:dyDescent="0.25">
      <c r="Q313" s="194"/>
      <c r="R313" s="194"/>
    </row>
    <row r="314" spans="17:18" x14ac:dyDescent="0.25">
      <c r="Q314" s="194"/>
      <c r="R314" s="194"/>
    </row>
    <row r="315" spans="17:18" x14ac:dyDescent="0.25">
      <c r="Q315" s="194"/>
      <c r="R315" s="194"/>
    </row>
    <row r="316" spans="17:18" x14ac:dyDescent="0.25">
      <c r="Q316" s="194"/>
      <c r="R316" s="194"/>
    </row>
    <row r="317" spans="17:18" x14ac:dyDescent="0.25">
      <c r="Q317" s="194"/>
      <c r="R317" s="194"/>
    </row>
    <row r="318" spans="17:18" x14ac:dyDescent="0.25">
      <c r="Q318" s="194"/>
      <c r="R318" s="194"/>
    </row>
    <row r="319" spans="17:18" x14ac:dyDescent="0.25">
      <c r="Q319" s="194"/>
      <c r="R319" s="194"/>
    </row>
    <row r="320" spans="17:18" x14ac:dyDescent="0.25">
      <c r="Q320" s="194"/>
      <c r="R320" s="194"/>
    </row>
    <row r="321" spans="17:18" x14ac:dyDescent="0.25">
      <c r="Q321" s="194"/>
      <c r="R321" s="194"/>
    </row>
    <row r="322" spans="17:18" x14ac:dyDescent="0.25">
      <c r="Q322" s="194"/>
      <c r="R322" s="194"/>
    </row>
    <row r="323" spans="17:18" x14ac:dyDescent="0.25">
      <c r="Q323" s="194"/>
      <c r="R323" s="194"/>
    </row>
    <row r="324" spans="17:18" x14ac:dyDescent="0.25">
      <c r="Q324" s="194"/>
      <c r="R324" s="194"/>
    </row>
  </sheetData>
  <dataConsolidate/>
  <mergeCells count="63">
    <mergeCell ref="Q40:Q44"/>
    <mergeCell ref="Q45:Q49"/>
    <mergeCell ref="Q50:Q54"/>
    <mergeCell ref="Q55:Q59"/>
    <mergeCell ref="Q85:Q89"/>
    <mergeCell ref="Q60:Q64"/>
    <mergeCell ref="Q65:Q69"/>
    <mergeCell ref="Q70:Q74"/>
    <mergeCell ref="Q75:Q79"/>
    <mergeCell ref="Q80:Q84"/>
    <mergeCell ref="R80:R84"/>
    <mergeCell ref="R85:R89"/>
    <mergeCell ref="R55:R59"/>
    <mergeCell ref="R60:R64"/>
    <mergeCell ref="R65:R69"/>
    <mergeCell ref="R70:R74"/>
    <mergeCell ref="R75:R79"/>
    <mergeCell ref="R35:R39"/>
    <mergeCell ref="R40:R44"/>
    <mergeCell ref="R45:R49"/>
    <mergeCell ref="R50:R54"/>
    <mergeCell ref="AL7:AL8"/>
    <mergeCell ref="AH7:AH8"/>
    <mergeCell ref="AI7:AI8"/>
    <mergeCell ref="AF7:AF8"/>
    <mergeCell ref="AJ30:AJ32"/>
    <mergeCell ref="AK30:AK32"/>
    <mergeCell ref="AL30:AL32"/>
    <mergeCell ref="Y29:Y32"/>
    <mergeCell ref="AI29:AI32"/>
    <mergeCell ref="Z30:Z32"/>
    <mergeCell ref="AA30:AA32"/>
    <mergeCell ref="AC29:AH29"/>
    <mergeCell ref="B18:B23"/>
    <mergeCell ref="B24:B29"/>
    <mergeCell ref="T29:X29"/>
    <mergeCell ref="J7:J8"/>
    <mergeCell ref="K7:K8"/>
    <mergeCell ref="L7:L8"/>
    <mergeCell ref="M7:M8"/>
    <mergeCell ref="N7:N8"/>
    <mergeCell ref="B8:B12"/>
    <mergeCell ref="AJ7:AJ8"/>
    <mergeCell ref="AK7:AK8"/>
    <mergeCell ref="O7:O8"/>
    <mergeCell ref="AE7:AE8"/>
    <mergeCell ref="AG7:AG8"/>
    <mergeCell ref="P5:Q5"/>
    <mergeCell ref="P6:Q6"/>
    <mergeCell ref="P7:P8"/>
    <mergeCell ref="Q7:Q8"/>
    <mergeCell ref="B30:B35"/>
    <mergeCell ref="N5:O5"/>
    <mergeCell ref="N6:O6"/>
    <mergeCell ref="B4:B6"/>
    <mergeCell ref="H9:H24"/>
    <mergeCell ref="L6:M6"/>
    <mergeCell ref="L5:M5"/>
    <mergeCell ref="J5:K5"/>
    <mergeCell ref="J6:K6"/>
    <mergeCell ref="Q35:Q39"/>
    <mergeCell ref="B36:B41"/>
    <mergeCell ref="B13:B17"/>
  </mergeCells>
  <dataValidations count="1">
    <dataValidation type="list" allowBlank="1" showInputMessage="1" showErrorMessage="1" sqref="T31:X31 AC31:AH31 T7:AD7" xr:uid="{CFCCFC6E-8CAA-4FD6-8230-5487DF0A9159}">
      <formula1>$D$62:$D$65</formula1>
    </dataValidation>
  </dataValidations>
  <hyperlinks>
    <hyperlink ref="B3" r:id="rId1" xr:uid="{00000000-0004-0000-0000-000000000000}"/>
  </hyperlinks>
  <pageMargins left="0.7" right="0.7" top="0.75" bottom="0.75" header="0.3" footer="0.3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57781-F525-4248-A8E5-177284D16AE3}">
  <dimension ref="B1:Y83"/>
  <sheetViews>
    <sheetView topLeftCell="B1" workbookViewId="0">
      <selection activeCell="D54" sqref="D54:Y58"/>
    </sheetView>
  </sheetViews>
  <sheetFormatPr defaultRowHeight="15" x14ac:dyDescent="0.25"/>
  <cols>
    <col min="3" max="3" width="11.28515625" customWidth="1"/>
    <col min="4" max="4" width="10.85546875" customWidth="1"/>
    <col min="5" max="5" width="16.7109375" bestFit="1" customWidth="1"/>
    <col min="6" max="6" width="11.28515625" bestFit="1" customWidth="1"/>
    <col min="8" max="8" width="11.28515625" bestFit="1" customWidth="1"/>
    <col min="10" max="10" width="11.28515625" bestFit="1" customWidth="1"/>
    <col min="12" max="12" width="11.28515625" bestFit="1" customWidth="1"/>
    <col min="14" max="14" width="11.28515625" bestFit="1" customWidth="1"/>
    <col min="16" max="16" width="11.28515625" bestFit="1" customWidth="1"/>
    <col min="18" max="18" width="11.28515625" bestFit="1" customWidth="1"/>
    <col min="20" max="20" width="11.28515625" bestFit="1" customWidth="1"/>
    <col min="22" max="22" width="11.28515625" bestFit="1" customWidth="1"/>
    <col min="24" max="24" width="11.28515625" bestFit="1" customWidth="1"/>
  </cols>
  <sheetData>
    <row r="1" spans="2:6" ht="21" x14ac:dyDescent="0.35">
      <c r="B1" s="165" t="s">
        <v>174</v>
      </c>
    </row>
    <row r="3" spans="2:6" x14ac:dyDescent="0.25">
      <c r="B3" t="s">
        <v>16</v>
      </c>
      <c r="D3" s="166"/>
    </row>
    <row r="4" spans="2:6" x14ac:dyDescent="0.25">
      <c r="B4" t="s">
        <v>17</v>
      </c>
      <c r="D4" s="166"/>
    </row>
    <row r="5" spans="2:6" x14ac:dyDescent="0.25">
      <c r="B5" t="s">
        <v>18</v>
      </c>
      <c r="D5" s="166"/>
      <c r="E5" t="s">
        <v>27</v>
      </c>
    </row>
    <row r="6" spans="2:6" x14ac:dyDescent="0.25">
      <c r="B6" t="s">
        <v>175</v>
      </c>
      <c r="D6" s="166"/>
      <c r="E6" t="s">
        <v>178</v>
      </c>
    </row>
    <row r="7" spans="2:6" x14ac:dyDescent="0.25">
      <c r="B7" t="s">
        <v>176</v>
      </c>
      <c r="D7" s="166">
        <v>1900</v>
      </c>
      <c r="E7" t="s">
        <v>178</v>
      </c>
    </row>
    <row r="8" spans="2:6" x14ac:dyDescent="0.25">
      <c r="B8" t="s">
        <v>177</v>
      </c>
      <c r="D8" s="166"/>
      <c r="E8" t="s">
        <v>178</v>
      </c>
    </row>
    <row r="9" spans="2:6" x14ac:dyDescent="0.25">
      <c r="B9" t="s">
        <v>179</v>
      </c>
      <c r="D9" s="166">
        <v>3400</v>
      </c>
      <c r="E9" t="s">
        <v>28</v>
      </c>
    </row>
    <row r="10" spans="2:6" x14ac:dyDescent="0.25">
      <c r="B10" t="s">
        <v>180</v>
      </c>
      <c r="D10" s="166">
        <f>D9*0.3</f>
        <v>1020</v>
      </c>
      <c r="E10" t="s">
        <v>28</v>
      </c>
    </row>
    <row r="11" spans="2:6" x14ac:dyDescent="0.25">
      <c r="B11" t="s">
        <v>181</v>
      </c>
      <c r="D11" s="166">
        <f>D9*0.5</f>
        <v>1700</v>
      </c>
      <c r="E11" t="s">
        <v>28</v>
      </c>
    </row>
    <row r="12" spans="2:6" x14ac:dyDescent="0.25">
      <c r="D12" s="96"/>
    </row>
    <row r="13" spans="2:6" ht="21" x14ac:dyDescent="0.35">
      <c r="B13" s="165" t="s">
        <v>199</v>
      </c>
      <c r="D13" s="96"/>
    </row>
    <row r="14" spans="2:6" x14ac:dyDescent="0.25">
      <c r="D14" s="96"/>
    </row>
    <row r="16" spans="2:6" ht="15.75" thickBot="1" x14ac:dyDescent="0.3">
      <c r="D16" s="248"/>
      <c r="E16" s="248"/>
      <c r="F16" t="s">
        <v>198</v>
      </c>
    </row>
    <row r="17" spans="3:25" x14ac:dyDescent="0.25">
      <c r="C17" s="93" t="s">
        <v>196</v>
      </c>
      <c r="D17" s="168">
        <v>1</v>
      </c>
      <c r="E17" s="169" t="s">
        <v>30</v>
      </c>
      <c r="F17" s="168">
        <v>0.95</v>
      </c>
      <c r="G17" s="169" t="s">
        <v>30</v>
      </c>
      <c r="H17" s="168">
        <v>0.9</v>
      </c>
      <c r="I17" s="169" t="s">
        <v>30</v>
      </c>
      <c r="J17" s="168">
        <v>0.85</v>
      </c>
      <c r="K17" s="169" t="s">
        <v>30</v>
      </c>
      <c r="L17" s="168">
        <v>0.8</v>
      </c>
      <c r="M17" s="169" t="s">
        <v>30</v>
      </c>
      <c r="N17" s="168">
        <v>0.75</v>
      </c>
      <c r="O17" s="169" t="s">
        <v>30</v>
      </c>
      <c r="P17" s="168">
        <v>0.7</v>
      </c>
      <c r="Q17" s="169" t="s">
        <v>30</v>
      </c>
      <c r="R17" s="168">
        <v>0.65</v>
      </c>
      <c r="S17" s="169" t="s">
        <v>30</v>
      </c>
      <c r="T17" s="168">
        <v>0.6</v>
      </c>
      <c r="U17" s="169" t="s">
        <v>30</v>
      </c>
      <c r="V17" s="168">
        <v>0.55000000000000004</v>
      </c>
      <c r="W17" s="169" t="s">
        <v>30</v>
      </c>
      <c r="X17" s="168">
        <v>0.5</v>
      </c>
      <c r="Y17" s="169" t="s">
        <v>30</v>
      </c>
    </row>
    <row r="18" spans="3:25" x14ac:dyDescent="0.25">
      <c r="D18" s="90">
        <f>$D$7</f>
        <v>1900</v>
      </c>
      <c r="E18" s="89" t="s">
        <v>182</v>
      </c>
      <c r="F18" s="90">
        <f>$D$7*F17</f>
        <v>1805</v>
      </c>
      <c r="G18" s="89" t="s">
        <v>182</v>
      </c>
      <c r="H18" s="90">
        <f>$D$7*H17</f>
        <v>1710</v>
      </c>
      <c r="I18" s="89" t="s">
        <v>182</v>
      </c>
      <c r="J18" s="90">
        <f>$D$7*J17</f>
        <v>1615</v>
      </c>
      <c r="K18" s="89" t="s">
        <v>182</v>
      </c>
      <c r="L18" s="90">
        <f>$D$7*L17</f>
        <v>1520</v>
      </c>
      <c r="M18" s="89" t="s">
        <v>182</v>
      </c>
      <c r="N18" s="90">
        <f>$D$7*N17</f>
        <v>1425</v>
      </c>
      <c r="O18" s="89" t="s">
        <v>182</v>
      </c>
      <c r="P18" s="90">
        <f>$D$7*P17</f>
        <v>1330</v>
      </c>
      <c r="Q18" s="89" t="s">
        <v>182</v>
      </c>
      <c r="R18" s="90">
        <f>$D$7*R17</f>
        <v>1235</v>
      </c>
      <c r="S18" s="89" t="s">
        <v>182</v>
      </c>
      <c r="T18" s="90">
        <f>$D$7*T17</f>
        <v>1140</v>
      </c>
      <c r="U18" s="89" t="s">
        <v>182</v>
      </c>
      <c r="V18" s="90">
        <f>$D$7*V17</f>
        <v>1045</v>
      </c>
      <c r="W18" s="89" t="s">
        <v>182</v>
      </c>
      <c r="X18" s="90">
        <f>$D$7*X17</f>
        <v>950</v>
      </c>
      <c r="Y18" s="89" t="s">
        <v>182</v>
      </c>
    </row>
    <row r="19" spans="3:25" ht="15.75" thickBot="1" x14ac:dyDescent="0.3">
      <c r="D19" s="91" t="s">
        <v>82</v>
      </c>
      <c r="E19" s="92" t="s">
        <v>130</v>
      </c>
      <c r="F19" s="91" t="s">
        <v>82</v>
      </c>
      <c r="G19" s="92" t="s">
        <v>130</v>
      </c>
      <c r="H19" s="91" t="s">
        <v>82</v>
      </c>
      <c r="I19" s="92" t="s">
        <v>130</v>
      </c>
      <c r="J19" s="91" t="s">
        <v>82</v>
      </c>
      <c r="K19" s="92" t="s">
        <v>130</v>
      </c>
      <c r="L19" s="91" t="s">
        <v>82</v>
      </c>
      <c r="M19" s="92" t="s">
        <v>130</v>
      </c>
      <c r="N19" s="91" t="s">
        <v>82</v>
      </c>
      <c r="O19" s="92" t="s">
        <v>130</v>
      </c>
      <c r="P19" s="91" t="s">
        <v>82</v>
      </c>
      <c r="Q19" s="92" t="s">
        <v>130</v>
      </c>
      <c r="R19" s="91" t="s">
        <v>82</v>
      </c>
      <c r="S19" s="92" t="s">
        <v>130</v>
      </c>
      <c r="T19" s="91" t="s">
        <v>82</v>
      </c>
      <c r="U19" s="92" t="s">
        <v>130</v>
      </c>
      <c r="V19" s="91" t="s">
        <v>82</v>
      </c>
      <c r="W19" s="92" t="s">
        <v>130</v>
      </c>
      <c r="X19" s="91" t="s">
        <v>82</v>
      </c>
      <c r="Y19" s="92" t="s">
        <v>130</v>
      </c>
    </row>
    <row r="20" spans="3:25" x14ac:dyDescent="0.25">
      <c r="D20" s="170">
        <v>960</v>
      </c>
      <c r="E20" s="171">
        <v>67</v>
      </c>
      <c r="F20" s="172">
        <f>($D20/($D$43/F$43))</f>
        <v>912</v>
      </c>
      <c r="G20" s="173">
        <f>($E20/(($D$43/F$43)^2))</f>
        <v>60.467500000000008</v>
      </c>
      <c r="H20" s="172">
        <f>($D20/($D$43/H$43))</f>
        <v>864</v>
      </c>
      <c r="I20" s="173">
        <f>($E20/(($D$43/H$43)^2))</f>
        <v>54.269999999999996</v>
      </c>
      <c r="J20" s="172">
        <f>($D20/($D$43/J$43))</f>
        <v>816</v>
      </c>
      <c r="K20" s="173">
        <f>($E20/(($D$43/J$43)^2))</f>
        <v>48.407499999999999</v>
      </c>
      <c r="L20" s="172">
        <f>($D20/($D$43/L$43))</f>
        <v>768</v>
      </c>
      <c r="M20" s="173">
        <f>($E20/(($D$43/L$43)^2))</f>
        <v>42.88</v>
      </c>
      <c r="N20" s="172">
        <f>($D20/($D$43/N$43))</f>
        <v>720</v>
      </c>
      <c r="O20" s="173">
        <f>($E20/(($D$43/N$43)^2))</f>
        <v>37.6875</v>
      </c>
      <c r="P20" s="172">
        <f>($D20/($D$43/P$43))</f>
        <v>672</v>
      </c>
      <c r="Q20" s="173">
        <f>($E20/(($D$43/P$43)^2))</f>
        <v>32.83</v>
      </c>
      <c r="R20" s="172">
        <f>($D20/($D$43/R$43))</f>
        <v>624</v>
      </c>
      <c r="S20" s="173">
        <f>($E20/(($D$43/R$43)^2))</f>
        <v>28.307499999999997</v>
      </c>
      <c r="T20" s="172">
        <f>($D20/($D$43/T$43))</f>
        <v>576</v>
      </c>
      <c r="U20" s="173">
        <f>($E20/(($D$43/T$43)^2))</f>
        <v>24.119999999999997</v>
      </c>
      <c r="V20" s="172">
        <f>($D20/($D$43/V$43))</f>
        <v>528</v>
      </c>
      <c r="W20" s="173">
        <f>($E20/(($D$43/V$43)^2))</f>
        <v>20.267500000000002</v>
      </c>
      <c r="X20" s="172">
        <f>($D20/($D$43/X$43))</f>
        <v>480</v>
      </c>
      <c r="Y20" s="173">
        <f>($E20/(($D$43/X$43)^2))</f>
        <v>16.75</v>
      </c>
    </row>
    <row r="21" spans="3:25" x14ac:dyDescent="0.25">
      <c r="D21" s="170">
        <v>1440</v>
      </c>
      <c r="E21" s="171">
        <v>56.7</v>
      </c>
      <c r="F21" s="172">
        <f>($D21/($D$43/F$43))</f>
        <v>1368</v>
      </c>
      <c r="G21" s="173">
        <f>($E21/(($D$43/F$43)^2))</f>
        <v>51.17175000000001</v>
      </c>
      <c r="H21" s="172">
        <f>($D21/($D$43/H$43))</f>
        <v>1296</v>
      </c>
      <c r="I21" s="173">
        <f>($E21/(($D$43/H$43)^2))</f>
        <v>45.927</v>
      </c>
      <c r="J21" s="172">
        <f>($D21/($D$43/J$43))</f>
        <v>1224</v>
      </c>
      <c r="K21" s="173">
        <f>($E21/(($D$43/J$43)^2))</f>
        <v>40.96575</v>
      </c>
      <c r="L21" s="172">
        <f>($D21/($D$43/L$43))</f>
        <v>1152</v>
      </c>
      <c r="M21" s="173">
        <f>($E21/(($D$43/L$43)^2))</f>
        <v>36.288000000000004</v>
      </c>
      <c r="N21" s="172">
        <f>($D21/($D$43/N$43))</f>
        <v>1080</v>
      </c>
      <c r="O21" s="173">
        <f>($E21/(($D$43/N$43)^2))</f>
        <v>31.893750000000004</v>
      </c>
      <c r="P21" s="172">
        <f>($D21/($D$43/P$43))</f>
        <v>1008</v>
      </c>
      <c r="Q21" s="173">
        <f>($E21/(($D$43/P$43)^2))</f>
        <v>27.783000000000001</v>
      </c>
      <c r="R21" s="172">
        <f>($D21/($D$43/R$43))</f>
        <v>936</v>
      </c>
      <c r="S21" s="173">
        <f>($E21/(($D$43/R$43)^2))</f>
        <v>23.955750000000002</v>
      </c>
      <c r="T21" s="172">
        <f>($D21/($D$43/T$43))</f>
        <v>864</v>
      </c>
      <c r="U21" s="173">
        <f>($E21/(($D$43/T$43)^2))</f>
        <v>20.411999999999999</v>
      </c>
      <c r="V21" s="172">
        <f>($D21/($D$43/V$43))</f>
        <v>792</v>
      </c>
      <c r="W21" s="173">
        <f>($E21/(($D$43/V$43)^2))</f>
        <v>17.151750000000003</v>
      </c>
      <c r="X21" s="172">
        <f>($D21/($D$43/X$43))</f>
        <v>720</v>
      </c>
      <c r="Y21" s="173">
        <f>($E21/(($D$43/X$43)^2))</f>
        <v>14.175000000000001</v>
      </c>
    </row>
    <row r="22" spans="3:25" x14ac:dyDescent="0.25">
      <c r="D22" s="170">
        <v>1920</v>
      </c>
      <c r="E22" s="171">
        <v>46</v>
      </c>
      <c r="F22" s="172">
        <f>($D22/($D$43/F$43))</f>
        <v>1824</v>
      </c>
      <c r="G22" s="173">
        <f>($E22/(($D$43/F$43)^2))</f>
        <v>41.515000000000008</v>
      </c>
      <c r="H22" s="172">
        <f>($D22/($D$43/H$43))</f>
        <v>1728</v>
      </c>
      <c r="I22" s="173">
        <f>($E22/(($D$43/H$43)^2))</f>
        <v>37.26</v>
      </c>
      <c r="J22" s="172">
        <f>($D22/($D$43/J$43))</f>
        <v>1632</v>
      </c>
      <c r="K22" s="173">
        <f>($E22/(($D$43/J$43)^2))</f>
        <v>33.234999999999999</v>
      </c>
      <c r="L22" s="172">
        <f>($D22/($D$43/L$43))</f>
        <v>1536</v>
      </c>
      <c r="M22" s="173">
        <f>($E22/(($D$43/L$43)^2))</f>
        <v>29.44</v>
      </c>
      <c r="N22" s="172">
        <f>($D22/($D$43/N$43))</f>
        <v>1440</v>
      </c>
      <c r="O22" s="173">
        <f>($E22/(($D$43/N$43)^2))</f>
        <v>25.875</v>
      </c>
      <c r="P22" s="172">
        <f>($D22/($D$43/P$43))</f>
        <v>1344</v>
      </c>
      <c r="Q22" s="173">
        <f>($E22/(($D$43/P$43)^2))</f>
        <v>22.54</v>
      </c>
      <c r="R22" s="172">
        <f>($D22/($D$43/R$43))</f>
        <v>1248</v>
      </c>
      <c r="S22" s="173">
        <f>($E22/(($D$43/R$43)^2))</f>
        <v>19.434999999999999</v>
      </c>
      <c r="T22" s="172">
        <f>($D22/($D$43/T$43))</f>
        <v>1152</v>
      </c>
      <c r="U22" s="173">
        <f>($E22/(($D$43/T$43)^2))</f>
        <v>16.559999999999999</v>
      </c>
      <c r="V22" s="172">
        <f>($D22/($D$43/V$43))</f>
        <v>1056</v>
      </c>
      <c r="W22" s="173">
        <f>($E22/(($D$43/V$43)^2))</f>
        <v>13.915000000000001</v>
      </c>
      <c r="X22" s="172">
        <f>($D22/($D$43/X$43))</f>
        <v>960</v>
      </c>
      <c r="Y22" s="173">
        <f>($E22/(($D$43/X$43)^2))</f>
        <v>11.5</v>
      </c>
    </row>
    <row r="23" spans="3:25" x14ac:dyDescent="0.25">
      <c r="D23" s="170">
        <v>2400</v>
      </c>
      <c r="E23" s="171">
        <v>35.5</v>
      </c>
      <c r="F23" s="172">
        <f>($D23/($D$43/F$43))</f>
        <v>2280</v>
      </c>
      <c r="G23" s="173">
        <f>($E23/(($D$43/F$43)^2))</f>
        <v>32.038750000000007</v>
      </c>
      <c r="H23" s="172">
        <f>($D23/($D$43/H$43))</f>
        <v>2160</v>
      </c>
      <c r="I23" s="173">
        <f>($E23/(($D$43/H$43)^2))</f>
        <v>28.754999999999995</v>
      </c>
      <c r="J23" s="172">
        <f>($D23/($D$43/J$43))</f>
        <v>2040</v>
      </c>
      <c r="K23" s="173">
        <f>($E23/(($D$43/J$43)^2))</f>
        <v>25.648749999999996</v>
      </c>
      <c r="L23" s="172">
        <f>($D23/($D$43/L$43))</f>
        <v>1920</v>
      </c>
      <c r="M23" s="173">
        <f>($E23/(($D$43/L$43)^2))</f>
        <v>22.72</v>
      </c>
      <c r="N23" s="172">
        <f>($D23/($D$43/N$43))</f>
        <v>1800</v>
      </c>
      <c r="O23" s="173">
        <f>($E23/(($D$43/N$43)^2))</f>
        <v>19.96875</v>
      </c>
      <c r="P23" s="172">
        <f>($D23/($D$43/P$43))</f>
        <v>1680</v>
      </c>
      <c r="Q23" s="173">
        <f>($E23/(($D$43/P$43)^2))</f>
        <v>17.395</v>
      </c>
      <c r="R23" s="172">
        <f>($D23/($D$43/R$43))</f>
        <v>1560</v>
      </c>
      <c r="S23" s="173">
        <f>($E23/(($D$43/R$43)^2))</f>
        <v>14.998749999999999</v>
      </c>
      <c r="T23" s="172">
        <f>($D23/($D$43/T$43))</f>
        <v>1440</v>
      </c>
      <c r="U23" s="173">
        <f>($E23/(($D$43/T$43)^2))</f>
        <v>12.779999999999998</v>
      </c>
      <c r="V23" s="172">
        <f>($D23/($D$43/V$43))</f>
        <v>1320</v>
      </c>
      <c r="W23" s="173">
        <f>($E23/(($D$43/V$43)^2))</f>
        <v>10.738750000000001</v>
      </c>
      <c r="X23" s="172">
        <f>($D23/($D$43/X$43))</f>
        <v>1200</v>
      </c>
      <c r="Y23" s="173">
        <f>($E23/(($D$43/X$43)^2))</f>
        <v>8.875</v>
      </c>
    </row>
    <row r="24" spans="3:25" ht="15.75" thickBot="1" x14ac:dyDescent="0.3">
      <c r="D24" s="174">
        <v>2880</v>
      </c>
      <c r="E24" s="175">
        <v>23.2</v>
      </c>
      <c r="F24" s="176">
        <f>($D24/($D$43/F$43))</f>
        <v>2736</v>
      </c>
      <c r="G24" s="177">
        <f>($E24/(($D$43/F$43)^2))</f>
        <v>20.938000000000002</v>
      </c>
      <c r="H24" s="176">
        <f>($D24/($D$43/H$43))</f>
        <v>2592</v>
      </c>
      <c r="I24" s="177">
        <f>($E24/(($D$43/H$43)^2))</f>
        <v>18.791999999999998</v>
      </c>
      <c r="J24" s="176">
        <f>($D24/($D$43/J$43))</f>
        <v>2448</v>
      </c>
      <c r="K24" s="177">
        <f>($E24/(($D$43/J$43)^2))</f>
        <v>16.761999999999997</v>
      </c>
      <c r="L24" s="176">
        <f>($D24/($D$43/L$43))</f>
        <v>2304</v>
      </c>
      <c r="M24" s="177">
        <f>($E24/(($D$43/L$43)^2))</f>
        <v>14.847999999999999</v>
      </c>
      <c r="N24" s="176">
        <f>($D24/($D$43/N$43))</f>
        <v>2160</v>
      </c>
      <c r="O24" s="177">
        <f>($E24/(($D$43/N$43)^2))</f>
        <v>13.05</v>
      </c>
      <c r="P24" s="176">
        <f>($D24/($D$43/P$43))</f>
        <v>2016</v>
      </c>
      <c r="Q24" s="177">
        <f>($E24/(($D$43/P$43)^2))</f>
        <v>11.367999999999999</v>
      </c>
      <c r="R24" s="176">
        <f>($D24/($D$43/R$43))</f>
        <v>1872</v>
      </c>
      <c r="S24" s="177">
        <f>($E24/(($D$43/R$43)^2))</f>
        <v>9.8019999999999996</v>
      </c>
      <c r="T24" s="176">
        <f>($D24/($D$43/T$43))</f>
        <v>1728</v>
      </c>
      <c r="U24" s="177">
        <f>($E24/(($D$43/T$43)^2))</f>
        <v>8.3519999999999985</v>
      </c>
      <c r="V24" s="176">
        <f>($D24/($D$43/V$43))</f>
        <v>1584</v>
      </c>
      <c r="W24" s="177">
        <f>($E24/(($D$43/V$43)^2))</f>
        <v>7.0180000000000007</v>
      </c>
      <c r="X24" s="176">
        <f>($D24/($D$43/X$43))</f>
        <v>1440</v>
      </c>
      <c r="Y24" s="177">
        <f>($E24/(($D$43/X$43)^2))</f>
        <v>5.8</v>
      </c>
    </row>
    <row r="25" spans="3:25" ht="15.75" thickBot="1" x14ac:dyDescent="0.3"/>
    <row r="26" spans="3:25" x14ac:dyDescent="0.25">
      <c r="C26" t="s">
        <v>197</v>
      </c>
      <c r="D26" s="168">
        <v>1</v>
      </c>
      <c r="E26" s="169" t="s">
        <v>30</v>
      </c>
      <c r="F26" s="168">
        <v>0.95</v>
      </c>
      <c r="G26" s="169" t="s">
        <v>30</v>
      </c>
      <c r="H26" s="168">
        <v>0.9</v>
      </c>
      <c r="I26" s="169" t="s">
        <v>30</v>
      </c>
      <c r="J26" s="168">
        <v>0.85</v>
      </c>
      <c r="K26" s="169" t="s">
        <v>30</v>
      </c>
      <c r="L26" s="168">
        <v>0.8</v>
      </c>
      <c r="M26" s="169" t="s">
        <v>30</v>
      </c>
      <c r="N26" s="168">
        <v>0.75</v>
      </c>
      <c r="O26" s="169" t="s">
        <v>30</v>
      </c>
      <c r="P26" s="168">
        <v>0.7</v>
      </c>
      <c r="Q26" s="169" t="s">
        <v>30</v>
      </c>
      <c r="R26" s="168">
        <v>0.65</v>
      </c>
      <c r="S26" s="169" t="s">
        <v>30</v>
      </c>
      <c r="T26" s="168">
        <v>0.6</v>
      </c>
      <c r="U26" s="169" t="s">
        <v>30</v>
      </c>
      <c r="V26" s="168">
        <v>0.55000000000000004</v>
      </c>
      <c r="W26" s="169" t="s">
        <v>30</v>
      </c>
      <c r="X26" s="168">
        <v>0.5</v>
      </c>
      <c r="Y26" s="169" t="s">
        <v>30</v>
      </c>
    </row>
    <row r="27" spans="3:25" x14ac:dyDescent="0.25">
      <c r="D27" s="90">
        <f>$D$7</f>
        <v>1900</v>
      </c>
      <c r="E27" s="89" t="s">
        <v>182</v>
      </c>
      <c r="F27" s="90">
        <f>$D$7*F26</f>
        <v>1805</v>
      </c>
      <c r="G27" s="89" t="s">
        <v>182</v>
      </c>
      <c r="H27" s="90">
        <f>$D$7*H26</f>
        <v>1710</v>
      </c>
      <c r="I27" s="89" t="s">
        <v>182</v>
      </c>
      <c r="J27" s="90">
        <f>$D$7*J26</f>
        <v>1615</v>
      </c>
      <c r="K27" s="89" t="s">
        <v>182</v>
      </c>
      <c r="L27" s="90">
        <f>$D$7*L26</f>
        <v>1520</v>
      </c>
      <c r="M27" s="89" t="s">
        <v>182</v>
      </c>
      <c r="N27" s="90">
        <f>$D$7*N26</f>
        <v>1425</v>
      </c>
      <c r="O27" s="89" t="s">
        <v>182</v>
      </c>
      <c r="P27" s="90">
        <f>$D$7*P26</f>
        <v>1330</v>
      </c>
      <c r="Q27" s="89" t="s">
        <v>182</v>
      </c>
      <c r="R27" s="90">
        <f>$D$7*R26</f>
        <v>1235</v>
      </c>
      <c r="S27" s="89" t="s">
        <v>182</v>
      </c>
      <c r="T27" s="90">
        <f>$D$7*T26</f>
        <v>1140</v>
      </c>
      <c r="U27" s="89" t="s">
        <v>182</v>
      </c>
      <c r="V27" s="90">
        <f>$D$7*V26</f>
        <v>1045</v>
      </c>
      <c r="W27" s="89" t="s">
        <v>182</v>
      </c>
      <c r="X27" s="90">
        <f>$D$7*X26</f>
        <v>950</v>
      </c>
      <c r="Y27" s="89" t="s">
        <v>182</v>
      </c>
    </row>
    <row r="28" spans="3:25" ht="15.75" thickBot="1" x14ac:dyDescent="0.3">
      <c r="D28" s="91" t="s">
        <v>82</v>
      </c>
      <c r="E28" s="89" t="s">
        <v>130</v>
      </c>
      <c r="F28" s="90" t="s">
        <v>82</v>
      </c>
      <c r="G28" s="89" t="s">
        <v>130</v>
      </c>
      <c r="H28" s="90" t="s">
        <v>82</v>
      </c>
      <c r="I28" s="89" t="s">
        <v>130</v>
      </c>
      <c r="J28" s="90" t="s">
        <v>82</v>
      </c>
      <c r="K28" s="89" t="s">
        <v>130</v>
      </c>
      <c r="L28" s="90" t="s">
        <v>82</v>
      </c>
      <c r="M28" s="89" t="s">
        <v>130</v>
      </c>
      <c r="N28" s="90" t="s">
        <v>82</v>
      </c>
      <c r="O28" s="89" t="s">
        <v>130</v>
      </c>
      <c r="P28" s="90" t="s">
        <v>82</v>
      </c>
      <c r="Q28" s="89" t="s">
        <v>130</v>
      </c>
      <c r="R28" s="90" t="s">
        <v>82</v>
      </c>
      <c r="S28" s="89" t="s">
        <v>130</v>
      </c>
      <c r="T28" s="90" t="s">
        <v>82</v>
      </c>
      <c r="U28" s="89" t="s">
        <v>130</v>
      </c>
      <c r="V28" s="90" t="s">
        <v>82</v>
      </c>
      <c r="W28" s="89" t="s">
        <v>130</v>
      </c>
      <c r="X28" s="90" t="s">
        <v>82</v>
      </c>
      <c r="Y28" s="89" t="s">
        <v>130</v>
      </c>
    </row>
    <row r="29" spans="3:25" x14ac:dyDescent="0.25">
      <c r="D29" s="184">
        <f>D20*2</f>
        <v>1920</v>
      </c>
      <c r="E29" s="206">
        <f>E20</f>
        <v>67</v>
      </c>
      <c r="F29" s="207">
        <f>($D29/($D$43/F$43))</f>
        <v>1824</v>
      </c>
      <c r="G29" s="208">
        <f>G20</f>
        <v>60.467500000000008</v>
      </c>
      <c r="H29" s="207">
        <f>($D29/($D$43/H$43))</f>
        <v>1728</v>
      </c>
      <c r="I29" s="208">
        <f>I20</f>
        <v>54.269999999999996</v>
      </c>
      <c r="J29" s="207">
        <f>($D29/($D$43/J$43))</f>
        <v>1632</v>
      </c>
      <c r="K29" s="208">
        <f>K20</f>
        <v>48.407499999999999</v>
      </c>
      <c r="L29" s="207">
        <f>($D29/($D$43/L$43))</f>
        <v>1536</v>
      </c>
      <c r="M29" s="208">
        <f>M20</f>
        <v>42.88</v>
      </c>
      <c r="N29" s="207">
        <f>($D29/($D$43/N$43))</f>
        <v>1440</v>
      </c>
      <c r="O29" s="208">
        <f>O20</f>
        <v>37.6875</v>
      </c>
      <c r="P29" s="207">
        <f>($D29/($D$43/P$43))</f>
        <v>1344</v>
      </c>
      <c r="Q29" s="208">
        <f>Q20</f>
        <v>32.83</v>
      </c>
      <c r="R29" s="207">
        <f>($D29/($D$43/R$43))</f>
        <v>1248</v>
      </c>
      <c r="S29" s="208">
        <f>S20</f>
        <v>28.307499999999997</v>
      </c>
      <c r="T29" s="207">
        <f>($D29/($D$43/T$43))</f>
        <v>1152</v>
      </c>
      <c r="U29" s="208">
        <f>U20</f>
        <v>24.119999999999997</v>
      </c>
      <c r="V29" s="207">
        <f>($D29/($D$43/V$43))</f>
        <v>1056</v>
      </c>
      <c r="W29" s="208">
        <f>W20</f>
        <v>20.267500000000002</v>
      </c>
      <c r="X29" s="210">
        <f>($D29/($D$43/X$43))</f>
        <v>960</v>
      </c>
      <c r="Y29" s="208">
        <f>Y20</f>
        <v>16.75</v>
      </c>
    </row>
    <row r="30" spans="3:25" x14ac:dyDescent="0.25">
      <c r="D30" s="180">
        <f t="shared" ref="D30:D33" si="0">D21*2</f>
        <v>2880</v>
      </c>
      <c r="E30" s="211">
        <f t="shared" ref="E30:E33" si="1">E21</f>
        <v>56.7</v>
      </c>
      <c r="F30" s="172">
        <f>($D30/($D$43/F$43))</f>
        <v>2736</v>
      </c>
      <c r="G30" s="173">
        <f t="shared" ref="G30:G33" si="2">G21</f>
        <v>51.17175000000001</v>
      </c>
      <c r="H30" s="172">
        <f>($D30/($D$43/H$43))</f>
        <v>2592</v>
      </c>
      <c r="I30" s="173">
        <f t="shared" ref="I30:I33" si="3">I21</f>
        <v>45.927</v>
      </c>
      <c r="J30" s="172">
        <f>($D30/($D$43/J$43))</f>
        <v>2448</v>
      </c>
      <c r="K30" s="173">
        <f t="shared" ref="K30:K33" si="4">K21</f>
        <v>40.96575</v>
      </c>
      <c r="L30" s="172">
        <f>($D30/($D$43/L$43))</f>
        <v>2304</v>
      </c>
      <c r="M30" s="173">
        <f t="shared" ref="M30:M33" si="5">M21</f>
        <v>36.288000000000004</v>
      </c>
      <c r="N30" s="172">
        <f>($D30/($D$43/N$43))</f>
        <v>2160</v>
      </c>
      <c r="O30" s="173">
        <f t="shared" ref="O30:O33" si="6">O21</f>
        <v>31.893750000000004</v>
      </c>
      <c r="P30" s="172">
        <f>($D30/($D$43/P$43))</f>
        <v>2016</v>
      </c>
      <c r="Q30" s="173">
        <f t="shared" ref="Q30:Q33" si="7">Q21</f>
        <v>27.783000000000001</v>
      </c>
      <c r="R30" s="172">
        <f>($D30/($D$43/R$43))</f>
        <v>1872</v>
      </c>
      <c r="S30" s="173">
        <f t="shared" ref="S30:S33" si="8">S21</f>
        <v>23.955750000000002</v>
      </c>
      <c r="T30" s="172">
        <f>($D30/($D$43/T$43))</f>
        <v>1728</v>
      </c>
      <c r="U30" s="173">
        <f t="shared" ref="U30:U33" si="9">U21</f>
        <v>20.411999999999999</v>
      </c>
      <c r="V30" s="172">
        <f>($D30/($D$43/V$43))</f>
        <v>1584</v>
      </c>
      <c r="W30" s="173">
        <f t="shared" ref="W30:W33" si="10">W21</f>
        <v>17.151750000000003</v>
      </c>
      <c r="X30" s="193">
        <f>($D30/($D$43/X$43))</f>
        <v>1440</v>
      </c>
      <c r="Y30" s="173">
        <f t="shared" ref="Y30:Y33" si="11">Y21</f>
        <v>14.175000000000001</v>
      </c>
    </row>
    <row r="31" spans="3:25" x14ac:dyDescent="0.25">
      <c r="D31" s="180">
        <f t="shared" si="0"/>
        <v>3840</v>
      </c>
      <c r="E31" s="211">
        <f t="shared" si="1"/>
        <v>46</v>
      </c>
      <c r="F31" s="172">
        <f>($D31/($D$43/F$43))</f>
        <v>3648</v>
      </c>
      <c r="G31" s="173">
        <f t="shared" si="2"/>
        <v>41.515000000000008</v>
      </c>
      <c r="H31" s="172">
        <f>($D31/($D$43/H$43))</f>
        <v>3456</v>
      </c>
      <c r="I31" s="173">
        <f t="shared" si="3"/>
        <v>37.26</v>
      </c>
      <c r="J31" s="172">
        <f>($D31/($D$43/J$43))</f>
        <v>3264</v>
      </c>
      <c r="K31" s="173">
        <f t="shared" si="4"/>
        <v>33.234999999999999</v>
      </c>
      <c r="L31" s="172">
        <f>($D31/($D$43/L$43))</f>
        <v>3072</v>
      </c>
      <c r="M31" s="173">
        <f t="shared" si="5"/>
        <v>29.44</v>
      </c>
      <c r="N31" s="172">
        <f>($D31/($D$43/N$43))</f>
        <v>2880</v>
      </c>
      <c r="O31" s="173">
        <f t="shared" si="6"/>
        <v>25.875</v>
      </c>
      <c r="P31" s="172">
        <f>($D31/($D$43/P$43))</f>
        <v>2688</v>
      </c>
      <c r="Q31" s="173">
        <f t="shared" si="7"/>
        <v>22.54</v>
      </c>
      <c r="R31" s="172">
        <f>($D31/($D$43/R$43))</f>
        <v>2496</v>
      </c>
      <c r="S31" s="173">
        <f t="shared" si="8"/>
        <v>19.434999999999999</v>
      </c>
      <c r="T31" s="172">
        <f>($D31/($D$43/T$43))</f>
        <v>2304</v>
      </c>
      <c r="U31" s="173">
        <f t="shared" si="9"/>
        <v>16.559999999999999</v>
      </c>
      <c r="V31" s="172">
        <f>($D31/($D$43/V$43))</f>
        <v>2112</v>
      </c>
      <c r="W31" s="173">
        <f t="shared" si="10"/>
        <v>13.915000000000001</v>
      </c>
      <c r="X31" s="193">
        <f>($D31/($D$43/X$43))</f>
        <v>1920</v>
      </c>
      <c r="Y31" s="173">
        <f t="shared" si="11"/>
        <v>11.5</v>
      </c>
    </row>
    <row r="32" spans="3:25" x14ac:dyDescent="0.25">
      <c r="D32" s="180">
        <f t="shared" si="0"/>
        <v>4800</v>
      </c>
      <c r="E32" s="211">
        <f t="shared" si="1"/>
        <v>35.5</v>
      </c>
      <c r="F32" s="172">
        <f>($D32/($D$43/F$43))</f>
        <v>4560</v>
      </c>
      <c r="G32" s="173">
        <f t="shared" si="2"/>
        <v>32.038750000000007</v>
      </c>
      <c r="H32" s="172">
        <f>($D32/($D$43/H$43))</f>
        <v>4320</v>
      </c>
      <c r="I32" s="173">
        <f t="shared" si="3"/>
        <v>28.754999999999995</v>
      </c>
      <c r="J32" s="172">
        <f>($D32/($D$43/J$43))</f>
        <v>4080</v>
      </c>
      <c r="K32" s="173">
        <f t="shared" si="4"/>
        <v>25.648749999999996</v>
      </c>
      <c r="L32" s="172">
        <f>($D32/($D$43/L$43))</f>
        <v>3840</v>
      </c>
      <c r="M32" s="173">
        <f t="shared" si="5"/>
        <v>22.72</v>
      </c>
      <c r="N32" s="172">
        <f>($D32/($D$43/N$43))</f>
        <v>3600</v>
      </c>
      <c r="O32" s="173">
        <f t="shared" si="6"/>
        <v>19.96875</v>
      </c>
      <c r="P32" s="172">
        <f>($D32/($D$43/P$43))</f>
        <v>3360</v>
      </c>
      <c r="Q32" s="173">
        <f t="shared" si="7"/>
        <v>17.395</v>
      </c>
      <c r="R32" s="172">
        <f>($D32/($D$43/R$43))</f>
        <v>3120</v>
      </c>
      <c r="S32" s="173">
        <f t="shared" si="8"/>
        <v>14.998749999999999</v>
      </c>
      <c r="T32" s="172">
        <f>($D32/($D$43/T$43))</f>
        <v>2880</v>
      </c>
      <c r="U32" s="173">
        <f t="shared" si="9"/>
        <v>12.779999999999998</v>
      </c>
      <c r="V32" s="172">
        <f>($D32/($D$43/V$43))</f>
        <v>2640</v>
      </c>
      <c r="W32" s="173">
        <f t="shared" si="10"/>
        <v>10.738750000000001</v>
      </c>
      <c r="X32" s="193">
        <f>($D32/($D$43/X$43))</f>
        <v>2400</v>
      </c>
      <c r="Y32" s="173">
        <f t="shared" si="11"/>
        <v>8.875</v>
      </c>
    </row>
    <row r="33" spans="2:25" ht="15.75" thickBot="1" x14ac:dyDescent="0.3">
      <c r="D33" s="182">
        <f t="shared" si="0"/>
        <v>5760</v>
      </c>
      <c r="E33" s="212">
        <f t="shared" si="1"/>
        <v>23.2</v>
      </c>
      <c r="F33" s="176">
        <f>($D33/($D$43/F$43))</f>
        <v>5472</v>
      </c>
      <c r="G33" s="177">
        <f t="shared" si="2"/>
        <v>20.938000000000002</v>
      </c>
      <c r="H33" s="176">
        <f>($D33/($D$43/H$43))</f>
        <v>5184</v>
      </c>
      <c r="I33" s="177">
        <f t="shared" si="3"/>
        <v>18.791999999999998</v>
      </c>
      <c r="J33" s="176">
        <f>($D33/($D$43/J$43))</f>
        <v>4896</v>
      </c>
      <c r="K33" s="177">
        <f t="shared" si="4"/>
        <v>16.761999999999997</v>
      </c>
      <c r="L33" s="176">
        <f>($D33/($D$43/L$43))</f>
        <v>4608</v>
      </c>
      <c r="M33" s="177">
        <f t="shared" si="5"/>
        <v>14.847999999999999</v>
      </c>
      <c r="N33" s="176">
        <f>($D33/($D$43/N$43))</f>
        <v>4320</v>
      </c>
      <c r="O33" s="177">
        <f t="shared" si="6"/>
        <v>13.05</v>
      </c>
      <c r="P33" s="176">
        <f>($D33/($D$43/P$43))</f>
        <v>4032</v>
      </c>
      <c r="Q33" s="177">
        <f t="shared" si="7"/>
        <v>11.367999999999999</v>
      </c>
      <c r="R33" s="176">
        <f>($D33/($D$43/R$43))</f>
        <v>3744</v>
      </c>
      <c r="S33" s="177">
        <f t="shared" si="8"/>
        <v>9.8019999999999996</v>
      </c>
      <c r="T33" s="176">
        <f>($D33/($D$43/T$43))</f>
        <v>3456</v>
      </c>
      <c r="U33" s="177">
        <f t="shared" si="9"/>
        <v>8.3519999999999985</v>
      </c>
      <c r="V33" s="176">
        <f>($D33/($D$43/V$43))</f>
        <v>3168</v>
      </c>
      <c r="W33" s="177">
        <f t="shared" si="10"/>
        <v>7.0180000000000007</v>
      </c>
      <c r="X33" s="94">
        <f>($D33/($D$43/X$43))</f>
        <v>2880</v>
      </c>
      <c r="Y33" s="177">
        <f t="shared" si="11"/>
        <v>5.8</v>
      </c>
    </row>
    <row r="37" spans="2:25" ht="21" x14ac:dyDescent="0.35">
      <c r="B37" s="165" t="s">
        <v>200</v>
      </c>
    </row>
    <row r="38" spans="2:25" x14ac:dyDescent="0.25">
      <c r="B38" t="s">
        <v>201</v>
      </c>
    </row>
    <row r="41" spans="2:25" ht="15.75" thickBot="1" x14ac:dyDescent="0.3">
      <c r="D41" s="248"/>
      <c r="E41" s="248"/>
      <c r="F41" t="s">
        <v>198</v>
      </c>
    </row>
    <row r="42" spans="2:25" x14ac:dyDescent="0.25">
      <c r="C42" s="93" t="s">
        <v>196</v>
      </c>
      <c r="D42" s="168">
        <v>1</v>
      </c>
      <c r="E42" s="169" t="s">
        <v>30</v>
      </c>
      <c r="F42" s="168">
        <v>0.95</v>
      </c>
      <c r="G42" s="169" t="s">
        <v>30</v>
      </c>
      <c r="H42" s="168">
        <v>0.9</v>
      </c>
      <c r="I42" s="169" t="s">
        <v>30</v>
      </c>
      <c r="J42" s="168">
        <v>0.85</v>
      </c>
      <c r="K42" s="169" t="s">
        <v>30</v>
      </c>
      <c r="L42" s="168">
        <v>0.8</v>
      </c>
      <c r="M42" s="169" t="s">
        <v>30</v>
      </c>
      <c r="N42" s="168">
        <v>0.75</v>
      </c>
      <c r="O42" s="169" t="s">
        <v>30</v>
      </c>
      <c r="P42" s="168">
        <v>0.7</v>
      </c>
      <c r="Q42" s="169" t="s">
        <v>30</v>
      </c>
      <c r="R42" s="168">
        <v>0.65</v>
      </c>
      <c r="S42" s="169" t="s">
        <v>30</v>
      </c>
      <c r="T42" s="168">
        <v>0.6</v>
      </c>
      <c r="U42" s="169" t="s">
        <v>30</v>
      </c>
      <c r="V42" s="168">
        <v>0.55000000000000004</v>
      </c>
      <c r="W42" s="169" t="s">
        <v>30</v>
      </c>
      <c r="X42" s="168">
        <v>0.5</v>
      </c>
      <c r="Y42" s="169" t="s">
        <v>30</v>
      </c>
    </row>
    <row r="43" spans="2:25" x14ac:dyDescent="0.25">
      <c r="D43" s="90">
        <f>$D$7</f>
        <v>1900</v>
      </c>
      <c r="E43" s="89" t="s">
        <v>182</v>
      </c>
      <c r="F43" s="90">
        <f>$D$7*F42</f>
        <v>1805</v>
      </c>
      <c r="G43" s="89" t="s">
        <v>182</v>
      </c>
      <c r="H43" s="90">
        <f>$D$7*H42</f>
        <v>1710</v>
      </c>
      <c r="I43" s="89" t="s">
        <v>182</v>
      </c>
      <c r="J43" s="90">
        <f>$D$7*J42</f>
        <v>1615</v>
      </c>
      <c r="K43" s="89" t="s">
        <v>182</v>
      </c>
      <c r="L43" s="90">
        <f>$D$7*L42</f>
        <v>1520</v>
      </c>
      <c r="M43" s="89" t="s">
        <v>182</v>
      </c>
      <c r="N43" s="90">
        <f>$D$7*N42</f>
        <v>1425</v>
      </c>
      <c r="O43" s="89" t="s">
        <v>182</v>
      </c>
      <c r="P43" s="90">
        <f>$D$7*P42</f>
        <v>1330</v>
      </c>
      <c r="Q43" s="89" t="s">
        <v>182</v>
      </c>
      <c r="R43" s="90">
        <f>$D$7*R42</f>
        <v>1235</v>
      </c>
      <c r="S43" s="89" t="s">
        <v>182</v>
      </c>
      <c r="T43" s="90">
        <f>$D$7*T42</f>
        <v>1140</v>
      </c>
      <c r="U43" s="89" t="s">
        <v>182</v>
      </c>
      <c r="V43" s="90">
        <f>$D$7*V42</f>
        <v>1045</v>
      </c>
      <c r="W43" s="89" t="s">
        <v>182</v>
      </c>
      <c r="X43" s="90">
        <f>$D$7*X42</f>
        <v>950</v>
      </c>
      <c r="Y43" s="89" t="s">
        <v>182</v>
      </c>
    </row>
    <row r="44" spans="2:25" ht="15.75" thickBot="1" x14ac:dyDescent="0.3">
      <c r="D44" s="90" t="s">
        <v>82</v>
      </c>
      <c r="E44" s="89" t="s">
        <v>130</v>
      </c>
      <c r="F44" s="90" t="s">
        <v>82</v>
      </c>
      <c r="G44" s="89" t="s">
        <v>130</v>
      </c>
      <c r="H44" s="90" t="s">
        <v>82</v>
      </c>
      <c r="I44" s="89" t="s">
        <v>130</v>
      </c>
      <c r="J44" s="90" t="s">
        <v>82</v>
      </c>
      <c r="K44" s="89" t="s">
        <v>130</v>
      </c>
      <c r="L44" s="90" t="s">
        <v>82</v>
      </c>
      <c r="M44" s="89" t="s">
        <v>130</v>
      </c>
      <c r="N44" s="90" t="s">
        <v>82</v>
      </c>
      <c r="O44" s="89" t="s">
        <v>130</v>
      </c>
      <c r="P44" s="90" t="s">
        <v>82</v>
      </c>
      <c r="Q44" s="89" t="s">
        <v>130</v>
      </c>
      <c r="R44" s="90" t="s">
        <v>82</v>
      </c>
      <c r="S44" s="89" t="s">
        <v>130</v>
      </c>
      <c r="T44" s="90" t="s">
        <v>82</v>
      </c>
      <c r="U44" s="89" t="s">
        <v>130</v>
      </c>
      <c r="V44" s="90" t="s">
        <v>82</v>
      </c>
      <c r="W44" s="89" t="s">
        <v>130</v>
      </c>
      <c r="X44" s="90" t="s">
        <v>82</v>
      </c>
      <c r="Y44" s="89" t="s">
        <v>130</v>
      </c>
    </row>
    <row r="45" spans="2:25" x14ac:dyDescent="0.25">
      <c r="D45" s="184">
        <f>D20</f>
        <v>960</v>
      </c>
      <c r="E45" s="213">
        <f>E29-'System Curve'!AL35</f>
        <v>66.03458276326829</v>
      </c>
      <c r="F45" s="210">
        <f>($D45/($D$43/F$43))</f>
        <v>912</v>
      </c>
      <c r="G45" s="208">
        <f>G20-'System Curve'!AL40</f>
        <v>59.595953173396651</v>
      </c>
      <c r="H45" s="207">
        <f>($D45/($D$43/H$43))</f>
        <v>864</v>
      </c>
      <c r="I45" s="208">
        <f>I20-'System Curve'!AL45</f>
        <v>53.487534890620573</v>
      </c>
      <c r="J45" s="207">
        <f>($D45/($D$43/J$43))</f>
        <v>816</v>
      </c>
      <c r="K45" s="208">
        <f>K20-'System Curve'!AL50</f>
        <v>47.709326721270799</v>
      </c>
      <c r="L45" s="207">
        <f>($D45/($D$43/L$43))</f>
        <v>768</v>
      </c>
      <c r="M45" s="208">
        <f>M20-'System Curve'!AL55</f>
        <v>42.261327392770475</v>
      </c>
      <c r="N45" s="207">
        <f>($D45/($D$43/N$43))</f>
        <v>720</v>
      </c>
      <c r="O45" s="208">
        <f>O20-'System Curve'!AL60</f>
        <v>37.143535543279292</v>
      </c>
      <c r="P45" s="207">
        <f>($D45/($D$43/P$43))</f>
        <v>672</v>
      </c>
      <c r="Q45" s="208">
        <f>Q20-'System Curve'!AL65</f>
        <v>32.355949709214734</v>
      </c>
      <c r="R45" s="207">
        <f>($D45/($D$43/R$43))</f>
        <v>624</v>
      </c>
      <c r="S45" s="208">
        <f>S20-'System Curve'!AL70</f>
        <v>27.898568310036481</v>
      </c>
      <c r="T45" s="207">
        <f>($D45/($D$43/T$43))</f>
        <v>576</v>
      </c>
      <c r="U45" s="208">
        <f>U20-'System Curve'!AL75</f>
        <v>23.771389629442986</v>
      </c>
      <c r="V45" s="207">
        <f>($D45/($D$43/V$43))</f>
        <v>528</v>
      </c>
      <c r="W45" s="208">
        <f>W20-'System Curve'!AL80</f>
        <v>19.974411791773587</v>
      </c>
      <c r="X45" s="207">
        <f>($D45/($D$43/X$43))</f>
        <v>480</v>
      </c>
      <c r="Y45" s="208">
        <f>Y20-'System Curve'!AL85</f>
        <v>16.507632731860294</v>
      </c>
    </row>
    <row r="46" spans="2:25" x14ac:dyDescent="0.25">
      <c r="D46" s="180">
        <f t="shared" ref="D46:D49" si="12">D21</f>
        <v>1440</v>
      </c>
      <c r="E46" s="209">
        <f>E30-'System Curve'!AL36</f>
        <v>54.532720857093793</v>
      </c>
      <c r="F46" s="193">
        <f>($D46/($D$43/F$43))</f>
        <v>1368</v>
      </c>
      <c r="G46" s="173">
        <f>G21-'System Curve'!AL41</f>
        <v>49.215234813198009</v>
      </c>
      <c r="H46" s="172">
        <f>($D46/($D$43/H$43))</f>
        <v>1296</v>
      </c>
      <c r="I46" s="173">
        <f>I21-'System Curve'!AL46</f>
        <v>44.170493661138174</v>
      </c>
      <c r="J46" s="172">
        <f>($D46/($D$43/J$43))</f>
        <v>1224</v>
      </c>
      <c r="K46" s="173">
        <f>K21-'System Curve'!AL51</f>
        <v>39.398494873637269</v>
      </c>
      <c r="L46" s="172">
        <f>($D46/($D$43/L$43))</f>
        <v>1152</v>
      </c>
      <c r="M46" s="173">
        <f>M21-'System Curve'!AL56</f>
        <v>34.899235756352546</v>
      </c>
      <c r="N46" s="172">
        <f>($D46/($D$43/N$43))</f>
        <v>1080</v>
      </c>
      <c r="O46" s="173">
        <f>O21-'System Curve'!AL61</f>
        <v>30.672713425949617</v>
      </c>
      <c r="P46" s="172">
        <f>($D46/($D$43/P$43))</f>
        <v>1008</v>
      </c>
      <c r="Q46" s="173">
        <f>Q21-'System Curve'!AL66</f>
        <v>26.718924783681999</v>
      </c>
      <c r="R46" s="172">
        <f>($D46/($D$43/R$43))</f>
        <v>936</v>
      </c>
      <c r="S46" s="173">
        <f>S21-'System Curve'!AL71</f>
        <v>23.037866483176227</v>
      </c>
      <c r="T46" s="172">
        <f>($D46/($D$43/T$43))</f>
        <v>864</v>
      </c>
      <c r="U46" s="173">
        <f>U21-'System Curve'!AL76</f>
        <v>19.629534890620576</v>
      </c>
      <c r="V46" s="172">
        <f>($D46/($D$43/V$43))</f>
        <v>792</v>
      </c>
      <c r="W46" s="173">
        <f>W21-'System Curve'!AL81</f>
        <v>16.493926034802787</v>
      </c>
      <c r="X46" s="172">
        <f>($D46/($D$43/X$43))</f>
        <v>720</v>
      </c>
      <c r="Y46" s="173">
        <f>Y21-'System Curve'!AL86</f>
        <v>13.631035543279292</v>
      </c>
    </row>
    <row r="47" spans="2:25" x14ac:dyDescent="0.25">
      <c r="D47" s="180">
        <f t="shared" si="12"/>
        <v>1920</v>
      </c>
      <c r="E47" s="209">
        <f>E31-'System Curve'!AL37</f>
        <v>42.152937928727553</v>
      </c>
      <c r="F47" s="193">
        <f>($D47/($D$43/F$43))</f>
        <v>1824</v>
      </c>
      <c r="G47" s="173">
        <f>G22-'System Curve'!AL42</f>
        <v>38.042097217716631</v>
      </c>
      <c r="H47" s="172">
        <f>($D47/($D$43/H$43))</f>
        <v>1728</v>
      </c>
      <c r="I47" s="173">
        <f>I22-'System Curve'!AL47</f>
        <v>34.142159604192017</v>
      </c>
      <c r="J47" s="172">
        <f>($D47/($D$43/J$43))</f>
        <v>1632</v>
      </c>
      <c r="K47" s="173">
        <f>K22-'System Curve'!AL52</f>
        <v>30.453120784973734</v>
      </c>
      <c r="L47" s="172">
        <f>($D47/($D$43/L$43))</f>
        <v>1536</v>
      </c>
      <c r="M47" s="173">
        <f>M22-'System Curve'!AL57</f>
        <v>26.974976172419922</v>
      </c>
      <c r="N47" s="172">
        <f>($D47/($D$43/N$43))</f>
        <v>1440</v>
      </c>
      <c r="O47" s="173">
        <f>O22-'System Curve'!AL62</f>
        <v>23.707720857093793</v>
      </c>
      <c r="P47" s="172">
        <f>($D47/($D$43/P$43))</f>
        <v>1344</v>
      </c>
      <c r="Q47" s="173">
        <f>Q22-'System Curve'!AL67</f>
        <v>20.651349562777618</v>
      </c>
      <c r="R47" s="172">
        <f>($D47/($D$43/R$43))</f>
        <v>1248</v>
      </c>
      <c r="S47" s="173">
        <f>S22-'System Curve'!AL72</f>
        <v>17.805856591620604</v>
      </c>
      <c r="T47" s="172">
        <f>($D47/($D$43/T$43))</f>
        <v>1152</v>
      </c>
      <c r="U47" s="173">
        <f>U22-'System Curve'!AL77</f>
        <v>15.171235756352543</v>
      </c>
      <c r="V47" s="172">
        <f>($D47/($D$43/V$43))</f>
        <v>1056</v>
      </c>
      <c r="W47" s="173">
        <f>W22-'System Curve'!AL82</f>
        <v>12.747480295213226</v>
      </c>
      <c r="X47" s="172">
        <f>($D47/($D$43/X$43))</f>
        <v>960</v>
      </c>
      <c r="Y47" s="173">
        <f>Y22-'System Curve'!AL87</f>
        <v>10.534582763268283</v>
      </c>
    </row>
    <row r="48" spans="2:25" x14ac:dyDescent="0.25">
      <c r="D48" s="180">
        <f t="shared" si="12"/>
        <v>2400</v>
      </c>
      <c r="E48" s="209">
        <f>E32-'System Curve'!AL38</f>
        <v>29.495822217782589</v>
      </c>
      <c r="F48" s="193">
        <f>($D48/($D$43/F$43))</f>
        <v>2280</v>
      </c>
      <c r="G48" s="173">
        <f>G23-'System Curve'!AL43</f>
        <v>26.618575373592932</v>
      </c>
      <c r="H48" s="172">
        <f>($D48/($D$43/H$43))</f>
        <v>2160</v>
      </c>
      <c r="I48" s="173">
        <f>I23-'System Curve'!AL48</f>
        <v>23.889016783920887</v>
      </c>
      <c r="J48" s="172">
        <f>($D48/($D$43/J$43))</f>
        <v>2040</v>
      </c>
      <c r="K48" s="173">
        <f>K23-'System Curve'!AL53</f>
        <v>21.307139946376118</v>
      </c>
      <c r="L48" s="172">
        <f>($D48/($D$43/L$43))</f>
        <v>1920</v>
      </c>
      <c r="M48" s="173">
        <f>M23-'System Curve'!AL58</f>
        <v>18.872937928727552</v>
      </c>
      <c r="N48" s="172">
        <f>($D48/($D$43/N$43))</f>
        <v>1800</v>
      </c>
      <c r="O48" s="173">
        <f>O23-'System Curve'!AL63</f>
        <v>16.586403312490642</v>
      </c>
      <c r="P48" s="172">
        <f>($D48/($D$43/P$43))</f>
        <v>1680</v>
      </c>
      <c r="Q48" s="173">
        <f>Q23-'System Curve'!AL68</f>
        <v>14.447528124950509</v>
      </c>
      <c r="R48" s="172">
        <f>($D48/($D$43/R$43))</f>
        <v>1560</v>
      </c>
      <c r="S48" s="173">
        <f>S23-'System Curve'!AL73</f>
        <v>12.456303756276755</v>
      </c>
      <c r="T48" s="172">
        <f>($D48/($D$43/T$43))</f>
        <v>1440</v>
      </c>
      <c r="U48" s="173">
        <f>U23-'System Curve'!AL78</f>
        <v>10.612720857093791</v>
      </c>
      <c r="V48" s="172">
        <f>($D48/($D$43/V$43))</f>
        <v>1320</v>
      </c>
      <c r="W48" s="173">
        <f>W23-'System Curve'!AL83</f>
        <v>8.9167692099335483</v>
      </c>
      <c r="X48" s="172">
        <f>($D48/($D$43/X$43))</f>
        <v>1200</v>
      </c>
      <c r="Y48" s="173">
        <f>Y23-'System Curve'!AL88</f>
        <v>7.3684375650064835</v>
      </c>
    </row>
    <row r="49" spans="3:25" ht="15.75" thickBot="1" x14ac:dyDescent="0.3">
      <c r="D49" s="182">
        <f t="shared" si="12"/>
        <v>2880</v>
      </c>
      <c r="E49" s="214">
        <f>E33-'System Curve'!AL39</f>
        <v>14.561809599985269</v>
      </c>
      <c r="F49" s="94">
        <f>($D49/($D$43/F$43))</f>
        <v>2736</v>
      </c>
      <c r="G49" s="177">
        <f>G24-'System Curve'!AL44</f>
        <v>13.140065696990227</v>
      </c>
      <c r="H49" s="176">
        <f>($D49/($D$43/H$43))</f>
        <v>2592</v>
      </c>
      <c r="I49" s="177">
        <f>I24-'System Curve'!AL49</f>
        <v>11.791423883765063</v>
      </c>
      <c r="J49" s="176">
        <f>($D49/($D$43/J$43))</f>
        <v>2448</v>
      </c>
      <c r="K49" s="177">
        <f>K24-'System Curve'!AL54</f>
        <v>10.515875049471392</v>
      </c>
      <c r="L49" s="176">
        <f>($D49/($D$43/L$43))</f>
        <v>2304</v>
      </c>
      <c r="M49" s="177">
        <f>M24-'System Curve'!AL59</f>
        <v>9.3134094809985886</v>
      </c>
      <c r="N49" s="176">
        <f>($D49/($D$43/N$43))</f>
        <v>2160</v>
      </c>
      <c r="O49" s="177">
        <f>O24-'System Curve'!AL64</f>
        <v>8.1840167839208942</v>
      </c>
      <c r="P49" s="176">
        <f>($D49/($D$43/P$43))</f>
        <v>2016</v>
      </c>
      <c r="Q49" s="177">
        <f>Q24-'System Curve'!AL69</f>
        <v>7.1276857872515134</v>
      </c>
      <c r="R49" s="176">
        <f>($D49/($D$43/R$43))</f>
        <v>1872</v>
      </c>
      <c r="S49" s="177">
        <f>S24-'System Curve'!AL74</f>
        <v>6.1444044273078671</v>
      </c>
      <c r="T49" s="176">
        <f>($D49/($D$43/T$43))</f>
        <v>1728</v>
      </c>
      <c r="U49" s="177">
        <f>U24-'System Curve'!AL79</f>
        <v>5.2341596041920173</v>
      </c>
      <c r="V49" s="176">
        <f>($D49/($D$43/V$43))</f>
        <v>1584</v>
      </c>
      <c r="W49" s="177">
        <f>W24-'System Curve'!AL84</f>
        <v>4.3969370016763518</v>
      </c>
      <c r="X49" s="176">
        <f>($D49/($D$43/X$43))</f>
        <v>1440</v>
      </c>
      <c r="Y49" s="177">
        <f>Y24-'System Curve'!AL89</f>
        <v>3.6327208570937932</v>
      </c>
    </row>
    <row r="50" spans="3:25" ht="15.75" thickBot="1" x14ac:dyDescent="0.3"/>
    <row r="51" spans="3:25" x14ac:dyDescent="0.25">
      <c r="C51" t="s">
        <v>197</v>
      </c>
      <c r="D51" s="168">
        <v>1</v>
      </c>
      <c r="E51" s="169" t="s">
        <v>30</v>
      </c>
      <c r="F51" s="168">
        <v>0.95</v>
      </c>
      <c r="G51" s="169" t="s">
        <v>30</v>
      </c>
      <c r="H51" s="168">
        <v>0.9</v>
      </c>
      <c r="I51" s="169" t="s">
        <v>30</v>
      </c>
      <c r="J51" s="168">
        <v>0.85</v>
      </c>
      <c r="K51" s="169" t="s">
        <v>30</v>
      </c>
      <c r="L51" s="168">
        <v>0.8</v>
      </c>
      <c r="M51" s="169" t="s">
        <v>30</v>
      </c>
      <c r="N51" s="168">
        <v>0.75</v>
      </c>
      <c r="O51" s="169" t="s">
        <v>30</v>
      </c>
      <c r="P51" s="168">
        <v>0.7</v>
      </c>
      <c r="Q51" s="169" t="s">
        <v>30</v>
      </c>
      <c r="R51" s="168">
        <v>0.65</v>
      </c>
      <c r="S51" s="169" t="s">
        <v>30</v>
      </c>
      <c r="T51" s="168">
        <v>0.6</v>
      </c>
      <c r="U51" s="169" t="s">
        <v>30</v>
      </c>
      <c r="V51" s="168">
        <v>0.55000000000000004</v>
      </c>
      <c r="W51" s="169" t="s">
        <v>30</v>
      </c>
      <c r="X51" s="168">
        <v>0.5</v>
      </c>
      <c r="Y51" s="169" t="s">
        <v>30</v>
      </c>
    </row>
    <row r="52" spans="3:25" x14ac:dyDescent="0.25">
      <c r="D52" s="90">
        <f>$D$7</f>
        <v>1900</v>
      </c>
      <c r="E52" s="89" t="s">
        <v>182</v>
      </c>
      <c r="F52" s="90">
        <f>$D$7*F51</f>
        <v>1805</v>
      </c>
      <c r="G52" s="89" t="s">
        <v>182</v>
      </c>
      <c r="H52" s="90">
        <f>$D$7*H51</f>
        <v>1710</v>
      </c>
      <c r="I52" s="89" t="s">
        <v>182</v>
      </c>
      <c r="J52" s="90">
        <f>$D$7*J51</f>
        <v>1615</v>
      </c>
      <c r="K52" s="89" t="s">
        <v>182</v>
      </c>
      <c r="L52" s="90">
        <f>$D$7*L51</f>
        <v>1520</v>
      </c>
      <c r="M52" s="89" t="s">
        <v>182</v>
      </c>
      <c r="N52" s="90">
        <f>$D$7*N51</f>
        <v>1425</v>
      </c>
      <c r="O52" s="89" t="s">
        <v>182</v>
      </c>
      <c r="P52" s="90">
        <f>$D$7*P51</f>
        <v>1330</v>
      </c>
      <c r="Q52" s="89" t="s">
        <v>182</v>
      </c>
      <c r="R52" s="90">
        <f>$D$7*R51</f>
        <v>1235</v>
      </c>
      <c r="S52" s="89" t="s">
        <v>182</v>
      </c>
      <c r="T52" s="90">
        <f>$D$7*T51</f>
        <v>1140</v>
      </c>
      <c r="U52" s="89" t="s">
        <v>182</v>
      </c>
      <c r="V52" s="90">
        <f>$D$7*V51</f>
        <v>1045</v>
      </c>
      <c r="W52" s="89" t="s">
        <v>182</v>
      </c>
      <c r="X52" s="90">
        <f>$D$7*X51</f>
        <v>950</v>
      </c>
      <c r="Y52" s="89" t="s">
        <v>182</v>
      </c>
    </row>
    <row r="53" spans="3:25" ht="15.75" thickBot="1" x14ac:dyDescent="0.3">
      <c r="D53" s="91" t="s">
        <v>82</v>
      </c>
      <c r="E53" s="92" t="s">
        <v>130</v>
      </c>
      <c r="F53" s="91" t="s">
        <v>82</v>
      </c>
      <c r="G53" s="92" t="s">
        <v>130</v>
      </c>
      <c r="H53" s="91" t="s">
        <v>82</v>
      </c>
      <c r="I53" s="92" t="s">
        <v>130</v>
      </c>
      <c r="J53" s="91" t="s">
        <v>82</v>
      </c>
      <c r="K53" s="92" t="s">
        <v>130</v>
      </c>
      <c r="L53" s="91" t="s">
        <v>82</v>
      </c>
      <c r="M53" s="92" t="s">
        <v>130</v>
      </c>
      <c r="N53" s="91" t="s">
        <v>82</v>
      </c>
      <c r="O53" s="92" t="s">
        <v>130</v>
      </c>
      <c r="P53" s="91" t="s">
        <v>82</v>
      </c>
      <c r="Q53" s="92" t="s">
        <v>130</v>
      </c>
      <c r="R53" s="91" t="s">
        <v>82</v>
      </c>
      <c r="S53" s="92" t="s">
        <v>130</v>
      </c>
      <c r="T53" s="91" t="s">
        <v>82</v>
      </c>
      <c r="U53" s="92" t="s">
        <v>130</v>
      </c>
      <c r="V53" s="91" t="s">
        <v>82</v>
      </c>
      <c r="W53" s="92" t="s">
        <v>130</v>
      </c>
      <c r="X53" s="91" t="s">
        <v>82</v>
      </c>
      <c r="Y53" s="92" t="s">
        <v>130</v>
      </c>
    </row>
    <row r="54" spans="3:25" x14ac:dyDescent="0.25">
      <c r="D54" s="184">
        <f>D45*2</f>
        <v>1920</v>
      </c>
      <c r="E54" s="185">
        <v>67</v>
      </c>
      <c r="F54" s="207">
        <f>($D54/($D$43/F$43))</f>
        <v>1824</v>
      </c>
      <c r="G54" s="208">
        <f>G45</f>
        <v>59.595953173396651</v>
      </c>
      <c r="H54" s="207">
        <f>($D54/($D$43/H$43))</f>
        <v>1728</v>
      </c>
      <c r="I54" s="208">
        <f>I45</f>
        <v>53.487534890620573</v>
      </c>
      <c r="J54" s="207">
        <f>($D54/($D$43/J$43))</f>
        <v>1632</v>
      </c>
      <c r="K54" s="208">
        <f>K45</f>
        <v>47.709326721270799</v>
      </c>
      <c r="L54" s="207">
        <f>($D54/($D$43/L$43))</f>
        <v>1536</v>
      </c>
      <c r="M54" s="208">
        <f>M45</f>
        <v>42.261327392770475</v>
      </c>
      <c r="N54" s="207">
        <f>($D54/($D$43/N$43))</f>
        <v>1440</v>
      </c>
      <c r="O54" s="208">
        <f>O45</f>
        <v>37.143535543279292</v>
      </c>
      <c r="P54" s="207">
        <f>($D54/($D$43/P$43))</f>
        <v>1344</v>
      </c>
      <c r="Q54" s="208">
        <f>Q45</f>
        <v>32.355949709214734</v>
      </c>
      <c r="R54" s="207">
        <f>($D54/($D$43/R$43))</f>
        <v>1248</v>
      </c>
      <c r="S54" s="208">
        <f>S45</f>
        <v>27.898568310036481</v>
      </c>
      <c r="T54" s="207">
        <f>($D54/($D$43/T$43))</f>
        <v>1152</v>
      </c>
      <c r="U54" s="208">
        <f>U45</f>
        <v>23.771389629442986</v>
      </c>
      <c r="V54" s="207">
        <f>($D54/($D$43/V$43))</f>
        <v>1056</v>
      </c>
      <c r="W54" s="208">
        <f>W45</f>
        <v>19.974411791773587</v>
      </c>
      <c r="X54" s="207">
        <f>($D54/($D$43/X$43))</f>
        <v>960</v>
      </c>
      <c r="Y54" s="208">
        <f>Y45</f>
        <v>16.507632731860294</v>
      </c>
    </row>
    <row r="55" spans="3:25" x14ac:dyDescent="0.25">
      <c r="D55" s="180">
        <f t="shared" ref="D55:D58" si="13">D46*2</f>
        <v>2880</v>
      </c>
      <c r="E55" s="181">
        <v>56.7</v>
      </c>
      <c r="F55" s="172">
        <f>($D55/($D$43/F$43))</f>
        <v>2736</v>
      </c>
      <c r="G55" s="173">
        <f t="shared" ref="G55:G58" si="14">G46</f>
        <v>49.215234813198009</v>
      </c>
      <c r="H55" s="172">
        <f>($D55/($D$43/H$43))</f>
        <v>2592</v>
      </c>
      <c r="I55" s="173">
        <f t="shared" ref="I55:I58" si="15">I46</f>
        <v>44.170493661138174</v>
      </c>
      <c r="J55" s="172">
        <f>($D55/($D$43/J$43))</f>
        <v>2448</v>
      </c>
      <c r="K55" s="173">
        <f t="shared" ref="K55:K58" si="16">K46</f>
        <v>39.398494873637269</v>
      </c>
      <c r="L55" s="172">
        <f>($D55/($D$43/L$43))</f>
        <v>2304</v>
      </c>
      <c r="M55" s="173">
        <f t="shared" ref="M55:M58" si="17">M46</f>
        <v>34.899235756352546</v>
      </c>
      <c r="N55" s="172">
        <f>($D55/($D$43/N$43))</f>
        <v>2160</v>
      </c>
      <c r="O55" s="173">
        <f t="shared" ref="O55:O58" si="18">O46</f>
        <v>30.672713425949617</v>
      </c>
      <c r="P55" s="172">
        <f>($D55/($D$43/P$43))</f>
        <v>2016</v>
      </c>
      <c r="Q55" s="173">
        <f t="shared" ref="Q55:Q58" si="19">Q46</f>
        <v>26.718924783681999</v>
      </c>
      <c r="R55" s="172">
        <f>($D55/($D$43/R$43))</f>
        <v>1872</v>
      </c>
      <c r="S55" s="173">
        <f t="shared" ref="S55:S58" si="20">S46</f>
        <v>23.037866483176227</v>
      </c>
      <c r="T55" s="172">
        <f>($D55/($D$43/T$43))</f>
        <v>1728</v>
      </c>
      <c r="U55" s="173">
        <f t="shared" ref="U55:U58" si="21">U46</f>
        <v>19.629534890620576</v>
      </c>
      <c r="V55" s="172">
        <f>($D55/($D$43/V$43))</f>
        <v>1584</v>
      </c>
      <c r="W55" s="173">
        <f t="shared" ref="W55:W58" si="22">W46</f>
        <v>16.493926034802787</v>
      </c>
      <c r="X55" s="172">
        <f>($D55/($D$43/X$43))</f>
        <v>1440</v>
      </c>
      <c r="Y55" s="173">
        <f t="shared" ref="Y55:Y58" si="23">Y46</f>
        <v>13.631035543279292</v>
      </c>
    </row>
    <row r="56" spans="3:25" x14ac:dyDescent="0.25">
      <c r="D56" s="180">
        <f t="shared" si="13"/>
        <v>3840</v>
      </c>
      <c r="E56" s="181">
        <v>46</v>
      </c>
      <c r="F56" s="172">
        <f>($D56/($D$43/F$43))</f>
        <v>3648</v>
      </c>
      <c r="G56" s="173">
        <f t="shared" si="14"/>
        <v>38.042097217716631</v>
      </c>
      <c r="H56" s="172">
        <f>($D56/($D$43/H$43))</f>
        <v>3456</v>
      </c>
      <c r="I56" s="173">
        <f t="shared" si="15"/>
        <v>34.142159604192017</v>
      </c>
      <c r="J56" s="172">
        <f>($D56/($D$43/J$43))</f>
        <v>3264</v>
      </c>
      <c r="K56" s="173">
        <f t="shared" si="16"/>
        <v>30.453120784973734</v>
      </c>
      <c r="L56" s="172">
        <f>($D56/($D$43/L$43))</f>
        <v>3072</v>
      </c>
      <c r="M56" s="173">
        <f t="shared" si="17"/>
        <v>26.974976172419922</v>
      </c>
      <c r="N56" s="172">
        <f>($D56/($D$43/N$43))</f>
        <v>2880</v>
      </c>
      <c r="O56" s="173">
        <f t="shared" si="18"/>
        <v>23.707720857093793</v>
      </c>
      <c r="P56" s="172">
        <f>($D56/($D$43/P$43))</f>
        <v>2688</v>
      </c>
      <c r="Q56" s="173">
        <f t="shared" si="19"/>
        <v>20.651349562777618</v>
      </c>
      <c r="R56" s="172">
        <f>($D56/($D$43/R$43))</f>
        <v>2496</v>
      </c>
      <c r="S56" s="173">
        <f t="shared" si="20"/>
        <v>17.805856591620604</v>
      </c>
      <c r="T56" s="172">
        <f>($D56/($D$43/T$43))</f>
        <v>2304</v>
      </c>
      <c r="U56" s="173">
        <f t="shared" si="21"/>
        <v>15.171235756352543</v>
      </c>
      <c r="V56" s="172">
        <f>($D56/($D$43/V$43))</f>
        <v>2112</v>
      </c>
      <c r="W56" s="173">
        <f t="shared" si="22"/>
        <v>12.747480295213226</v>
      </c>
      <c r="X56" s="172">
        <f>($D56/($D$43/X$43))</f>
        <v>1920</v>
      </c>
      <c r="Y56" s="173">
        <f t="shared" si="23"/>
        <v>10.534582763268283</v>
      </c>
    </row>
    <row r="57" spans="3:25" x14ac:dyDescent="0.25">
      <c r="D57" s="180">
        <f t="shared" si="13"/>
        <v>4800</v>
      </c>
      <c r="E57" s="181">
        <v>35.5</v>
      </c>
      <c r="F57" s="172">
        <f>($D57/($D$43/F$43))</f>
        <v>4560</v>
      </c>
      <c r="G57" s="173">
        <f t="shared" si="14"/>
        <v>26.618575373592932</v>
      </c>
      <c r="H57" s="172">
        <f>($D57/($D$43/H$43))</f>
        <v>4320</v>
      </c>
      <c r="I57" s="173">
        <f t="shared" si="15"/>
        <v>23.889016783920887</v>
      </c>
      <c r="J57" s="172">
        <f>($D57/($D$43/J$43))</f>
        <v>4080</v>
      </c>
      <c r="K57" s="173">
        <f t="shared" si="16"/>
        <v>21.307139946376118</v>
      </c>
      <c r="L57" s="172">
        <f>($D57/($D$43/L$43))</f>
        <v>3840</v>
      </c>
      <c r="M57" s="173">
        <f t="shared" si="17"/>
        <v>18.872937928727552</v>
      </c>
      <c r="N57" s="172">
        <f>($D57/($D$43/N$43))</f>
        <v>3600</v>
      </c>
      <c r="O57" s="173">
        <f t="shared" si="18"/>
        <v>16.586403312490642</v>
      </c>
      <c r="P57" s="172">
        <f>($D57/($D$43/P$43))</f>
        <v>3360</v>
      </c>
      <c r="Q57" s="173">
        <f t="shared" si="19"/>
        <v>14.447528124950509</v>
      </c>
      <c r="R57" s="172">
        <f>($D57/($D$43/R$43))</f>
        <v>3120</v>
      </c>
      <c r="S57" s="173">
        <f t="shared" si="20"/>
        <v>12.456303756276755</v>
      </c>
      <c r="T57" s="172">
        <f>($D57/($D$43/T$43))</f>
        <v>2880</v>
      </c>
      <c r="U57" s="173">
        <f t="shared" si="21"/>
        <v>10.612720857093791</v>
      </c>
      <c r="V57" s="172">
        <f>($D57/($D$43/V$43))</f>
        <v>2640</v>
      </c>
      <c r="W57" s="173">
        <f t="shared" si="22"/>
        <v>8.9167692099335483</v>
      </c>
      <c r="X57" s="172">
        <f>($D57/($D$43/X$43))</f>
        <v>2400</v>
      </c>
      <c r="Y57" s="173">
        <f t="shared" si="23"/>
        <v>7.3684375650064835</v>
      </c>
    </row>
    <row r="58" spans="3:25" ht="15.75" thickBot="1" x14ac:dyDescent="0.3">
      <c r="D58" s="182">
        <f t="shared" si="13"/>
        <v>5760</v>
      </c>
      <c r="E58" s="183">
        <v>23.2</v>
      </c>
      <c r="F58" s="176">
        <f>($D58/($D$43/F$43))</f>
        <v>5472</v>
      </c>
      <c r="G58" s="177">
        <f t="shared" si="14"/>
        <v>13.140065696990227</v>
      </c>
      <c r="H58" s="176">
        <f>($D58/($D$43/H$43))</f>
        <v>5184</v>
      </c>
      <c r="I58" s="177">
        <f t="shared" si="15"/>
        <v>11.791423883765063</v>
      </c>
      <c r="J58" s="176">
        <f>($D58/($D$43/J$43))</f>
        <v>4896</v>
      </c>
      <c r="K58" s="177">
        <f t="shared" si="16"/>
        <v>10.515875049471392</v>
      </c>
      <c r="L58" s="176">
        <f>($D58/($D$43/L$43))</f>
        <v>4608</v>
      </c>
      <c r="M58" s="177">
        <f t="shared" si="17"/>
        <v>9.3134094809985886</v>
      </c>
      <c r="N58" s="176">
        <f>($D58/($D$43/N$43))</f>
        <v>4320</v>
      </c>
      <c r="O58" s="177">
        <f t="shared" si="18"/>
        <v>8.1840167839208942</v>
      </c>
      <c r="P58" s="176">
        <f>($D58/($D$43/P$43))</f>
        <v>4032</v>
      </c>
      <c r="Q58" s="177">
        <f t="shared" si="19"/>
        <v>7.1276857872515134</v>
      </c>
      <c r="R58" s="176">
        <f>($D58/($D$43/R$43))</f>
        <v>3744</v>
      </c>
      <c r="S58" s="177">
        <f t="shared" si="20"/>
        <v>6.1444044273078671</v>
      </c>
      <c r="T58" s="176">
        <f>($D58/($D$43/T$43))</f>
        <v>3456</v>
      </c>
      <c r="U58" s="177">
        <f t="shared" si="21"/>
        <v>5.2341596041920173</v>
      </c>
      <c r="V58" s="176">
        <f>($D58/($D$43/V$43))</f>
        <v>3168</v>
      </c>
      <c r="W58" s="177">
        <f t="shared" si="22"/>
        <v>4.3969370016763518</v>
      </c>
      <c r="X58" s="176">
        <f>($D58/($D$43/X$43))</f>
        <v>2880</v>
      </c>
      <c r="Y58" s="177">
        <f t="shared" si="23"/>
        <v>3.6327208570937932</v>
      </c>
    </row>
    <row r="71" spans="4:10" x14ac:dyDescent="0.25">
      <c r="D71" t="s">
        <v>185</v>
      </c>
      <c r="F71" t="s">
        <v>186</v>
      </c>
      <c r="I71" t="s">
        <v>187</v>
      </c>
    </row>
    <row r="72" spans="4:10" x14ac:dyDescent="0.25">
      <c r="D72" t="s">
        <v>184</v>
      </c>
      <c r="E72" t="s">
        <v>183</v>
      </c>
      <c r="F72" t="s">
        <v>184</v>
      </c>
      <c r="G72" t="s">
        <v>183</v>
      </c>
    </row>
    <row r="73" spans="4:10" x14ac:dyDescent="0.25">
      <c r="D73">
        <f>D45</f>
        <v>960</v>
      </c>
      <c r="E73">
        <f>E45</f>
        <v>66.03458276326829</v>
      </c>
      <c r="F73">
        <f>D49</f>
        <v>2880</v>
      </c>
      <c r="G73">
        <f>E49</f>
        <v>14.561809599985269</v>
      </c>
      <c r="I73">
        <f>D43</f>
        <v>1900</v>
      </c>
      <c r="J73" t="str">
        <f>CONCATENATE(I73," rpm")</f>
        <v>1900 rpm</v>
      </c>
    </row>
    <row r="74" spans="4:10" x14ac:dyDescent="0.25">
      <c r="D74">
        <f>F45</f>
        <v>912</v>
      </c>
      <c r="E74" s="167">
        <f>G45</f>
        <v>59.595953173396651</v>
      </c>
      <c r="F74" s="167">
        <f>F49</f>
        <v>2736</v>
      </c>
      <c r="G74" s="167">
        <f>G49</f>
        <v>13.140065696990227</v>
      </c>
      <c r="I74">
        <f>F43</f>
        <v>1805</v>
      </c>
      <c r="J74" t="str">
        <f t="shared" ref="J74:J83" si="24">CONCATENATE(I74," rpm")</f>
        <v>1805 rpm</v>
      </c>
    </row>
    <row r="75" spans="4:10" x14ac:dyDescent="0.25">
      <c r="D75">
        <f>H45</f>
        <v>864</v>
      </c>
      <c r="E75" s="167">
        <f>I45</f>
        <v>53.487534890620573</v>
      </c>
      <c r="F75" s="167">
        <f>H49</f>
        <v>2592</v>
      </c>
      <c r="G75" s="167">
        <f>I49</f>
        <v>11.791423883765063</v>
      </c>
      <c r="I75">
        <f>H43</f>
        <v>1710</v>
      </c>
      <c r="J75" t="str">
        <f t="shared" si="24"/>
        <v>1710 rpm</v>
      </c>
    </row>
    <row r="76" spans="4:10" x14ac:dyDescent="0.25">
      <c r="D76">
        <f>J45</f>
        <v>816</v>
      </c>
      <c r="E76" s="167">
        <f>K45</f>
        <v>47.709326721270799</v>
      </c>
      <c r="F76" s="167">
        <f>J49</f>
        <v>2448</v>
      </c>
      <c r="G76" s="167">
        <f>K49</f>
        <v>10.515875049471392</v>
      </c>
      <c r="I76">
        <f>J43</f>
        <v>1615</v>
      </c>
      <c r="J76" t="str">
        <f t="shared" si="24"/>
        <v>1615 rpm</v>
      </c>
    </row>
    <row r="77" spans="4:10" x14ac:dyDescent="0.25">
      <c r="D77">
        <f>L45</f>
        <v>768</v>
      </c>
      <c r="E77" s="167">
        <f>M45</f>
        <v>42.261327392770475</v>
      </c>
      <c r="F77" s="167">
        <f>L49</f>
        <v>2304</v>
      </c>
      <c r="G77" s="167">
        <f>M49</f>
        <v>9.3134094809985886</v>
      </c>
      <c r="I77">
        <f>L43</f>
        <v>1520</v>
      </c>
      <c r="J77" t="str">
        <f t="shared" si="24"/>
        <v>1520 rpm</v>
      </c>
    </row>
    <row r="78" spans="4:10" x14ac:dyDescent="0.25">
      <c r="D78">
        <f>N45</f>
        <v>720</v>
      </c>
      <c r="E78" s="167">
        <f>O45</f>
        <v>37.143535543279292</v>
      </c>
      <c r="F78">
        <f>N49</f>
        <v>2160</v>
      </c>
      <c r="G78" s="167">
        <f>O49</f>
        <v>8.1840167839208942</v>
      </c>
      <c r="I78">
        <f>N43</f>
        <v>1425</v>
      </c>
      <c r="J78" t="str">
        <f t="shared" si="24"/>
        <v>1425 rpm</v>
      </c>
    </row>
    <row r="79" spans="4:10" x14ac:dyDescent="0.25">
      <c r="D79">
        <f>P45</f>
        <v>672</v>
      </c>
      <c r="E79" s="167">
        <f>Q45</f>
        <v>32.355949709214734</v>
      </c>
      <c r="F79">
        <f>P49</f>
        <v>2016</v>
      </c>
      <c r="G79" s="167">
        <f>Q49</f>
        <v>7.1276857872515134</v>
      </c>
      <c r="I79">
        <f>P43</f>
        <v>1330</v>
      </c>
      <c r="J79" t="str">
        <f t="shared" si="24"/>
        <v>1330 rpm</v>
      </c>
    </row>
    <row r="80" spans="4:10" x14ac:dyDescent="0.25">
      <c r="D80">
        <f>R45</f>
        <v>624</v>
      </c>
      <c r="E80" s="167">
        <f>S45</f>
        <v>27.898568310036481</v>
      </c>
      <c r="F80">
        <f>R49</f>
        <v>1872</v>
      </c>
      <c r="G80" s="167">
        <f>S49</f>
        <v>6.1444044273078671</v>
      </c>
      <c r="I80">
        <f>R43</f>
        <v>1235</v>
      </c>
      <c r="J80" t="str">
        <f t="shared" si="24"/>
        <v>1235 rpm</v>
      </c>
    </row>
    <row r="81" spans="4:10" x14ac:dyDescent="0.25">
      <c r="D81">
        <f>T45</f>
        <v>576</v>
      </c>
      <c r="E81" s="167">
        <f>U45</f>
        <v>23.771389629442986</v>
      </c>
      <c r="F81">
        <f>T49</f>
        <v>1728</v>
      </c>
      <c r="G81" s="167">
        <f>U49</f>
        <v>5.2341596041920173</v>
      </c>
      <c r="I81">
        <f>T43</f>
        <v>1140</v>
      </c>
      <c r="J81" t="str">
        <f t="shared" si="24"/>
        <v>1140 rpm</v>
      </c>
    </row>
    <row r="82" spans="4:10" x14ac:dyDescent="0.25">
      <c r="D82">
        <f>V45</f>
        <v>528</v>
      </c>
      <c r="E82" s="167">
        <f>W45</f>
        <v>19.974411791773587</v>
      </c>
      <c r="F82">
        <f>V49</f>
        <v>1584</v>
      </c>
      <c r="G82" s="167">
        <f>W49</f>
        <v>4.3969370016763518</v>
      </c>
      <c r="I82">
        <f>V43</f>
        <v>1045</v>
      </c>
      <c r="J82" t="str">
        <f t="shared" si="24"/>
        <v>1045 rpm</v>
      </c>
    </row>
    <row r="83" spans="4:10" x14ac:dyDescent="0.25">
      <c r="D83">
        <f>X45</f>
        <v>480</v>
      </c>
      <c r="E83" s="167">
        <f>Y45</f>
        <v>16.507632731860294</v>
      </c>
      <c r="F83">
        <f>X49</f>
        <v>1440</v>
      </c>
      <c r="G83" s="167">
        <f>Y49</f>
        <v>3.6327208570937932</v>
      </c>
      <c r="I83">
        <f>X43</f>
        <v>950</v>
      </c>
      <c r="J83" t="str">
        <f t="shared" si="24"/>
        <v>950 rpm</v>
      </c>
    </row>
  </sheetData>
  <mergeCells count="2">
    <mergeCell ref="D41:E41"/>
    <mergeCell ref="D16:E16"/>
  </mergeCells>
  <conditionalFormatting sqref="F45:F49 H45:H49 J45:J49 L45:L49 N45:N49 P45:P49 R45:R49 T45:T49 V45:V49 X45:X49 H54:H58 J54:J58 L54:L58 N54:N58 P54:P58 R54:R58 T54:T58 V54:V58 X54:X58">
    <cfRule type="cellIs" dxfId="14" priority="6" operator="lessThan">
      <formula>$D$10</formula>
    </cfRule>
  </conditionalFormatting>
  <conditionalFormatting sqref="F54:F58">
    <cfRule type="cellIs" dxfId="13" priority="5" operator="lessThan">
      <formula>$D$10</formula>
    </cfRule>
  </conditionalFormatting>
  <conditionalFormatting sqref="F54:F58 H54:H58 J54:J58 N54:N58 L54:L58 P54:P58 R54:R58 T54:T58 V54:V58 X54:X58">
    <cfRule type="cellIs" dxfId="12" priority="4" operator="lessThan">
      <formula>$D$10*2</formula>
    </cfRule>
  </conditionalFormatting>
  <conditionalFormatting sqref="F29:F33 H29:H33 J29:J33 N29:N33 L29:L33 P29:P33 R29:R33 T29:T33 V29:V33 X29:X33">
    <cfRule type="cellIs" dxfId="11" priority="1" operator="lessThan">
      <formula>$D$10*2</formula>
    </cfRule>
  </conditionalFormatting>
  <conditionalFormatting sqref="F20:F24 H20:H24 J20:J24 L20:L24 N20:N24 P20:P24 R20:R24 T20:T24 V20:V24 X20:X24 H29:H33 J29:J33 L29:L33 N29:N33 P29:P33 R29:R33 T29:T33 V29:V33 X29:X33">
    <cfRule type="cellIs" dxfId="10" priority="3" operator="lessThan">
      <formula>$D$10</formula>
    </cfRule>
  </conditionalFormatting>
  <conditionalFormatting sqref="F29:F33">
    <cfRule type="cellIs" dxfId="9" priority="2" operator="lessThan">
      <formula>$D$10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/>
  </sheetPr>
  <dimension ref="A1:Y1004"/>
  <sheetViews>
    <sheetView workbookViewId="0">
      <selection activeCell="L29" sqref="L29"/>
    </sheetView>
  </sheetViews>
  <sheetFormatPr defaultRowHeight="15" x14ac:dyDescent="0.25"/>
  <cols>
    <col min="1" max="2" width="9.140625" style="1"/>
    <col min="3" max="3" width="15.85546875" style="1" customWidth="1"/>
    <col min="4" max="4" width="14.28515625" style="1" customWidth="1"/>
    <col min="5" max="5" width="13.140625" style="1" customWidth="1"/>
    <col min="6" max="7" width="12.5703125" style="1" customWidth="1"/>
    <col min="8" max="8" width="12.5703125" style="1" bestFit="1" customWidth="1"/>
    <col min="9" max="9" width="22.7109375" style="1" customWidth="1"/>
    <col min="10" max="10" width="14.7109375" style="1" customWidth="1"/>
    <col min="11" max="11" width="12.28515625" style="1" customWidth="1"/>
    <col min="12" max="13" width="12" style="1" bestFit="1" customWidth="1"/>
    <col min="14" max="16384" width="9.140625" style="1"/>
  </cols>
  <sheetData>
    <row r="1" spans="2:25" ht="18.75" x14ac:dyDescent="0.3">
      <c r="B1" s="59" t="s">
        <v>64</v>
      </c>
      <c r="C1" s="49"/>
      <c r="T1" s="49" t="s">
        <v>42</v>
      </c>
      <c r="U1" s="49"/>
      <c r="V1" s="49"/>
      <c r="W1" s="49" t="s">
        <v>37</v>
      </c>
      <c r="X1" s="49"/>
      <c r="Y1" s="49"/>
    </row>
    <row r="2" spans="2:25" ht="15.75" thickBot="1" x14ac:dyDescent="0.3">
      <c r="B2" s="60" t="s">
        <v>65</v>
      </c>
      <c r="C2" s="49"/>
      <c r="H2" s="47"/>
      <c r="T2" s="49" t="s">
        <v>0</v>
      </c>
      <c r="U2" s="49" t="s">
        <v>1</v>
      </c>
      <c r="V2" s="49"/>
      <c r="W2" s="49" t="s">
        <v>0</v>
      </c>
      <c r="X2" s="49" t="s">
        <v>1</v>
      </c>
      <c r="Y2" s="49"/>
    </row>
    <row r="3" spans="2:25" x14ac:dyDescent="0.25">
      <c r="B3" s="226" t="s">
        <v>81</v>
      </c>
      <c r="C3" s="58" t="s">
        <v>16</v>
      </c>
      <c r="D3" s="46"/>
      <c r="E3" s="11"/>
      <c r="F3" s="6"/>
      <c r="G3" s="49"/>
      <c r="H3" s="49"/>
      <c r="I3" s="49"/>
      <c r="J3" s="49"/>
      <c r="T3" s="49">
        <f>D6</f>
        <v>0</v>
      </c>
      <c r="U3" s="49">
        <v>0</v>
      </c>
      <c r="V3" s="49">
        <v>1</v>
      </c>
      <c r="W3" s="49">
        <f>'Pump Design Summary'!D16</f>
        <v>0</v>
      </c>
      <c r="X3" s="49">
        <v>0</v>
      </c>
      <c r="Y3" s="49"/>
    </row>
    <row r="4" spans="2:25" x14ac:dyDescent="0.25">
      <c r="B4" s="227"/>
      <c r="C4" s="38" t="s">
        <v>17</v>
      </c>
      <c r="D4" s="48"/>
      <c r="E4" s="12"/>
      <c r="F4" s="8"/>
      <c r="G4" s="49"/>
      <c r="H4" s="49"/>
      <c r="I4" s="49"/>
      <c r="J4" s="49"/>
      <c r="T4" s="49">
        <f>D6+0.0001</f>
        <v>1E-4</v>
      </c>
      <c r="U4" s="49">
        <v>100</v>
      </c>
      <c r="V4" s="49">
        <v>2</v>
      </c>
      <c r="W4" s="49">
        <f>((('Pump Design Summary'!$E$16-'Pump Design Summary'!$D$16)/1000)*V4)+'Pump Design Summary'!$D$16</f>
        <v>0</v>
      </c>
      <c r="X4" s="49">
        <f>IF(ISEVEN(V4),MAX('Pump Design Summary'!$D$29:$H$29)+50,0)</f>
        <v>50</v>
      </c>
      <c r="Y4" s="49"/>
    </row>
    <row r="5" spans="2:25" x14ac:dyDescent="0.25">
      <c r="B5" s="227"/>
      <c r="C5" s="38" t="s">
        <v>18</v>
      </c>
      <c r="D5" s="48"/>
      <c r="E5" s="12" t="s">
        <v>27</v>
      </c>
      <c r="F5" s="8"/>
      <c r="G5" s="49"/>
      <c r="H5" s="49"/>
      <c r="I5" s="49"/>
      <c r="J5" s="49"/>
      <c r="T5" s="49"/>
      <c r="U5" s="49"/>
      <c r="V5" s="49">
        <v>3</v>
      </c>
      <c r="W5" s="49">
        <f>((('Pump Design Summary'!$E$16-'Pump Design Summary'!$D$16)/1000)*V5)+'Pump Design Summary'!$D$16</f>
        <v>0</v>
      </c>
      <c r="X5" s="49">
        <f>IF(ISEVEN(V5),MAX('Pump Design Summary'!$D$29:$H$29)+50,0)</f>
        <v>0</v>
      </c>
      <c r="Y5" s="49"/>
    </row>
    <row r="6" spans="2:25" x14ac:dyDescent="0.25">
      <c r="B6" s="227"/>
      <c r="C6" s="38" t="s">
        <v>19</v>
      </c>
      <c r="D6" s="23"/>
      <c r="E6" s="12" t="s">
        <v>28</v>
      </c>
      <c r="F6" s="8"/>
      <c r="G6" s="49"/>
      <c r="H6" s="49"/>
      <c r="I6" s="49"/>
      <c r="J6" s="49"/>
      <c r="T6" s="49"/>
      <c r="U6" s="49"/>
      <c r="V6" s="49">
        <v>4</v>
      </c>
      <c r="W6" s="49">
        <f>((('Pump Design Summary'!$E$16-'Pump Design Summary'!$D$16)/1000)*V6)+'Pump Design Summary'!$D$16</f>
        <v>0</v>
      </c>
      <c r="X6" s="49">
        <f>IF(ISEVEN(V6),MAX('Pump Design Summary'!$D$29:$H$29)+50,0)</f>
        <v>50</v>
      </c>
      <c r="Y6" s="49"/>
    </row>
    <row r="7" spans="2:25" ht="15.75" thickBot="1" x14ac:dyDescent="0.3">
      <c r="B7" s="228"/>
      <c r="C7" s="39" t="s">
        <v>38</v>
      </c>
      <c r="D7" s="3">
        <f>0.7*D6</f>
        <v>0</v>
      </c>
      <c r="E7" s="13">
        <f>1.2*D6</f>
        <v>0</v>
      </c>
      <c r="F7" s="10" t="s">
        <v>28</v>
      </c>
      <c r="G7" s="49"/>
      <c r="H7" s="49"/>
      <c r="I7" s="49"/>
      <c r="J7" s="49"/>
      <c r="T7" s="49"/>
      <c r="U7" s="49"/>
      <c r="V7" s="49">
        <v>5</v>
      </c>
      <c r="W7" s="49">
        <f>((('Pump Design Summary'!$E$16-'Pump Design Summary'!$D$16)/1000)*V7)+'Pump Design Summary'!$D$16</f>
        <v>0</v>
      </c>
      <c r="X7" s="49">
        <f>IF(ISEVEN(V7),MAX('Pump Design Summary'!$D$29:$H$29)+50,0)</f>
        <v>0</v>
      </c>
      <c r="Y7" s="49"/>
    </row>
    <row r="8" spans="2:25" x14ac:dyDescent="0.25">
      <c r="B8" s="258" t="s">
        <v>156</v>
      </c>
      <c r="C8" s="256" t="s">
        <v>39</v>
      </c>
      <c r="D8" s="256" t="s">
        <v>40</v>
      </c>
      <c r="E8" s="256" t="s">
        <v>41</v>
      </c>
      <c r="F8" s="261" t="s">
        <v>157</v>
      </c>
      <c r="G8" s="262"/>
      <c r="H8" s="262"/>
      <c r="I8" s="49"/>
      <c r="J8" s="49"/>
      <c r="T8" s="49"/>
      <c r="U8" s="49"/>
      <c r="V8" s="49">
        <v>6</v>
      </c>
      <c r="W8" s="49">
        <f>((('Pump Design Summary'!$E$16-'Pump Design Summary'!$D$16)/1000)*V8)+'Pump Design Summary'!$D$16</f>
        <v>0</v>
      </c>
      <c r="X8" s="49">
        <f>IF(ISEVEN(V8),MAX('Pump Design Summary'!$D$29:$H$29)+50,0)</f>
        <v>50</v>
      </c>
      <c r="Y8" s="49"/>
    </row>
    <row r="9" spans="2:25" ht="15.75" thickBot="1" x14ac:dyDescent="0.3">
      <c r="B9" s="259"/>
      <c r="C9" s="257"/>
      <c r="D9" s="257"/>
      <c r="E9" s="257"/>
      <c r="F9" s="44" t="s">
        <v>158</v>
      </c>
      <c r="G9" s="145" t="s">
        <v>159</v>
      </c>
      <c r="H9" s="145" t="s">
        <v>160</v>
      </c>
      <c r="I9" s="49"/>
      <c r="J9" s="49"/>
      <c r="T9" s="49"/>
      <c r="U9" s="49"/>
      <c r="V9" s="49">
        <v>7</v>
      </c>
      <c r="W9" s="49">
        <f>((('Pump Design Summary'!$E$16-'Pump Design Summary'!$D$16)/1000)*V9)+'Pump Design Summary'!$D$16</f>
        <v>0</v>
      </c>
      <c r="X9" s="49">
        <f>IF(ISEVEN(V9),MAX('Pump Design Summary'!$D$29:$H$29)+50,0)</f>
        <v>0</v>
      </c>
      <c r="Y9" s="49"/>
    </row>
    <row r="10" spans="2:25" ht="15" customHeight="1" x14ac:dyDescent="0.25">
      <c r="B10" s="259"/>
      <c r="C10" s="4">
        <v>58</v>
      </c>
      <c r="D10" s="4">
        <v>0</v>
      </c>
      <c r="E10" s="28">
        <f>D10*2</f>
        <v>0</v>
      </c>
      <c r="F10" s="164">
        <f>C10-K75</f>
        <v>58</v>
      </c>
      <c r="G10" s="152">
        <f>D10</f>
        <v>0</v>
      </c>
      <c r="H10" s="152">
        <f>E10</f>
        <v>0</v>
      </c>
      <c r="I10" s="49"/>
      <c r="J10" s="49"/>
      <c r="T10" s="49"/>
      <c r="U10" s="49"/>
      <c r="V10" s="49">
        <v>8</v>
      </c>
      <c r="W10" s="49">
        <f>((('Pump Design Summary'!$E$16-'Pump Design Summary'!$D$16)/1000)*V10)+'Pump Design Summary'!$D$16</f>
        <v>0</v>
      </c>
      <c r="X10" s="49">
        <f>IF(ISEVEN(V10),MAX('Pump Design Summary'!$D$29:$H$29)+50,0)</f>
        <v>50</v>
      </c>
      <c r="Y10" s="49"/>
    </row>
    <row r="11" spans="2:25" x14ac:dyDescent="0.25">
      <c r="B11" s="259"/>
      <c r="C11" s="4">
        <v>49</v>
      </c>
      <c r="D11" s="4">
        <v>840</v>
      </c>
      <c r="E11" s="30">
        <f t="shared" ref="E11:E18" si="0">D11*2</f>
        <v>1680</v>
      </c>
      <c r="F11" s="164">
        <f t="shared" ref="F11:F18" si="1">C11-K76</f>
        <v>48.651033860834623</v>
      </c>
      <c r="G11" s="152">
        <f t="shared" ref="G11:G18" si="2">D11</f>
        <v>840</v>
      </c>
      <c r="H11" s="152">
        <f t="shared" ref="H11:H18" si="3">E11</f>
        <v>1680</v>
      </c>
      <c r="I11" s="49"/>
      <c r="J11" s="49"/>
      <c r="T11" s="49"/>
      <c r="U11" s="49"/>
      <c r="V11" s="49">
        <v>9</v>
      </c>
      <c r="W11" s="49">
        <f>((('Pump Design Summary'!$E$16-'Pump Design Summary'!$D$16)/1000)*V11)+'Pump Design Summary'!$D$16</f>
        <v>0</v>
      </c>
      <c r="X11" s="49">
        <f>IF(ISEVEN(V11),MAX('Pump Design Summary'!$D$29:$H$29)+50,0)</f>
        <v>0</v>
      </c>
      <c r="Y11" s="49"/>
    </row>
    <row r="12" spans="2:25" x14ac:dyDescent="0.25">
      <c r="B12" s="259"/>
      <c r="C12" s="4">
        <v>44.1</v>
      </c>
      <c r="D12" s="4">
        <v>1260</v>
      </c>
      <c r="E12" s="30">
        <f t="shared" si="0"/>
        <v>2520</v>
      </c>
      <c r="F12" s="164">
        <f t="shared" si="1"/>
        <v>43.316743583671943</v>
      </c>
      <c r="G12" s="152">
        <f t="shared" si="2"/>
        <v>1260</v>
      </c>
      <c r="H12" s="152">
        <f t="shared" si="3"/>
        <v>2520</v>
      </c>
      <c r="I12" s="49"/>
      <c r="J12" s="49"/>
      <c r="T12" s="49"/>
      <c r="U12" s="49"/>
      <c r="V12" s="49">
        <v>10</v>
      </c>
      <c r="W12" s="49">
        <f>((('Pump Design Summary'!$E$16-'Pump Design Summary'!$D$16)/1000)*V12)+'Pump Design Summary'!$D$16</f>
        <v>0</v>
      </c>
      <c r="X12" s="49">
        <f>IF(ISEVEN(V12),MAX('Pump Design Summary'!$D$29:$H$29)+50,0)</f>
        <v>50</v>
      </c>
      <c r="Y12" s="49"/>
    </row>
    <row r="13" spans="2:25" x14ac:dyDescent="0.25">
      <c r="B13" s="259"/>
      <c r="C13" s="4">
        <v>38.6</v>
      </c>
      <c r="D13" s="4">
        <v>1680</v>
      </c>
      <c r="E13" s="30">
        <f t="shared" si="0"/>
        <v>3360</v>
      </c>
      <c r="F13" s="164">
        <f t="shared" si="1"/>
        <v>37.209839842695203</v>
      </c>
      <c r="G13" s="152">
        <f t="shared" si="2"/>
        <v>1680</v>
      </c>
      <c r="H13" s="152">
        <f t="shared" si="3"/>
        <v>3360</v>
      </c>
      <c r="I13" s="49"/>
      <c r="J13" s="49"/>
      <c r="T13" s="49"/>
      <c r="U13" s="49"/>
      <c r="V13" s="49">
        <v>11</v>
      </c>
      <c r="W13" s="49">
        <f>((('Pump Design Summary'!$E$16-'Pump Design Summary'!$D$16)/1000)*V13)+'Pump Design Summary'!$D$16</f>
        <v>0</v>
      </c>
      <c r="X13" s="49">
        <f>IF(ISEVEN(V13),MAX('Pump Design Summary'!$D$29:$H$29)+50,0)</f>
        <v>0</v>
      </c>
      <c r="Y13" s="49"/>
    </row>
    <row r="14" spans="2:25" x14ac:dyDescent="0.25">
      <c r="B14" s="259"/>
      <c r="C14" s="4">
        <v>32.700000000000003</v>
      </c>
      <c r="D14" s="4">
        <v>2100</v>
      </c>
      <c r="E14" s="30">
        <f t="shared" si="0"/>
        <v>4200</v>
      </c>
      <c r="F14" s="164">
        <f t="shared" si="1"/>
        <v>30.530552193564638</v>
      </c>
      <c r="G14" s="152">
        <f t="shared" si="2"/>
        <v>2100</v>
      </c>
      <c r="H14" s="152">
        <f t="shared" si="3"/>
        <v>4200</v>
      </c>
      <c r="I14" s="49"/>
      <c r="J14" s="49"/>
      <c r="T14" s="49"/>
      <c r="U14" s="49"/>
      <c r="V14" s="49">
        <v>12</v>
      </c>
      <c r="W14" s="49">
        <f>((('Pump Design Summary'!$E$16-'Pump Design Summary'!$D$16)/1000)*V14)+'Pump Design Summary'!$D$16</f>
        <v>0</v>
      </c>
      <c r="X14" s="49">
        <f>IF(ISEVEN(V14),MAX('Pump Design Summary'!$D$29:$H$29)+50,0)</f>
        <v>50</v>
      </c>
      <c r="Y14" s="49"/>
    </row>
    <row r="15" spans="2:25" x14ac:dyDescent="0.25">
      <c r="B15" s="259"/>
      <c r="C15" s="4">
        <v>26.2</v>
      </c>
      <c r="D15" s="4">
        <v>2520</v>
      </c>
      <c r="E15" s="30">
        <f t="shared" si="0"/>
        <v>5040</v>
      </c>
      <c r="F15" s="164">
        <f t="shared" si="1"/>
        <v>23.079050632038378</v>
      </c>
      <c r="G15" s="152">
        <f t="shared" si="2"/>
        <v>2520</v>
      </c>
      <c r="H15" s="152">
        <f t="shared" si="3"/>
        <v>5040</v>
      </c>
      <c r="I15" s="49"/>
      <c r="J15" s="49"/>
      <c r="T15" s="49"/>
      <c r="U15" s="49"/>
      <c r="V15" s="49">
        <v>13</v>
      </c>
      <c r="W15" s="49">
        <f>((('Pump Design Summary'!$E$16-'Pump Design Summary'!$D$16)/1000)*V15)+'Pump Design Summary'!$D$16</f>
        <v>0</v>
      </c>
      <c r="X15" s="49">
        <f>IF(ISEVEN(V15),MAX('Pump Design Summary'!$D$29:$H$29)+50,0)</f>
        <v>0</v>
      </c>
      <c r="Y15" s="49"/>
    </row>
    <row r="16" spans="2:25" x14ac:dyDescent="0.25">
      <c r="B16" s="259"/>
      <c r="C16" s="4"/>
      <c r="D16" s="4"/>
      <c r="E16" s="30">
        <f t="shared" si="0"/>
        <v>0</v>
      </c>
      <c r="F16" s="163">
        <f t="shared" si="1"/>
        <v>0</v>
      </c>
      <c r="G16" s="152">
        <f t="shared" si="2"/>
        <v>0</v>
      </c>
      <c r="H16" s="152">
        <f t="shared" si="3"/>
        <v>0</v>
      </c>
      <c r="I16" s="49"/>
      <c r="J16" s="49"/>
      <c r="T16" s="49"/>
      <c r="U16" s="49"/>
      <c r="V16" s="49">
        <v>14</v>
      </c>
      <c r="W16" s="49">
        <f>((('Pump Design Summary'!$E$16-'Pump Design Summary'!$D$16)/1000)*V16)+'Pump Design Summary'!$D$16</f>
        <v>0</v>
      </c>
      <c r="X16" s="49">
        <f>IF(ISEVEN(V16),MAX('Pump Design Summary'!$D$29:$H$29)+50,0)</f>
        <v>50</v>
      </c>
      <c r="Y16" s="49"/>
    </row>
    <row r="17" spans="2:25" x14ac:dyDescent="0.25">
      <c r="B17" s="259"/>
      <c r="C17" s="4"/>
      <c r="D17" s="4"/>
      <c r="E17" s="30">
        <f t="shared" si="0"/>
        <v>0</v>
      </c>
      <c r="F17" s="163">
        <f t="shared" si="1"/>
        <v>0</v>
      </c>
      <c r="G17" s="152">
        <f t="shared" si="2"/>
        <v>0</v>
      </c>
      <c r="H17" s="152">
        <f t="shared" si="3"/>
        <v>0</v>
      </c>
      <c r="I17" s="49"/>
      <c r="J17" s="49"/>
      <c r="T17" s="49"/>
      <c r="U17" s="49"/>
      <c r="V17" s="49">
        <v>15</v>
      </c>
      <c r="W17" s="49">
        <f>((('Pump Design Summary'!$E$16-'Pump Design Summary'!$D$16)/1000)*V17)+'Pump Design Summary'!$D$16</f>
        <v>0</v>
      </c>
      <c r="X17" s="49">
        <f>IF(ISEVEN(V17),MAX('Pump Design Summary'!$D$29:$H$29)+50,0)</f>
        <v>0</v>
      </c>
      <c r="Y17" s="49"/>
    </row>
    <row r="18" spans="2:25" ht="15.75" thickBot="1" x14ac:dyDescent="0.3">
      <c r="B18" s="260"/>
      <c r="C18" s="22"/>
      <c r="D18" s="22"/>
      <c r="E18" s="32">
        <f t="shared" si="0"/>
        <v>0</v>
      </c>
      <c r="F18" s="163">
        <f t="shared" si="1"/>
        <v>0</v>
      </c>
      <c r="G18" s="152">
        <f t="shared" si="2"/>
        <v>0</v>
      </c>
      <c r="H18" s="152">
        <f t="shared" si="3"/>
        <v>0</v>
      </c>
      <c r="I18" s="49"/>
      <c r="J18" s="49"/>
      <c r="T18" s="49"/>
      <c r="U18" s="49"/>
      <c r="V18" s="49">
        <v>16</v>
      </c>
      <c r="W18" s="49">
        <f>((('Pump Design Summary'!$E$16-'Pump Design Summary'!$D$16)/1000)*V18)+'Pump Design Summary'!$D$16</f>
        <v>0</v>
      </c>
      <c r="X18" s="49">
        <f>IF(ISEVEN(V18),MAX('Pump Design Summary'!$D$29:$H$29)+50,0)</f>
        <v>50</v>
      </c>
      <c r="Y18" s="49"/>
    </row>
    <row r="19" spans="2:25" ht="30.75" customHeight="1" thickBot="1" x14ac:dyDescent="0.3">
      <c r="B19" s="226" t="s">
        <v>83</v>
      </c>
      <c r="C19" s="106" t="s">
        <v>9</v>
      </c>
      <c r="D19" s="107" t="s">
        <v>138</v>
      </c>
      <c r="E19" s="50" t="s">
        <v>97</v>
      </c>
      <c r="F19" s="49"/>
      <c r="G19" s="49"/>
      <c r="H19" s="49"/>
      <c r="I19" s="49"/>
      <c r="J19" s="49"/>
      <c r="T19" s="49"/>
      <c r="U19" s="49"/>
      <c r="V19" s="49">
        <v>17</v>
      </c>
      <c r="W19" s="49">
        <f>((('Pump Design Summary'!$E$16-'Pump Design Summary'!$D$16)/1000)*V19)+'Pump Design Summary'!$D$16</f>
        <v>0</v>
      </c>
      <c r="X19" s="49">
        <f>IF(ISEVEN(V19),MAX('Pump Design Summary'!$D$29:$H$29)+50,0)</f>
        <v>0</v>
      </c>
      <c r="Y19" s="49"/>
    </row>
    <row r="20" spans="2:25" x14ac:dyDescent="0.25">
      <c r="B20" s="227"/>
      <c r="C20" s="4"/>
      <c r="D20" s="21"/>
      <c r="E20" s="51">
        <f>C20*2.5</f>
        <v>0</v>
      </c>
      <c r="F20" s="49"/>
      <c r="G20" s="49"/>
      <c r="H20" s="49"/>
      <c r="I20" s="49"/>
      <c r="J20" s="49"/>
      <c r="T20" s="49"/>
      <c r="U20" s="49"/>
      <c r="V20" s="49">
        <v>18</v>
      </c>
      <c r="W20" s="49">
        <f>((('Pump Design Summary'!$E$16-'Pump Design Summary'!$D$16)/1000)*V20)+'Pump Design Summary'!$D$16</f>
        <v>0</v>
      </c>
      <c r="X20" s="49">
        <f>IF(ISEVEN(V20),MAX('Pump Design Summary'!$D$29:$H$29)+50,0)</f>
        <v>50</v>
      </c>
      <c r="Y20" s="49"/>
    </row>
    <row r="21" spans="2:25" x14ac:dyDescent="0.25">
      <c r="B21" s="227"/>
      <c r="C21" s="4"/>
      <c r="D21" s="4"/>
      <c r="E21" s="51">
        <f>C21*2.5</f>
        <v>0</v>
      </c>
      <c r="F21" s="49"/>
      <c r="G21" s="49"/>
      <c r="H21" s="49"/>
      <c r="I21" s="60" t="s">
        <v>214</v>
      </c>
      <c r="J21" s="49"/>
      <c r="T21" s="49"/>
      <c r="U21" s="49"/>
      <c r="V21" s="49">
        <v>19</v>
      </c>
      <c r="W21" s="49">
        <f>((('Pump Design Summary'!$E$16-'Pump Design Summary'!$D$16)/1000)*V21)+'Pump Design Summary'!$D$16</f>
        <v>0</v>
      </c>
      <c r="X21" s="49">
        <f>IF(ISEVEN(V21),MAX('Pump Design Summary'!$D$29:$H$29)+50,0)</f>
        <v>0</v>
      </c>
      <c r="Y21" s="49"/>
    </row>
    <row r="22" spans="2:25" x14ac:dyDescent="0.25">
      <c r="B22" s="227"/>
      <c r="C22" s="4"/>
      <c r="D22" s="4"/>
      <c r="E22" s="51">
        <f>C22*2.5</f>
        <v>0</v>
      </c>
      <c r="F22" s="49"/>
      <c r="G22" s="49"/>
      <c r="H22" s="49"/>
      <c r="I22" s="60" t="s">
        <v>215</v>
      </c>
      <c r="J22" s="49"/>
      <c r="T22" s="49"/>
      <c r="U22" s="49"/>
      <c r="V22" s="49">
        <v>20</v>
      </c>
      <c r="W22" s="49">
        <f>((('Pump Design Summary'!$E$16-'Pump Design Summary'!$D$16)/1000)*V22)+'Pump Design Summary'!$D$16</f>
        <v>0</v>
      </c>
      <c r="X22" s="49">
        <f>IF(ISEVEN(V22),MAX('Pump Design Summary'!$D$29:$H$29)+50,0)</f>
        <v>50</v>
      </c>
      <c r="Y22" s="49"/>
    </row>
    <row r="23" spans="2:25" x14ac:dyDescent="0.25">
      <c r="B23" s="227"/>
      <c r="C23" s="4"/>
      <c r="D23" s="4"/>
      <c r="E23" s="51">
        <f>C23*2.5</f>
        <v>0</v>
      </c>
      <c r="F23" s="49"/>
      <c r="G23" s="49"/>
      <c r="H23" s="49"/>
      <c r="I23" s="60" t="s">
        <v>216</v>
      </c>
      <c r="J23" s="49"/>
      <c r="T23" s="49"/>
      <c r="U23" s="49"/>
      <c r="V23" s="49">
        <v>21</v>
      </c>
      <c r="W23" s="49">
        <f>((('Pump Design Summary'!$E$16-'Pump Design Summary'!$D$16)/1000)*V23)+'Pump Design Summary'!$D$16</f>
        <v>0</v>
      </c>
      <c r="X23" s="49">
        <f>IF(ISEVEN(V23),MAX('Pump Design Summary'!$D$29:$H$29)+50,0)</f>
        <v>0</v>
      </c>
      <c r="Y23" s="49"/>
    </row>
    <row r="24" spans="2:25" ht="15.75" thickBot="1" x14ac:dyDescent="0.3">
      <c r="B24" s="228"/>
      <c r="C24" s="22"/>
      <c r="D24" s="22"/>
      <c r="E24" s="51">
        <f>C24*2.5</f>
        <v>0</v>
      </c>
      <c r="F24" s="49"/>
      <c r="G24" s="49"/>
      <c r="H24" s="49"/>
      <c r="I24" s="49"/>
      <c r="J24" s="49"/>
      <c r="T24" s="49"/>
      <c r="U24" s="49"/>
      <c r="V24" s="49">
        <v>22</v>
      </c>
      <c r="W24" s="49">
        <f>((('Pump Design Summary'!$E$16-'Pump Design Summary'!$D$16)/1000)*V24)+'Pump Design Summary'!$D$16</f>
        <v>0</v>
      </c>
      <c r="X24" s="49">
        <f>IF(ISEVEN(V24),MAX('Pump Design Summary'!$D$29:$H$29)+50,0)</f>
        <v>50</v>
      </c>
      <c r="Y24" s="49"/>
    </row>
    <row r="25" spans="2:25" ht="30.75" thickBot="1" x14ac:dyDescent="0.3">
      <c r="B25" s="226" t="s">
        <v>96</v>
      </c>
      <c r="C25" s="52" t="s">
        <v>2</v>
      </c>
      <c r="D25" s="52" t="s">
        <v>95</v>
      </c>
      <c r="E25" s="52" t="s">
        <v>89</v>
      </c>
      <c r="F25" s="52" t="s">
        <v>91</v>
      </c>
      <c r="G25" s="52" t="s">
        <v>92</v>
      </c>
      <c r="H25" s="52" t="s">
        <v>93</v>
      </c>
      <c r="I25" s="52" t="s">
        <v>94</v>
      </c>
      <c r="J25" s="53" t="s">
        <v>84</v>
      </c>
      <c r="T25" s="49"/>
      <c r="U25" s="49"/>
      <c r="V25" s="49">
        <v>23</v>
      </c>
      <c r="W25" s="49">
        <f>((('Pump Design Summary'!$E$16-'Pump Design Summary'!$D$16)/1000)*V25)+'Pump Design Summary'!$D$16</f>
        <v>0</v>
      </c>
      <c r="X25" s="49">
        <f>IF(ISEVEN(V25),MAX('Pump Design Summary'!$D$29:$H$29)+50,0)</f>
        <v>0</v>
      </c>
      <c r="Y25" s="49"/>
    </row>
    <row r="26" spans="2:25" x14ac:dyDescent="0.25">
      <c r="B26" s="227"/>
      <c r="C26" s="30" t="s">
        <v>85</v>
      </c>
      <c r="D26" s="30">
        <f>'System Curve'!D6+'System Curve'!D8</f>
        <v>-14.18</v>
      </c>
      <c r="E26" s="20">
        <f>'Pump Design Summary'!D30</f>
        <v>0</v>
      </c>
      <c r="F26" s="30">
        <v>33.96</v>
      </c>
      <c r="G26" s="30">
        <f>D26-'System Curve'!$D$5</f>
        <v>-0.27999999999999936</v>
      </c>
      <c r="H26" s="30">
        <v>0.3</v>
      </c>
      <c r="I26" s="217"/>
      <c r="J26" s="54">
        <f>F26+G26-H26-I26</f>
        <v>33.380000000000003</v>
      </c>
      <c r="T26" s="49"/>
      <c r="U26" s="49"/>
      <c r="V26" s="49">
        <v>24</v>
      </c>
      <c r="W26" s="49">
        <f>((('Pump Design Summary'!$E$16-'Pump Design Summary'!$D$16)/1000)*V26)+'Pump Design Summary'!$D$16</f>
        <v>0</v>
      </c>
      <c r="X26" s="49">
        <f>IF(ISEVEN(V26),MAX('Pump Design Summary'!$D$29:$H$29)+50,0)</f>
        <v>50</v>
      </c>
      <c r="Y26" s="49"/>
    </row>
    <row r="27" spans="2:25" ht="32.25" customHeight="1" x14ac:dyDescent="0.25">
      <c r="B27" s="227"/>
      <c r="C27" s="30" t="s">
        <v>86</v>
      </c>
      <c r="D27" s="30">
        <f>'System Curve'!D6+'System Curve'!D10</f>
        <v>-6.9500000000000011</v>
      </c>
      <c r="E27" s="20">
        <f>'Pump Design Summary'!E30</f>
        <v>0</v>
      </c>
      <c r="F27" s="30">
        <v>33.96</v>
      </c>
      <c r="G27" s="30">
        <f>D27-'System Curve'!$D$5</f>
        <v>6.9499999999999993</v>
      </c>
      <c r="H27" s="30">
        <v>0.3</v>
      </c>
      <c r="I27" s="218"/>
      <c r="J27" s="54">
        <f t="shared" ref="J27:J30" si="4">F27+G27-H27-I27</f>
        <v>40.61</v>
      </c>
      <c r="T27" s="49"/>
      <c r="U27" s="49"/>
      <c r="V27" s="49">
        <v>25</v>
      </c>
      <c r="W27" s="49">
        <f>((('Pump Design Summary'!$E$16-'Pump Design Summary'!$D$16)/1000)*V27)+'Pump Design Summary'!$D$16</f>
        <v>0</v>
      </c>
      <c r="X27" s="49">
        <f>IF(ISEVEN(V27),MAX('Pump Design Summary'!$D$29:$H$29)+50,0)</f>
        <v>0</v>
      </c>
      <c r="Y27" s="49"/>
    </row>
    <row r="28" spans="2:25" x14ac:dyDescent="0.25">
      <c r="B28" s="227"/>
      <c r="C28" s="30" t="s">
        <v>87</v>
      </c>
      <c r="D28" s="30">
        <f>'System Curve'!D6+'System Curve'!D9</f>
        <v>-14.18</v>
      </c>
      <c r="E28" s="20">
        <f>'Pump Design Summary'!F30/2</f>
        <v>0</v>
      </c>
      <c r="F28" s="30">
        <v>33.96</v>
      </c>
      <c r="G28" s="30">
        <f>D28-'System Curve'!$D$5</f>
        <v>-0.27999999999999936</v>
      </c>
      <c r="H28" s="30">
        <v>0.3</v>
      </c>
      <c r="I28" s="218"/>
      <c r="J28" s="54">
        <f t="shared" si="4"/>
        <v>33.380000000000003</v>
      </c>
      <c r="R28" s="49" t="s">
        <v>114</v>
      </c>
      <c r="S28" s="49"/>
      <c r="T28" s="49"/>
      <c r="U28" s="49"/>
      <c r="V28" s="49">
        <v>26</v>
      </c>
      <c r="W28" s="49">
        <f>((('Pump Design Summary'!$E$16-'Pump Design Summary'!$D$16)/1000)*V28)+'Pump Design Summary'!$D$16</f>
        <v>0</v>
      </c>
      <c r="X28" s="49">
        <f>IF(ISEVEN(V28),MAX('Pump Design Summary'!$D$29:$H$29)+50,0)</f>
        <v>50</v>
      </c>
      <c r="Y28" s="49"/>
    </row>
    <row r="29" spans="2:25" x14ac:dyDescent="0.25">
      <c r="B29" s="227"/>
      <c r="C29" s="30" t="s">
        <v>88</v>
      </c>
      <c r="D29" s="30">
        <f>'System Curve'!D6+'System Curve'!D11</f>
        <v>-6.6000000000000014</v>
      </c>
      <c r="E29" s="20">
        <f>'Pump Design Summary'!G30/2</f>
        <v>0</v>
      </c>
      <c r="F29" s="30">
        <v>33.96</v>
      </c>
      <c r="G29" s="30">
        <f>D29-'System Curve'!$D$5</f>
        <v>7.2999999999999989</v>
      </c>
      <c r="H29" s="30">
        <v>0.3</v>
      </c>
      <c r="I29" s="218"/>
      <c r="J29" s="54">
        <f t="shared" si="4"/>
        <v>40.96</v>
      </c>
      <c r="R29" s="49" t="s">
        <v>110</v>
      </c>
      <c r="S29" s="49" t="e">
        <f>INDEX(LINEST(C20:C24,D20:D24^{1,2,3}),1)</f>
        <v>#VALUE!</v>
      </c>
      <c r="T29" s="49"/>
      <c r="U29" s="49"/>
      <c r="V29" s="49">
        <v>27</v>
      </c>
      <c r="W29" s="49">
        <f>((('Pump Design Summary'!$E$16-'Pump Design Summary'!$D$16)/1000)*V29)+'Pump Design Summary'!$D$16</f>
        <v>0</v>
      </c>
      <c r="X29" s="49">
        <f>IF(ISEVEN(V29),MAX('Pump Design Summary'!$D$29:$H$29)+50,0)</f>
        <v>0</v>
      </c>
      <c r="Y29" s="49"/>
    </row>
    <row r="30" spans="2:25" ht="15.75" thickBot="1" x14ac:dyDescent="0.3">
      <c r="B30" s="228"/>
      <c r="C30" s="32" t="s">
        <v>3</v>
      </c>
      <c r="D30" s="32">
        <f>'System Curve'!D6+'System Curve'!D12</f>
        <v>6.6099999999999994</v>
      </c>
      <c r="E30" s="55">
        <f>'Pump Design Summary'!H30/2</f>
        <v>0</v>
      </c>
      <c r="F30" s="32">
        <v>33.96</v>
      </c>
      <c r="G30" s="32">
        <f>D30-'System Curve'!$D$5</f>
        <v>20.509999999999998</v>
      </c>
      <c r="H30" s="32">
        <v>0.3</v>
      </c>
      <c r="I30" s="219"/>
      <c r="J30" s="56">
        <f t="shared" si="4"/>
        <v>54.17</v>
      </c>
      <c r="R30" s="49" t="s">
        <v>111</v>
      </c>
      <c r="S30" s="49" t="e">
        <f>INDEX(LINEST(C20:C24,D20:D24^{1,2,3}),1,2)</f>
        <v>#VALUE!</v>
      </c>
      <c r="T30" s="49"/>
      <c r="U30" s="49"/>
      <c r="V30" s="49">
        <v>28</v>
      </c>
      <c r="W30" s="49">
        <f>((('Pump Design Summary'!$E$16-'Pump Design Summary'!$D$16)/1000)*V30)+'Pump Design Summary'!$D$16</f>
        <v>0</v>
      </c>
      <c r="X30" s="49">
        <f>IF(ISEVEN(V30),MAX('Pump Design Summary'!$D$29:$H$29)+50,0)</f>
        <v>50</v>
      </c>
      <c r="Y30" s="49"/>
    </row>
    <row r="31" spans="2:25" x14ac:dyDescent="0.25">
      <c r="R31" s="49" t="s">
        <v>112</v>
      </c>
      <c r="S31" s="49" t="e">
        <f>INDEX(LINEST(C20:C24,D20:D24^{1,2,3}),1,3)</f>
        <v>#VALUE!</v>
      </c>
      <c r="T31" s="49"/>
      <c r="U31" s="49"/>
      <c r="V31" s="49">
        <v>29</v>
      </c>
      <c r="W31" s="49">
        <f>((('Pump Design Summary'!$E$16-'Pump Design Summary'!$D$16)/1000)*V31)+'Pump Design Summary'!$D$16</f>
        <v>0</v>
      </c>
      <c r="X31" s="49">
        <f>IF(ISEVEN(V31),MAX('Pump Design Summary'!$D$29:$H$29)+50,0)</f>
        <v>0</v>
      </c>
      <c r="Y31" s="49"/>
    </row>
    <row r="32" spans="2:25" x14ac:dyDescent="0.25">
      <c r="R32" s="49" t="s">
        <v>113</v>
      </c>
      <c r="S32" s="49" t="e">
        <f>INDEX(LINEST(C20:C24,D20:D24^{1,2,3}),1,4)</f>
        <v>#VALUE!</v>
      </c>
      <c r="T32" s="49"/>
      <c r="U32" s="49"/>
      <c r="V32" s="49">
        <v>30</v>
      </c>
      <c r="W32" s="49">
        <f>((('Pump Design Summary'!$E$16-'Pump Design Summary'!$D$16)/1000)*V32)+'Pump Design Summary'!$D$16</f>
        <v>0</v>
      </c>
      <c r="X32" s="49">
        <f>IF(ISEVEN(V32),MAX('Pump Design Summary'!$D$29:$H$29)+50,0)</f>
        <v>50</v>
      </c>
      <c r="Y32" s="49"/>
    </row>
    <row r="33" spans="2:25" x14ac:dyDescent="0.25">
      <c r="T33" s="49"/>
      <c r="U33" s="49"/>
      <c r="V33" s="49">
        <v>31</v>
      </c>
      <c r="W33" s="49">
        <f>((('Pump Design Summary'!$E$16-'Pump Design Summary'!$D$16)/1000)*V33)+'Pump Design Summary'!$D$16</f>
        <v>0</v>
      </c>
      <c r="X33" s="49">
        <f>IF(ISEVEN(V33),MAX('Pump Design Summary'!$D$29:$H$29)+50,0)</f>
        <v>0</v>
      </c>
      <c r="Y33" s="49"/>
    </row>
    <row r="34" spans="2:25" ht="18.75" x14ac:dyDescent="0.3">
      <c r="B34" s="76" t="s">
        <v>127</v>
      </c>
      <c r="T34" s="49"/>
      <c r="U34" s="49"/>
      <c r="V34" s="49">
        <v>32</v>
      </c>
      <c r="W34" s="49">
        <f>((('Pump Design Summary'!$E$16-'Pump Design Summary'!$D$16)/1000)*V34)+'Pump Design Summary'!$D$16</f>
        <v>0</v>
      </c>
      <c r="X34" s="49">
        <f>IF(ISEVEN(V34),MAX('Pump Design Summary'!$D$29:$H$29)+50,0)</f>
        <v>50</v>
      </c>
      <c r="Y34" s="49"/>
    </row>
    <row r="35" spans="2:25" x14ac:dyDescent="0.25">
      <c r="B35" s="75" t="s">
        <v>133</v>
      </c>
      <c r="T35" s="49"/>
      <c r="U35" s="49"/>
      <c r="V35" s="49">
        <v>33</v>
      </c>
      <c r="W35" s="49">
        <f>((('Pump Design Summary'!$E$16-'Pump Design Summary'!$D$16)/1000)*V35)+'Pump Design Summary'!$D$16</f>
        <v>0</v>
      </c>
      <c r="X35" s="49">
        <f>IF(ISEVEN(V35),MAX('Pump Design Summary'!$D$29:$H$29)+50,0)</f>
        <v>0</v>
      </c>
      <c r="Y35" s="49"/>
    </row>
    <row r="36" spans="2:25" x14ac:dyDescent="0.25">
      <c r="B36" s="75" t="s">
        <v>134</v>
      </c>
      <c r="T36" s="49"/>
      <c r="U36" s="49"/>
      <c r="V36" s="49">
        <v>34</v>
      </c>
      <c r="W36" s="49">
        <f>((('Pump Design Summary'!$E$16-'Pump Design Summary'!$D$16)/1000)*V36)+'Pump Design Summary'!$D$16</f>
        <v>0</v>
      </c>
      <c r="X36" s="49">
        <f>IF(ISEVEN(V36),MAX('Pump Design Summary'!$D$29:$H$29)+50,0)</f>
        <v>50</v>
      </c>
      <c r="Y36" s="49"/>
    </row>
    <row r="37" spans="2:25" x14ac:dyDescent="0.25">
      <c r="B37" s="75"/>
      <c r="T37" s="49"/>
      <c r="U37" s="49"/>
      <c r="V37" s="49"/>
      <c r="W37" s="49"/>
      <c r="X37" s="49"/>
      <c r="Y37" s="49"/>
    </row>
    <row r="38" spans="2:25" x14ac:dyDescent="0.25">
      <c r="C38" s="1" t="s">
        <v>128</v>
      </c>
      <c r="D38" s="88">
        <v>12</v>
      </c>
      <c r="E38" s="1" t="s">
        <v>27</v>
      </c>
      <c r="T38" s="49"/>
      <c r="U38" s="49"/>
      <c r="V38" s="49">
        <v>35</v>
      </c>
      <c r="W38" s="49">
        <f>((('Pump Design Summary'!$E$16-'Pump Design Summary'!$D$16)/1000)*V38)+'Pump Design Summary'!$D$16</f>
        <v>0</v>
      </c>
      <c r="X38" s="49">
        <f>IF(ISEVEN(V38),MAX('Pump Design Summary'!$D$29:$H$29)+50,0)</f>
        <v>0</v>
      </c>
      <c r="Y38" s="49"/>
    </row>
    <row r="39" spans="2:25" ht="15.75" thickBot="1" x14ac:dyDescent="0.3">
      <c r="C39" s="1" t="s">
        <v>129</v>
      </c>
      <c r="D39" s="88">
        <v>12.5</v>
      </c>
      <c r="E39" s="1" t="s">
        <v>27</v>
      </c>
      <c r="T39" s="49"/>
      <c r="U39" s="49"/>
      <c r="V39" s="49">
        <v>36</v>
      </c>
      <c r="W39" s="49">
        <f>((('Pump Design Summary'!$E$16-'Pump Design Summary'!$D$16)/1000)*V39)+'Pump Design Summary'!$D$16</f>
        <v>0</v>
      </c>
      <c r="X39" s="49">
        <f>IF(ISEVEN(V39),MAX('Pump Design Summary'!$D$29:$H$29)+50,0)</f>
        <v>50</v>
      </c>
      <c r="Y39" s="49"/>
    </row>
    <row r="40" spans="2:25" ht="15.75" thickBot="1" x14ac:dyDescent="0.3">
      <c r="C40" s="253" t="s">
        <v>128</v>
      </c>
      <c r="D40" s="254"/>
      <c r="E40" s="255"/>
      <c r="F40" s="253" t="s">
        <v>129</v>
      </c>
      <c r="G40" s="254"/>
      <c r="H40" s="255"/>
      <c r="T40" s="49"/>
      <c r="U40" s="49"/>
      <c r="V40" s="49">
        <v>37</v>
      </c>
      <c r="W40" s="49">
        <f>((('Pump Design Summary'!$E$16-'Pump Design Summary'!$D$16)/1000)*V40)+'Pump Design Summary'!$D$16</f>
        <v>0</v>
      </c>
      <c r="X40" s="49">
        <f>IF(ISEVEN(V40),MAX('Pump Design Summary'!$D$29:$H$29)+50,0)</f>
        <v>0</v>
      </c>
      <c r="Y40" s="49"/>
    </row>
    <row r="41" spans="2:25" ht="15.75" thickBot="1" x14ac:dyDescent="0.3">
      <c r="C41" s="77" t="s">
        <v>130</v>
      </c>
      <c r="D41" s="77" t="s">
        <v>82</v>
      </c>
      <c r="E41" s="77" t="s">
        <v>131</v>
      </c>
      <c r="F41" s="77" t="s">
        <v>130</v>
      </c>
      <c r="G41" s="77" t="s">
        <v>82</v>
      </c>
      <c r="H41" s="77" t="s">
        <v>132</v>
      </c>
      <c r="T41" s="49"/>
      <c r="U41" s="49"/>
      <c r="V41" s="49">
        <v>38</v>
      </c>
      <c r="W41" s="49">
        <f>((('Pump Design Summary'!$E$16-'Pump Design Summary'!$D$16)/1000)*V41)+'Pump Design Summary'!$D$16</f>
        <v>0</v>
      </c>
      <c r="X41" s="49">
        <f>IF(ISEVEN(V41),MAX('Pump Design Summary'!$D$29:$H$29)+50,0)</f>
        <v>50</v>
      </c>
      <c r="Y41" s="49"/>
    </row>
    <row r="42" spans="2:25" x14ac:dyDescent="0.25">
      <c r="C42" s="78"/>
      <c r="D42" s="78"/>
      <c r="E42" s="83"/>
      <c r="F42" s="85">
        <f>C42*(($D$39/$D$38)^2)</f>
        <v>0</v>
      </c>
      <c r="G42" s="85">
        <f>D42*($D$39/$D$38)</f>
        <v>0</v>
      </c>
      <c r="H42" s="86">
        <f>IF($D$39&lt;$D$38,(1-(($D$39/$D$38)^0.2)*(1-E42)),(1-((1-E42)/(($D$39/$D$38)^0.2))))</f>
        <v>8.1311607174336942E-3</v>
      </c>
      <c r="T42" s="49"/>
      <c r="U42" s="49"/>
      <c r="V42" s="49">
        <v>39</v>
      </c>
      <c r="W42" s="49">
        <f>((('Pump Design Summary'!$E$16-'Pump Design Summary'!$D$16)/1000)*V42)+'Pump Design Summary'!$D$16</f>
        <v>0</v>
      </c>
      <c r="X42" s="49">
        <f>IF(ISEVEN(V42),MAX('Pump Design Summary'!$D$29:$H$29)+50,0)</f>
        <v>0</v>
      </c>
      <c r="Y42" s="49"/>
    </row>
    <row r="43" spans="2:25" x14ac:dyDescent="0.25">
      <c r="C43" s="78"/>
      <c r="D43" s="78"/>
      <c r="E43" s="83"/>
      <c r="F43" s="79">
        <f t="shared" ref="F43:F51" si="5">C43*(($D$39/$D$38)^2)</f>
        <v>0</v>
      </c>
      <c r="G43" s="79">
        <f t="shared" ref="G43:G51" si="6">D43*($D$39/$D$38)</f>
        <v>0</v>
      </c>
      <c r="H43" s="82">
        <f t="shared" ref="H43:H51" si="7">IF($D$39&lt;$D$38,(1-(($D$39/$D$38)^0.2)*(1-E43)),(1-((1-E43)/(($D$39/$D$38)^0.2))))</f>
        <v>8.1311607174336942E-3</v>
      </c>
      <c r="K43" s="49"/>
      <c r="L43" s="49"/>
      <c r="M43" s="49"/>
      <c r="T43" s="49"/>
      <c r="U43" s="49"/>
      <c r="V43" s="49">
        <v>40</v>
      </c>
      <c r="W43" s="49">
        <f>((('Pump Design Summary'!$E$16-'Pump Design Summary'!$D$16)/1000)*V43)+'Pump Design Summary'!$D$16</f>
        <v>0</v>
      </c>
      <c r="X43" s="49">
        <f>IF(ISEVEN(V43),MAX('Pump Design Summary'!$D$29:$H$29)+50,0)</f>
        <v>50</v>
      </c>
      <c r="Y43" s="49"/>
    </row>
    <row r="44" spans="2:25" x14ac:dyDescent="0.25">
      <c r="C44" s="78"/>
      <c r="D44" s="78"/>
      <c r="E44" s="83"/>
      <c r="F44" s="79">
        <f t="shared" si="5"/>
        <v>0</v>
      </c>
      <c r="G44" s="79">
        <f t="shared" si="6"/>
        <v>0</v>
      </c>
      <c r="H44" s="82">
        <f t="shared" si="7"/>
        <v>8.1311607174336942E-3</v>
      </c>
      <c r="K44" s="49"/>
      <c r="T44" s="49"/>
      <c r="U44" s="49"/>
      <c r="V44" s="49">
        <v>41</v>
      </c>
      <c r="W44" s="49">
        <f>((('Pump Design Summary'!$E$16-'Pump Design Summary'!$D$16)/1000)*V44)+'Pump Design Summary'!$D$16</f>
        <v>0</v>
      </c>
      <c r="X44" s="49">
        <f>IF(ISEVEN(V44),MAX('Pump Design Summary'!$D$29:$H$29)+50,0)</f>
        <v>0</v>
      </c>
      <c r="Y44" s="49"/>
    </row>
    <row r="45" spans="2:25" x14ac:dyDescent="0.25">
      <c r="C45" s="78"/>
      <c r="D45" s="78"/>
      <c r="E45" s="83"/>
      <c r="F45" s="79">
        <f t="shared" si="5"/>
        <v>0</v>
      </c>
      <c r="G45" s="79">
        <f t="shared" si="6"/>
        <v>0</v>
      </c>
      <c r="H45" s="82">
        <f t="shared" si="7"/>
        <v>8.1311607174336942E-3</v>
      </c>
      <c r="K45" s="49"/>
      <c r="T45" s="49"/>
      <c r="U45" s="49"/>
      <c r="V45" s="49">
        <v>42</v>
      </c>
      <c r="W45" s="49">
        <f>((('Pump Design Summary'!$E$16-'Pump Design Summary'!$D$16)/1000)*V45)+'Pump Design Summary'!$D$16</f>
        <v>0</v>
      </c>
      <c r="X45" s="49">
        <f>IF(ISEVEN(V45),MAX('Pump Design Summary'!$D$29:$H$29)+50,0)</f>
        <v>50</v>
      </c>
      <c r="Y45" s="49"/>
    </row>
    <row r="46" spans="2:25" x14ac:dyDescent="0.25">
      <c r="C46" s="78"/>
      <c r="D46" s="78"/>
      <c r="E46" s="83"/>
      <c r="F46" s="79">
        <f t="shared" si="5"/>
        <v>0</v>
      </c>
      <c r="G46" s="79">
        <f t="shared" si="6"/>
        <v>0</v>
      </c>
      <c r="H46" s="82">
        <f t="shared" si="7"/>
        <v>8.1311607174336942E-3</v>
      </c>
      <c r="K46" s="49"/>
      <c r="T46" s="49"/>
      <c r="U46" s="49"/>
      <c r="V46" s="49">
        <v>43</v>
      </c>
      <c r="W46" s="49">
        <f>((('Pump Design Summary'!$E$16-'Pump Design Summary'!$D$16)/1000)*V46)+'Pump Design Summary'!$D$16</f>
        <v>0</v>
      </c>
      <c r="X46" s="49">
        <f>IF(ISEVEN(V46),MAX('Pump Design Summary'!$D$29:$H$29)+50,0)</f>
        <v>0</v>
      </c>
      <c r="Y46" s="49"/>
    </row>
    <row r="47" spans="2:25" x14ac:dyDescent="0.25">
      <c r="C47" s="78"/>
      <c r="D47" s="78"/>
      <c r="E47" s="83"/>
      <c r="F47" s="79">
        <f t="shared" si="5"/>
        <v>0</v>
      </c>
      <c r="G47" s="79">
        <f t="shared" si="6"/>
        <v>0</v>
      </c>
      <c r="H47" s="82">
        <f t="shared" si="7"/>
        <v>8.1311607174336942E-3</v>
      </c>
      <c r="K47" s="49"/>
      <c r="T47" s="49"/>
      <c r="U47" s="49"/>
      <c r="V47" s="49">
        <v>44</v>
      </c>
      <c r="W47" s="49">
        <f>((('Pump Design Summary'!$E$16-'Pump Design Summary'!$D$16)/1000)*V47)+'Pump Design Summary'!$D$16</f>
        <v>0</v>
      </c>
      <c r="X47" s="49">
        <f>IF(ISEVEN(V47),MAX('Pump Design Summary'!$D$29:$H$29)+50,0)</f>
        <v>50</v>
      </c>
      <c r="Y47" s="49"/>
    </row>
    <row r="48" spans="2:25" x14ac:dyDescent="0.25">
      <c r="C48" s="78"/>
      <c r="D48" s="78"/>
      <c r="E48" s="83"/>
      <c r="F48" s="79">
        <f t="shared" si="5"/>
        <v>0</v>
      </c>
      <c r="G48" s="79">
        <f t="shared" si="6"/>
        <v>0</v>
      </c>
      <c r="H48" s="82">
        <f t="shared" si="7"/>
        <v>8.1311607174336942E-3</v>
      </c>
      <c r="K48" s="49"/>
      <c r="T48" s="49"/>
      <c r="U48" s="49"/>
      <c r="V48" s="49">
        <v>45</v>
      </c>
      <c r="W48" s="49">
        <f>((('Pump Design Summary'!$E$16-'Pump Design Summary'!$D$16)/1000)*V48)+'Pump Design Summary'!$D$16</f>
        <v>0</v>
      </c>
      <c r="X48" s="49">
        <f>IF(ISEVEN(V48),MAX('Pump Design Summary'!$D$29:$H$29)+50,0)</f>
        <v>0</v>
      </c>
      <c r="Y48" s="49"/>
    </row>
    <row r="49" spans="3:25" x14ac:dyDescent="0.25">
      <c r="C49" s="78"/>
      <c r="D49" s="78"/>
      <c r="E49" s="83"/>
      <c r="F49" s="79">
        <f t="shared" si="5"/>
        <v>0</v>
      </c>
      <c r="G49" s="79">
        <f t="shared" si="6"/>
        <v>0</v>
      </c>
      <c r="H49" s="82">
        <f t="shared" si="7"/>
        <v>8.1311607174336942E-3</v>
      </c>
      <c r="T49" s="49"/>
      <c r="U49" s="49"/>
      <c r="V49" s="49">
        <v>46</v>
      </c>
      <c r="W49" s="49">
        <f>((('Pump Design Summary'!$E$16-'Pump Design Summary'!$D$16)/1000)*V49)+'Pump Design Summary'!$D$16</f>
        <v>0</v>
      </c>
      <c r="X49" s="49">
        <f>IF(ISEVEN(V49),MAX('Pump Design Summary'!$D$29:$H$29)+50,0)</f>
        <v>50</v>
      </c>
      <c r="Y49" s="49"/>
    </row>
    <row r="50" spans="3:25" x14ac:dyDescent="0.25">
      <c r="C50" s="78"/>
      <c r="D50" s="78"/>
      <c r="E50" s="83"/>
      <c r="F50" s="79">
        <f t="shared" si="5"/>
        <v>0</v>
      </c>
      <c r="G50" s="79">
        <f t="shared" si="6"/>
        <v>0</v>
      </c>
      <c r="H50" s="82">
        <f t="shared" si="7"/>
        <v>8.1311607174336942E-3</v>
      </c>
      <c r="T50" s="49"/>
      <c r="U50" s="49"/>
      <c r="V50" s="49">
        <v>47</v>
      </c>
      <c r="W50" s="49">
        <f>((('Pump Design Summary'!$E$16-'Pump Design Summary'!$D$16)/1000)*V50)+'Pump Design Summary'!$D$16</f>
        <v>0</v>
      </c>
      <c r="X50" s="49">
        <f>IF(ISEVEN(V50),MAX('Pump Design Summary'!$D$29:$H$29)+50,0)</f>
        <v>0</v>
      </c>
      <c r="Y50" s="49"/>
    </row>
    <row r="51" spans="3:25" ht="15.75" thickBot="1" x14ac:dyDescent="0.3">
      <c r="C51" s="80"/>
      <c r="D51" s="80"/>
      <c r="E51" s="84"/>
      <c r="F51" s="81">
        <f t="shared" si="5"/>
        <v>0</v>
      </c>
      <c r="G51" s="81">
        <f t="shared" si="6"/>
        <v>0</v>
      </c>
      <c r="H51" s="87">
        <f t="shared" si="7"/>
        <v>8.1311607174336942E-3</v>
      </c>
      <c r="T51" s="49"/>
      <c r="U51" s="49"/>
      <c r="V51" s="49">
        <v>48</v>
      </c>
      <c r="W51" s="49">
        <f>((('Pump Design Summary'!$E$16-'Pump Design Summary'!$D$16)/1000)*V51)+'Pump Design Summary'!$D$16</f>
        <v>0</v>
      </c>
      <c r="X51" s="49">
        <f>IF(ISEVEN(V51),MAX('Pump Design Summary'!$D$29:$H$29)+50,0)</f>
        <v>50</v>
      </c>
      <c r="Y51" s="49"/>
    </row>
    <row r="52" spans="3:25" x14ac:dyDescent="0.25">
      <c r="T52" s="49"/>
      <c r="U52" s="49"/>
      <c r="V52" s="49">
        <v>49</v>
      </c>
      <c r="W52" s="49">
        <f>((('Pump Design Summary'!$E$16-'Pump Design Summary'!$D$16)/1000)*V52)+'Pump Design Summary'!$D$16</f>
        <v>0</v>
      </c>
      <c r="X52" s="49">
        <f>IF(ISEVEN(V52),MAX('Pump Design Summary'!$D$29:$H$29)+50,0)</f>
        <v>0</v>
      </c>
      <c r="Y52" s="49"/>
    </row>
    <row r="53" spans="3:25" x14ac:dyDescent="0.25">
      <c r="T53" s="49"/>
      <c r="U53" s="49"/>
      <c r="V53" s="49">
        <v>50</v>
      </c>
      <c r="W53" s="49">
        <f>((('Pump Design Summary'!$E$16-'Pump Design Summary'!$D$16)/1000)*V53)+'Pump Design Summary'!$D$16</f>
        <v>0</v>
      </c>
      <c r="X53" s="49">
        <f>IF(ISEVEN(V53),MAX('Pump Design Summary'!$D$29:$H$29)+50,0)</f>
        <v>50</v>
      </c>
      <c r="Y53" s="49"/>
    </row>
    <row r="54" spans="3:25" x14ac:dyDescent="0.25">
      <c r="T54" s="49"/>
      <c r="U54" s="49"/>
      <c r="V54" s="49">
        <v>51</v>
      </c>
      <c r="W54" s="49">
        <f>((('Pump Design Summary'!$E$16-'Pump Design Summary'!$D$16)/1000)*V54)+'Pump Design Summary'!$D$16</f>
        <v>0</v>
      </c>
      <c r="X54" s="49">
        <f>IF(ISEVEN(V54),MAX('Pump Design Summary'!$D$29:$H$29)+50,0)</f>
        <v>0</v>
      </c>
      <c r="Y54" s="49"/>
    </row>
    <row r="55" spans="3:25" x14ac:dyDescent="0.25">
      <c r="T55" s="49"/>
      <c r="U55" s="49"/>
      <c r="V55" s="49">
        <v>52</v>
      </c>
      <c r="W55" s="49">
        <f>((('Pump Design Summary'!$E$16-'Pump Design Summary'!$D$16)/1000)*V55)+'Pump Design Summary'!$D$16</f>
        <v>0</v>
      </c>
      <c r="X55" s="49">
        <f>IF(ISEVEN(V55),MAX('Pump Design Summary'!$D$29:$H$29)+50,0)</f>
        <v>50</v>
      </c>
      <c r="Y55" s="49"/>
    </row>
    <row r="56" spans="3:25" x14ac:dyDescent="0.25">
      <c r="T56" s="49"/>
      <c r="U56" s="49"/>
      <c r="V56" s="49">
        <v>53</v>
      </c>
      <c r="W56" s="49">
        <f>((('Pump Design Summary'!$E$16-'Pump Design Summary'!$D$16)/1000)*V56)+'Pump Design Summary'!$D$16</f>
        <v>0</v>
      </c>
      <c r="X56" s="49">
        <f>IF(ISEVEN(V56),MAX('Pump Design Summary'!$D$29:$H$29)+50,0)</f>
        <v>0</v>
      </c>
      <c r="Y56" s="49"/>
    </row>
    <row r="57" spans="3:25" x14ac:dyDescent="0.25">
      <c r="T57" s="49"/>
      <c r="U57" s="49"/>
      <c r="V57" s="49">
        <v>54</v>
      </c>
      <c r="W57" s="49">
        <f>((('Pump Design Summary'!$E$16-'Pump Design Summary'!$D$16)/1000)*V57)+'Pump Design Summary'!$D$16</f>
        <v>0</v>
      </c>
      <c r="X57" s="49">
        <f>IF(ISEVEN(V57),MAX('Pump Design Summary'!$D$29:$H$29)+50,0)</f>
        <v>50</v>
      </c>
      <c r="Y57" s="49"/>
    </row>
    <row r="58" spans="3:25" x14ac:dyDescent="0.25">
      <c r="T58" s="49"/>
      <c r="U58" s="49"/>
      <c r="V58" s="49">
        <v>55</v>
      </c>
      <c r="W58" s="49">
        <f>((('Pump Design Summary'!$E$16-'Pump Design Summary'!$D$16)/1000)*V58)+'Pump Design Summary'!$D$16</f>
        <v>0</v>
      </c>
      <c r="X58" s="49">
        <f>IF(ISEVEN(V58),MAX('Pump Design Summary'!$D$29:$H$29)+50,0)</f>
        <v>0</v>
      </c>
      <c r="Y58" s="49"/>
    </row>
    <row r="59" spans="3:25" x14ac:dyDescent="0.25">
      <c r="T59" s="49"/>
      <c r="U59" s="49"/>
      <c r="V59" s="49">
        <v>56</v>
      </c>
      <c r="W59" s="49">
        <f>((('Pump Design Summary'!$E$16-'Pump Design Summary'!$D$16)/1000)*V59)+'Pump Design Summary'!$D$16</f>
        <v>0</v>
      </c>
      <c r="X59" s="49">
        <f>IF(ISEVEN(V59),MAX('Pump Design Summary'!$D$29:$H$29)+50,0)</f>
        <v>50</v>
      </c>
      <c r="Y59" s="49"/>
    </row>
    <row r="60" spans="3:25" x14ac:dyDescent="0.25">
      <c r="T60" s="49"/>
      <c r="U60" s="49"/>
      <c r="V60" s="49">
        <v>57</v>
      </c>
      <c r="W60" s="49">
        <f>((('Pump Design Summary'!$E$16-'Pump Design Summary'!$D$16)/1000)*V60)+'Pump Design Summary'!$D$16</f>
        <v>0</v>
      </c>
      <c r="X60" s="49">
        <f>IF(ISEVEN(V60),MAX('Pump Design Summary'!$D$29:$H$29)+50,0)</f>
        <v>0</v>
      </c>
      <c r="Y60" s="49"/>
    </row>
    <row r="61" spans="3:25" x14ac:dyDescent="0.25">
      <c r="T61" s="49"/>
      <c r="U61" s="49"/>
      <c r="V61" s="49">
        <v>58</v>
      </c>
      <c r="W61" s="49">
        <f>((('Pump Design Summary'!$E$16-'Pump Design Summary'!$D$16)/1000)*V61)+'Pump Design Summary'!$D$16</f>
        <v>0</v>
      </c>
      <c r="X61" s="49">
        <f>IF(ISEVEN(V61),MAX('Pump Design Summary'!$D$29:$H$29)+50,0)</f>
        <v>50</v>
      </c>
      <c r="Y61" s="49"/>
    </row>
    <row r="62" spans="3:25" x14ac:dyDescent="0.25">
      <c r="T62" s="49"/>
      <c r="U62" s="49"/>
      <c r="V62" s="49">
        <v>59</v>
      </c>
      <c r="W62" s="49">
        <f>((('Pump Design Summary'!$E$16-'Pump Design Summary'!$D$16)/1000)*V62)+'Pump Design Summary'!$D$16</f>
        <v>0</v>
      </c>
      <c r="X62" s="49">
        <f>IF(ISEVEN(V62),MAX('Pump Design Summary'!$D$29:$H$29)+50,0)</f>
        <v>0</v>
      </c>
      <c r="Y62" s="49"/>
    </row>
    <row r="63" spans="3:25" x14ac:dyDescent="0.25">
      <c r="T63" s="49"/>
      <c r="U63" s="49"/>
      <c r="V63" s="49">
        <v>60</v>
      </c>
      <c r="W63" s="49">
        <f>((('Pump Design Summary'!$E$16-'Pump Design Summary'!$D$16)/1000)*V63)+'Pump Design Summary'!$D$16</f>
        <v>0</v>
      </c>
      <c r="X63" s="49">
        <f>IF(ISEVEN(V63),MAX('Pump Design Summary'!$D$29:$H$29)+50,0)</f>
        <v>50</v>
      </c>
      <c r="Y63" s="49"/>
    </row>
    <row r="64" spans="3:25" x14ac:dyDescent="0.25">
      <c r="T64" s="49"/>
      <c r="U64" s="49"/>
      <c r="V64" s="49">
        <v>61</v>
      </c>
      <c r="W64" s="49">
        <f>((('Pump Design Summary'!$E$16-'Pump Design Summary'!$D$16)/1000)*V64)+'Pump Design Summary'!$D$16</f>
        <v>0</v>
      </c>
      <c r="X64" s="49">
        <f>IF(ISEVEN(V64),MAX('Pump Design Summary'!$D$29:$H$29)+50,0)</f>
        <v>0</v>
      </c>
      <c r="Y64" s="49"/>
    </row>
    <row r="65" spans="1:25" x14ac:dyDescent="0.25">
      <c r="T65" s="49"/>
      <c r="U65" s="49"/>
      <c r="V65" s="49">
        <v>62</v>
      </c>
      <c r="W65" s="49">
        <f>((('Pump Design Summary'!$E$16-'Pump Design Summary'!$D$16)/1000)*V65)+'Pump Design Summary'!$D$16</f>
        <v>0</v>
      </c>
      <c r="X65" s="49">
        <f>IF(ISEVEN(V65),MAX('Pump Design Summary'!$D$29:$H$29)+50,0)</f>
        <v>50</v>
      </c>
      <c r="Y65" s="49"/>
    </row>
    <row r="66" spans="1:25" x14ac:dyDescent="0.25">
      <c r="T66" s="49"/>
      <c r="U66" s="49"/>
      <c r="V66" s="49">
        <v>63</v>
      </c>
      <c r="W66" s="49">
        <f>((('Pump Design Summary'!$E$16-'Pump Design Summary'!$D$16)/1000)*V66)+'Pump Design Summary'!$D$16</f>
        <v>0</v>
      </c>
      <c r="X66" s="49">
        <f>IF(ISEVEN(V66),MAX('Pump Design Summary'!$D$29:$H$29)+50,0)</f>
        <v>0</v>
      </c>
      <c r="Y66" s="49"/>
    </row>
    <row r="67" spans="1:25" x14ac:dyDescent="0.25">
      <c r="T67" s="49"/>
      <c r="U67" s="49"/>
      <c r="V67" s="49">
        <v>64</v>
      </c>
      <c r="W67" s="49">
        <f>((('Pump Design Summary'!$E$16-'Pump Design Summary'!$D$16)/1000)*V67)+'Pump Design Summary'!$D$16</f>
        <v>0</v>
      </c>
      <c r="X67" s="49">
        <f>IF(ISEVEN(V67),MAX('Pump Design Summary'!$D$29:$H$29)+50,0)</f>
        <v>50</v>
      </c>
      <c r="Y67" s="49"/>
    </row>
    <row r="68" spans="1:25" x14ac:dyDescent="0.25">
      <c r="T68" s="49"/>
      <c r="U68" s="49"/>
      <c r="V68" s="49">
        <v>65</v>
      </c>
      <c r="W68" s="49">
        <f>((('Pump Design Summary'!$E$16-'Pump Design Summary'!$D$16)/1000)*V68)+'Pump Design Summary'!$D$16</f>
        <v>0</v>
      </c>
      <c r="X68" s="49">
        <f>IF(ISEVEN(V68),MAX('Pump Design Summary'!$D$29:$H$29)+50,0)</f>
        <v>0</v>
      </c>
      <c r="Y68" s="49"/>
    </row>
    <row r="69" spans="1:25" x14ac:dyDescent="0.25">
      <c r="B69" s="1" t="s">
        <v>169</v>
      </c>
      <c r="T69" s="49"/>
      <c r="U69" s="49"/>
      <c r="V69" s="49">
        <v>66</v>
      </c>
      <c r="W69" s="49">
        <f>((('Pump Design Summary'!$E$16-'Pump Design Summary'!$D$16)/1000)*V69)+'Pump Design Summary'!$D$16</f>
        <v>0</v>
      </c>
      <c r="X69" s="49">
        <f>IF(ISEVEN(V69),MAX('Pump Design Summary'!$D$29:$H$29)+50,0)</f>
        <v>50</v>
      </c>
      <c r="Y69" s="49"/>
    </row>
    <row r="70" spans="1:25" ht="15.75" thickBot="1" x14ac:dyDescent="0.3">
      <c r="T70" s="49"/>
      <c r="U70" s="49"/>
      <c r="V70" s="49">
        <v>67</v>
      </c>
      <c r="W70" s="49">
        <f>((('Pump Design Summary'!$E$16-'Pump Design Summary'!$D$16)/1000)*V70)+'Pump Design Summary'!$D$16</f>
        <v>0</v>
      </c>
      <c r="X70" s="49">
        <f>IF(ISEVEN(V70),MAX('Pump Design Summary'!$D$29:$H$29)+50,0)</f>
        <v>0</v>
      </c>
      <c r="Y70" s="49"/>
    </row>
    <row r="71" spans="1:25" ht="15.75" thickBot="1" x14ac:dyDescent="0.3">
      <c r="C71" s="220" t="s">
        <v>170</v>
      </c>
      <c r="D71" s="249"/>
      <c r="E71" s="249"/>
      <c r="F71" s="249"/>
      <c r="G71" s="249"/>
      <c r="H71" s="221"/>
      <c r="T71" s="49"/>
      <c r="U71" s="49"/>
      <c r="V71" s="49">
        <v>68</v>
      </c>
      <c r="W71" s="49">
        <f>((('Pump Design Summary'!$E$16-'Pump Design Summary'!$D$16)/1000)*V71)+'Pump Design Summary'!$D$16</f>
        <v>0</v>
      </c>
      <c r="X71" s="49">
        <f>IF(ISEVEN(V71),MAX('Pump Design Summary'!$D$29:$H$29)+50,0)</f>
        <v>50</v>
      </c>
      <c r="Y71" s="49"/>
    </row>
    <row r="72" spans="1:25" x14ac:dyDescent="0.25">
      <c r="C72" s="21" t="str">
        <f>'System Curve'!AC30</f>
        <v>6x8 Ell</v>
      </c>
      <c r="D72" s="21" t="str">
        <f>'System Curve'!AD30</f>
        <v>SCV</v>
      </c>
      <c r="E72" s="21" t="str">
        <f>'System Curve'!AE30</f>
        <v>Plug V</v>
      </c>
      <c r="F72" s="21" t="str">
        <f>'System Curve'!AF30</f>
        <v>8x10 Ell</v>
      </c>
      <c r="G72" s="21" t="str">
        <f>'System Curve'!AG30</f>
        <v>Tee-Line</v>
      </c>
      <c r="H72" s="21" t="str">
        <f>'System Curve'!AH30</f>
        <v>Tee-Line</v>
      </c>
      <c r="T72" s="49"/>
      <c r="U72" s="49"/>
      <c r="V72" s="49">
        <v>69</v>
      </c>
      <c r="W72" s="49">
        <f>((('Pump Design Summary'!$E$16-'Pump Design Summary'!$D$16)/1000)*V72)+'Pump Design Summary'!$D$16</f>
        <v>0</v>
      </c>
      <c r="X72" s="49">
        <f>IF(ISEVEN(V72),MAX('Pump Design Summary'!$D$29:$H$29)+50,0)</f>
        <v>0</v>
      </c>
      <c r="Y72" s="49"/>
    </row>
    <row r="73" spans="1:25" ht="15" customHeight="1" x14ac:dyDescent="0.25">
      <c r="B73" s="161" t="s">
        <v>123</v>
      </c>
      <c r="C73" s="146">
        <v>8</v>
      </c>
      <c r="D73" s="4">
        <f>'System Curve'!AD31</f>
        <v>12</v>
      </c>
      <c r="E73" s="4">
        <f>'System Curve'!AE31</f>
        <v>12</v>
      </c>
      <c r="F73" s="4">
        <f>'System Curve'!AF31</f>
        <v>12</v>
      </c>
      <c r="G73" s="4">
        <f>'System Curve'!AG31</f>
        <v>12</v>
      </c>
      <c r="H73" s="4">
        <f>'System Curve'!AH31</f>
        <v>12</v>
      </c>
      <c r="T73" s="49"/>
      <c r="U73" s="49"/>
      <c r="V73" s="49">
        <v>70</v>
      </c>
      <c r="W73" s="49">
        <f>((('Pump Design Summary'!$E$16-'Pump Design Summary'!$D$16)/1000)*V73)+'Pump Design Summary'!$D$16</f>
        <v>0</v>
      </c>
      <c r="X73" s="49">
        <f>IF(ISEVEN(V73),MAX('Pump Design Summary'!$D$29:$H$29)+50,0)</f>
        <v>50</v>
      </c>
      <c r="Y73" s="49"/>
    </row>
    <row r="74" spans="1:25" ht="15.75" thickBot="1" x14ac:dyDescent="0.3">
      <c r="B74" s="162" t="s">
        <v>119</v>
      </c>
      <c r="C74" s="146">
        <v>0.75</v>
      </c>
      <c r="D74" s="4">
        <v>0.5</v>
      </c>
      <c r="E74" s="4">
        <v>0.5</v>
      </c>
      <c r="F74" s="4">
        <v>0.5</v>
      </c>
      <c r="G74" s="4">
        <v>0.5</v>
      </c>
      <c r="H74" s="4">
        <v>0.5</v>
      </c>
      <c r="I74" s="1" t="s">
        <v>171</v>
      </c>
      <c r="J74" s="1" t="s">
        <v>172</v>
      </c>
      <c r="K74" s="1" t="s">
        <v>173</v>
      </c>
      <c r="M74" s="157"/>
      <c r="T74" s="49"/>
      <c r="U74" s="49"/>
      <c r="V74" s="49">
        <v>71</v>
      </c>
      <c r="W74" s="49">
        <f>((('Pump Design Summary'!$E$16-'Pump Design Summary'!$D$16)/1000)*V74)+'Pump Design Summary'!$D$16</f>
        <v>0</v>
      </c>
      <c r="X74" s="49">
        <f>IF(ISEVEN(V74),MAX('Pump Design Summary'!$D$29:$H$29)+50,0)</f>
        <v>0</v>
      </c>
      <c r="Y74" s="49"/>
    </row>
    <row r="75" spans="1:25" x14ac:dyDescent="0.25">
      <c r="A75" s="250" t="s">
        <v>5</v>
      </c>
      <c r="B75" s="159">
        <v>0</v>
      </c>
      <c r="C75" s="99">
        <f>(C$74*((B75/449)/((0.25*PI()*$C$73^2)/144))^2)/64.4</f>
        <v>0</v>
      </c>
      <c r="D75" s="99">
        <f t="shared" ref="D75:H75" si="8">(D$74*((C75/449)/((0.25*PI()*$C$73^2)/144))^2)/64.4</f>
        <v>0</v>
      </c>
      <c r="E75" s="99">
        <f t="shared" si="8"/>
        <v>0</v>
      </c>
      <c r="F75" s="99">
        <f t="shared" si="8"/>
        <v>0</v>
      </c>
      <c r="G75" s="99">
        <f t="shared" si="8"/>
        <v>0</v>
      </c>
      <c r="H75" s="99">
        <f t="shared" si="8"/>
        <v>0</v>
      </c>
      <c r="I75" s="158">
        <f>SUM(C75:H75)</f>
        <v>0</v>
      </c>
      <c r="J75" s="158">
        <f>(10.44*'System Curve'!$D$28*('Pump Curve'!B75^1.85))/(('System Curve'!$D$26^1.85)*('System Curve'!$D$27^4.87))</f>
        <v>0</v>
      </c>
      <c r="K75" s="158">
        <f>SUM(I75:J75)</f>
        <v>0</v>
      </c>
      <c r="T75" s="49"/>
      <c r="U75" s="49"/>
      <c r="V75" s="49">
        <v>72</v>
      </c>
      <c r="W75" s="49">
        <f>((('Pump Design Summary'!$E$16-'Pump Design Summary'!$D$16)/1000)*V75)+'Pump Design Summary'!$D$16</f>
        <v>0</v>
      </c>
      <c r="X75" s="49">
        <f>IF(ISEVEN(V75),MAX('Pump Design Summary'!$D$29:$H$29)+50,0)</f>
        <v>50</v>
      </c>
      <c r="Y75" s="49"/>
    </row>
    <row r="76" spans="1:25" x14ac:dyDescent="0.25">
      <c r="A76" s="251"/>
      <c r="B76" s="159">
        <f t="shared" ref="B76:B83" si="9">D11</f>
        <v>840</v>
      </c>
      <c r="C76" s="99">
        <f t="shared" ref="C76:H83" si="10">(C$74*((B76/449)/((0.25*PI()*$C$73^2)/144))^2)/64.4</f>
        <v>0.33452344425925873</v>
      </c>
      <c r="D76" s="99">
        <f t="shared" si="10"/>
        <v>3.5369575518384798E-8</v>
      </c>
      <c r="E76" s="99">
        <f t="shared" si="10"/>
        <v>3.9539978054683242E-22</v>
      </c>
      <c r="F76" s="99">
        <f t="shared" si="10"/>
        <v>4.9413950555851199E-50</v>
      </c>
      <c r="G76" s="99">
        <f t="shared" si="10"/>
        <v>7.7174865475291714E-106</v>
      </c>
      <c r="H76" s="99">
        <f t="shared" si="10"/>
        <v>1.8824718505431728E-217</v>
      </c>
      <c r="I76" s="158">
        <f t="shared" ref="I76:I83" si="11">SUM(C76:H76)</f>
        <v>0.33452347962883422</v>
      </c>
      <c r="J76" s="158">
        <f>(10.44*'System Curve'!$D$28*('Pump Curve'!B76^1.85))/(('System Curve'!$D$26^1.85)*('System Curve'!$D$27^4.87))</f>
        <v>1.4442659536540753E-2</v>
      </c>
      <c r="K76" s="158">
        <f t="shared" ref="K76:K83" si="12">SUM(I76:J76)</f>
        <v>0.348966139165375</v>
      </c>
      <c r="T76" s="49"/>
      <c r="U76" s="49"/>
      <c r="V76" s="49">
        <v>73</v>
      </c>
      <c r="W76" s="49">
        <f>((('Pump Design Summary'!$E$16-'Pump Design Summary'!$D$16)/1000)*V76)+'Pump Design Summary'!$D$16</f>
        <v>0</v>
      </c>
      <c r="X76" s="49">
        <f>IF(ISEVEN(V76),MAX('Pump Design Summary'!$D$29:$H$29)+50,0)</f>
        <v>0</v>
      </c>
      <c r="Y76" s="49"/>
    </row>
    <row r="77" spans="1:25" x14ac:dyDescent="0.25">
      <c r="A77" s="251"/>
      <c r="B77" s="159">
        <f t="shared" si="9"/>
        <v>1260</v>
      </c>
      <c r="C77" s="99">
        <f t="shared" si="10"/>
        <v>0.75267774958333211</v>
      </c>
      <c r="D77" s="99">
        <f t="shared" si="10"/>
        <v>1.7905847606182305E-7</v>
      </c>
      <c r="E77" s="99">
        <f t="shared" si="10"/>
        <v>1.0133663906905342E-20</v>
      </c>
      <c r="F77" s="99">
        <f t="shared" si="10"/>
        <v>3.2457100571983658E-47</v>
      </c>
      <c r="G77" s="99">
        <f t="shared" si="10"/>
        <v>3.3296314952345659E-100</v>
      </c>
      <c r="H77" s="99">
        <f t="shared" si="10"/>
        <v>3.5040401219521818E-206</v>
      </c>
      <c r="I77" s="158">
        <f t="shared" si="11"/>
        <v>0.75267792864180816</v>
      </c>
      <c r="J77" s="158">
        <f>(10.44*'System Curve'!$D$28*('Pump Curve'!B77^1.85))/(('System Curve'!$D$26^1.85)*('System Curve'!$D$27^4.87))</f>
        <v>3.0578487686246401E-2</v>
      </c>
      <c r="K77" s="158">
        <f t="shared" si="12"/>
        <v>0.78325641632805454</v>
      </c>
      <c r="T77" s="49"/>
      <c r="U77" s="49"/>
      <c r="V77" s="49">
        <v>74</v>
      </c>
      <c r="W77" s="49">
        <f>((('Pump Design Summary'!$E$16-'Pump Design Summary'!$D$16)/1000)*V77)+'Pump Design Summary'!$D$16</f>
        <v>0</v>
      </c>
      <c r="X77" s="49">
        <f>IF(ISEVEN(V77),MAX('Pump Design Summary'!$D$29:$H$29)+50,0)</f>
        <v>50</v>
      </c>
      <c r="Y77" s="49"/>
    </row>
    <row r="78" spans="1:25" x14ac:dyDescent="0.25">
      <c r="A78" s="251"/>
      <c r="B78" s="159">
        <f t="shared" si="9"/>
        <v>1680</v>
      </c>
      <c r="C78" s="99">
        <f t="shared" si="10"/>
        <v>1.3380937770370349</v>
      </c>
      <c r="D78" s="99">
        <f t="shared" si="10"/>
        <v>5.6591320829415676E-7</v>
      </c>
      <c r="E78" s="99">
        <f t="shared" si="10"/>
        <v>1.012223438199891E-19</v>
      </c>
      <c r="F78" s="99">
        <f t="shared" si="10"/>
        <v>3.2383926636282642E-45</v>
      </c>
      <c r="G78" s="99">
        <f t="shared" si="10"/>
        <v>3.3146352328957741E-96</v>
      </c>
      <c r="H78" s="99">
        <f t="shared" si="10"/>
        <v>3.4725476452932325E-198</v>
      </c>
      <c r="I78" s="158">
        <f t="shared" si="11"/>
        <v>1.3380943429502432</v>
      </c>
      <c r="J78" s="158">
        <f>(10.44*'System Curve'!$D$28*('Pump Curve'!B78^1.85))/(('System Curve'!$D$26^1.85)*('System Curve'!$D$27^4.87))</f>
        <v>5.2065814354552327E-2</v>
      </c>
      <c r="K78" s="158">
        <f t="shared" si="12"/>
        <v>1.3901601573047955</v>
      </c>
      <c r="T78" s="49"/>
      <c r="U78" s="49"/>
      <c r="V78" s="49">
        <v>75</v>
      </c>
      <c r="W78" s="49">
        <f>((('Pump Design Summary'!$E$16-'Pump Design Summary'!$D$16)/1000)*V78)+'Pump Design Summary'!$D$16</f>
        <v>0</v>
      </c>
      <c r="X78" s="49">
        <f>IF(ISEVEN(V78),MAX('Pump Design Summary'!$D$29:$H$29)+50,0)</f>
        <v>0</v>
      </c>
      <c r="Y78" s="49"/>
    </row>
    <row r="79" spans="1:25" x14ac:dyDescent="0.25">
      <c r="A79" s="251"/>
      <c r="B79" s="159">
        <f t="shared" si="9"/>
        <v>2100</v>
      </c>
      <c r="C79" s="99">
        <f t="shared" si="10"/>
        <v>2.0907715266203679</v>
      </c>
      <c r="D79" s="99">
        <f t="shared" si="10"/>
        <v>1.3816240436869072E-6</v>
      </c>
      <c r="E79" s="99">
        <f t="shared" si="10"/>
        <v>6.0333218467229167E-19</v>
      </c>
      <c r="F79" s="99">
        <f t="shared" si="10"/>
        <v>1.1505081913399356E-43</v>
      </c>
      <c r="G79" s="99">
        <f t="shared" si="10"/>
        <v>4.1836578404794138E-93</v>
      </c>
      <c r="H79" s="99">
        <f t="shared" si="10"/>
        <v>5.5320875647387531E-192</v>
      </c>
      <c r="I79" s="158">
        <f t="shared" si="11"/>
        <v>2.0907729082444115</v>
      </c>
      <c r="J79" s="158">
        <f>(10.44*'System Curve'!$D$28*('Pump Curve'!B79^1.85))/(('System Curve'!$D$26^1.85)*('System Curve'!$D$27^4.87))</f>
        <v>7.8674898190952164E-2</v>
      </c>
      <c r="K79" s="158">
        <f t="shared" si="12"/>
        <v>2.1694478064353637</v>
      </c>
      <c r="T79" s="49"/>
      <c r="U79" s="49"/>
      <c r="V79" s="49">
        <v>76</v>
      </c>
      <c r="W79" s="49">
        <f>((('Pump Design Summary'!$E$16-'Pump Design Summary'!$D$16)/1000)*V79)+'Pump Design Summary'!$D$16</f>
        <v>0</v>
      </c>
      <c r="X79" s="49">
        <f>IF(ISEVEN(V79),MAX('Pump Design Summary'!$D$29:$H$29)+50,0)</f>
        <v>50</v>
      </c>
      <c r="Y79" s="49"/>
    </row>
    <row r="80" spans="1:25" x14ac:dyDescent="0.25">
      <c r="A80" s="251"/>
      <c r="B80" s="159">
        <f t="shared" si="9"/>
        <v>2520</v>
      </c>
      <c r="C80" s="99">
        <f t="shared" si="10"/>
        <v>3.0107109983333284</v>
      </c>
      <c r="D80" s="99">
        <f t="shared" si="10"/>
        <v>2.8649356169891688E-6</v>
      </c>
      <c r="E80" s="99">
        <f t="shared" si="10"/>
        <v>2.5942179601677675E-18</v>
      </c>
      <c r="F80" s="99">
        <f t="shared" si="10"/>
        <v>2.127108543085521E-42</v>
      </c>
      <c r="G80" s="99">
        <f t="shared" si="10"/>
        <v>1.430065837976404E-90</v>
      </c>
      <c r="H80" s="99">
        <f t="shared" si="10"/>
        <v>6.4638131353661905E-187</v>
      </c>
      <c r="I80" s="158">
        <f t="shared" si="11"/>
        <v>3.0107138632689456</v>
      </c>
      <c r="J80" s="158">
        <f>(10.44*'System Curve'!$D$28*('Pump Curve'!B80^1.85))/(('System Curve'!$D$26^1.85)*('System Curve'!$D$27^4.87))</f>
        <v>0.11023550469267664</v>
      </c>
      <c r="K80" s="158">
        <f t="shared" si="12"/>
        <v>3.1209493679616225</v>
      </c>
      <c r="T80" s="49"/>
      <c r="U80" s="49"/>
      <c r="V80" s="49">
        <v>77</v>
      </c>
      <c r="W80" s="49">
        <f>((('Pump Design Summary'!$E$16-'Pump Design Summary'!$D$16)/1000)*V80)+'Pump Design Summary'!$D$16</f>
        <v>0</v>
      </c>
      <c r="X80" s="49">
        <f>IF(ISEVEN(V80),MAX('Pump Design Summary'!$D$29:$H$29)+50,0)</f>
        <v>0</v>
      </c>
      <c r="Y80" s="49"/>
    </row>
    <row r="81" spans="1:25" x14ac:dyDescent="0.25">
      <c r="A81" s="251"/>
      <c r="B81" s="159">
        <f t="shared" si="9"/>
        <v>0</v>
      </c>
      <c r="C81" s="99">
        <f t="shared" si="10"/>
        <v>0</v>
      </c>
      <c r="D81" s="99">
        <f t="shared" si="10"/>
        <v>0</v>
      </c>
      <c r="E81" s="99">
        <f t="shared" si="10"/>
        <v>0</v>
      </c>
      <c r="F81" s="99">
        <f t="shared" si="10"/>
        <v>0</v>
      </c>
      <c r="G81" s="99">
        <f t="shared" si="10"/>
        <v>0</v>
      </c>
      <c r="H81" s="99">
        <f t="shared" si="10"/>
        <v>0</v>
      </c>
      <c r="I81" s="158">
        <f t="shared" si="11"/>
        <v>0</v>
      </c>
      <c r="J81" s="158">
        <f>(10.44*'System Curve'!$D$28*('Pump Curve'!B81^1.85))/(('System Curve'!$D$26^1.85)*('System Curve'!$D$27^4.87))</f>
        <v>0</v>
      </c>
      <c r="K81" s="158">
        <f t="shared" si="12"/>
        <v>0</v>
      </c>
      <c r="T81" s="49"/>
      <c r="U81" s="49"/>
      <c r="V81" s="49">
        <v>78</v>
      </c>
      <c r="W81" s="49">
        <f>((('Pump Design Summary'!$E$16-'Pump Design Summary'!$D$16)/1000)*V81)+'Pump Design Summary'!$D$16</f>
        <v>0</v>
      </c>
      <c r="X81" s="49">
        <f>IF(ISEVEN(V81),MAX('Pump Design Summary'!$D$29:$H$29)+50,0)</f>
        <v>50</v>
      </c>
      <c r="Y81" s="49"/>
    </row>
    <row r="82" spans="1:25" x14ac:dyDescent="0.25">
      <c r="A82" s="251"/>
      <c r="B82" s="159">
        <f t="shared" si="9"/>
        <v>0</v>
      </c>
      <c r="C82" s="99">
        <f t="shared" si="10"/>
        <v>0</v>
      </c>
      <c r="D82" s="99">
        <f t="shared" si="10"/>
        <v>0</v>
      </c>
      <c r="E82" s="99">
        <f t="shared" si="10"/>
        <v>0</v>
      </c>
      <c r="F82" s="99">
        <f t="shared" si="10"/>
        <v>0</v>
      </c>
      <c r="G82" s="99">
        <f t="shared" si="10"/>
        <v>0</v>
      </c>
      <c r="H82" s="99">
        <f t="shared" si="10"/>
        <v>0</v>
      </c>
      <c r="I82" s="158">
        <f t="shared" si="11"/>
        <v>0</v>
      </c>
      <c r="J82" s="158">
        <f>(10.44*'System Curve'!$D$28*('Pump Curve'!B82^1.85))/(('System Curve'!$D$26^1.85)*('System Curve'!$D$27^4.87))</f>
        <v>0</v>
      </c>
      <c r="K82" s="158">
        <f t="shared" si="12"/>
        <v>0</v>
      </c>
      <c r="T82" s="49"/>
      <c r="U82" s="49"/>
      <c r="V82" s="49">
        <v>79</v>
      </c>
      <c r="W82" s="49">
        <f>((('Pump Design Summary'!$E$16-'Pump Design Summary'!$D$16)/1000)*V82)+'Pump Design Summary'!$D$16</f>
        <v>0</v>
      </c>
      <c r="X82" s="49">
        <f>IF(ISEVEN(V82),MAX('Pump Design Summary'!$D$29:$H$29)+50,0)</f>
        <v>0</v>
      </c>
      <c r="Y82" s="49"/>
    </row>
    <row r="83" spans="1:25" ht="15.75" thickBot="1" x14ac:dyDescent="0.3">
      <c r="A83" s="252"/>
      <c r="B83" s="160">
        <f t="shared" si="9"/>
        <v>0</v>
      </c>
      <c r="C83" s="99">
        <f t="shared" si="10"/>
        <v>0</v>
      </c>
      <c r="D83" s="99">
        <f t="shared" si="10"/>
        <v>0</v>
      </c>
      <c r="E83" s="99">
        <f t="shared" si="10"/>
        <v>0</v>
      </c>
      <c r="F83" s="99">
        <f t="shared" si="10"/>
        <v>0</v>
      </c>
      <c r="G83" s="99">
        <f t="shared" si="10"/>
        <v>0</v>
      </c>
      <c r="H83" s="99">
        <f t="shared" si="10"/>
        <v>0</v>
      </c>
      <c r="I83" s="158">
        <f t="shared" si="11"/>
        <v>0</v>
      </c>
      <c r="J83" s="158">
        <f>(10.44*'System Curve'!$D$28*('Pump Curve'!B83^1.85))/(('System Curve'!$D$26^1.85)*('System Curve'!$D$27^4.87))</f>
        <v>0</v>
      </c>
      <c r="K83" s="158">
        <f t="shared" si="12"/>
        <v>0</v>
      </c>
      <c r="T83" s="49"/>
      <c r="U83" s="49"/>
      <c r="V83" s="49">
        <v>80</v>
      </c>
      <c r="W83" s="49">
        <f>((('Pump Design Summary'!$E$16-'Pump Design Summary'!$D$16)/1000)*V83)+'Pump Design Summary'!$D$16</f>
        <v>0</v>
      </c>
      <c r="X83" s="49">
        <f>IF(ISEVEN(V83),MAX('Pump Design Summary'!$D$29:$H$29)+50,0)</f>
        <v>50</v>
      </c>
      <c r="Y83" s="49"/>
    </row>
    <row r="84" spans="1:25" x14ac:dyDescent="0.25">
      <c r="B84" s="156"/>
      <c r="C84" s="99"/>
      <c r="D84" s="99"/>
      <c r="E84" s="99"/>
      <c r="F84" s="99"/>
      <c r="G84" s="99"/>
      <c r="H84" s="99"/>
      <c r="T84" s="49"/>
      <c r="U84" s="49"/>
      <c r="V84" s="49">
        <v>81</v>
      </c>
      <c r="W84" s="49">
        <f>((('Pump Design Summary'!$E$16-'Pump Design Summary'!$D$16)/1000)*V84)+'Pump Design Summary'!$D$16</f>
        <v>0</v>
      </c>
      <c r="X84" s="49">
        <f>IF(ISEVEN(V84),MAX('Pump Design Summary'!$D$29:$H$29)+50,0)</f>
        <v>0</v>
      </c>
      <c r="Y84" s="49"/>
    </row>
    <row r="85" spans="1:25" x14ac:dyDescent="0.25">
      <c r="C85" s="99"/>
      <c r="D85" s="99"/>
      <c r="E85" s="99"/>
      <c r="F85" s="99"/>
      <c r="G85" s="99"/>
      <c r="H85" s="99"/>
      <c r="T85" s="49"/>
      <c r="U85" s="49"/>
      <c r="V85" s="49">
        <v>82</v>
      </c>
      <c r="W85" s="49">
        <f>((('Pump Design Summary'!$E$16-'Pump Design Summary'!$D$16)/1000)*V85)+'Pump Design Summary'!$D$16</f>
        <v>0</v>
      </c>
      <c r="X85" s="49">
        <f>IF(ISEVEN(V85),MAX('Pump Design Summary'!$D$29:$H$29)+50,0)</f>
        <v>50</v>
      </c>
      <c r="Y85" s="49"/>
    </row>
    <row r="86" spans="1:25" x14ac:dyDescent="0.25">
      <c r="C86" s="99"/>
      <c r="D86" s="99"/>
      <c r="E86" s="99"/>
      <c r="F86" s="99"/>
      <c r="G86" s="99"/>
      <c r="H86" s="99"/>
      <c r="T86" s="49"/>
      <c r="U86" s="49"/>
      <c r="V86" s="49">
        <v>83</v>
      </c>
      <c r="W86" s="49">
        <f>((('Pump Design Summary'!$E$16-'Pump Design Summary'!$D$16)/1000)*V86)+'Pump Design Summary'!$D$16</f>
        <v>0</v>
      </c>
      <c r="X86" s="49">
        <f>IF(ISEVEN(V86),MAX('Pump Design Summary'!$D$29:$H$29)+50,0)</f>
        <v>0</v>
      </c>
      <c r="Y86" s="49"/>
    </row>
    <row r="87" spans="1:25" x14ac:dyDescent="0.25">
      <c r="C87" s="99"/>
      <c r="D87" s="99"/>
      <c r="E87" s="99"/>
      <c r="F87" s="99"/>
      <c r="G87" s="99"/>
      <c r="H87" s="99"/>
      <c r="T87" s="49"/>
      <c r="U87" s="49"/>
      <c r="V87" s="49">
        <v>84</v>
      </c>
      <c r="W87" s="49">
        <f>((('Pump Design Summary'!$E$16-'Pump Design Summary'!$D$16)/1000)*V87)+'Pump Design Summary'!$D$16</f>
        <v>0</v>
      </c>
      <c r="X87" s="49">
        <f>IF(ISEVEN(V87),MAX('Pump Design Summary'!$D$29:$H$29)+50,0)</f>
        <v>50</v>
      </c>
      <c r="Y87" s="49"/>
    </row>
    <row r="88" spans="1:25" x14ac:dyDescent="0.25">
      <c r="C88" s="99"/>
      <c r="D88" s="99"/>
      <c r="E88" s="99"/>
      <c r="F88" s="99"/>
      <c r="G88" s="99"/>
      <c r="H88" s="99"/>
      <c r="T88" s="49"/>
      <c r="U88" s="49"/>
      <c r="V88" s="49">
        <v>85</v>
      </c>
      <c r="W88" s="49">
        <f>((('Pump Design Summary'!$E$16-'Pump Design Summary'!$D$16)/1000)*V88)+'Pump Design Summary'!$D$16</f>
        <v>0</v>
      </c>
      <c r="X88" s="49">
        <f>IF(ISEVEN(V88),MAX('Pump Design Summary'!$D$29:$H$29)+50,0)</f>
        <v>0</v>
      </c>
      <c r="Y88" s="49"/>
    </row>
    <row r="89" spans="1:25" x14ac:dyDescent="0.25">
      <c r="C89" s="99"/>
      <c r="D89" s="99"/>
      <c r="E89" s="99"/>
      <c r="F89" s="99"/>
      <c r="G89" s="99"/>
      <c r="H89" s="99"/>
      <c r="T89" s="49"/>
      <c r="U89" s="49"/>
      <c r="V89" s="49">
        <v>86</v>
      </c>
      <c r="W89" s="49">
        <f>((('Pump Design Summary'!$E$16-'Pump Design Summary'!$D$16)/1000)*V89)+'Pump Design Summary'!$D$16</f>
        <v>0</v>
      </c>
      <c r="X89" s="49">
        <f>IF(ISEVEN(V89),MAX('Pump Design Summary'!$D$29:$H$29)+50,0)</f>
        <v>50</v>
      </c>
      <c r="Y89" s="49"/>
    </row>
    <row r="90" spans="1:25" x14ac:dyDescent="0.25">
      <c r="C90" s="99"/>
      <c r="D90" s="99"/>
      <c r="E90" s="99"/>
      <c r="F90" s="99"/>
      <c r="G90" s="99"/>
      <c r="H90" s="99"/>
      <c r="T90" s="49"/>
      <c r="U90" s="49"/>
      <c r="V90" s="49">
        <v>87</v>
      </c>
      <c r="W90" s="49">
        <f>((('Pump Design Summary'!$E$16-'Pump Design Summary'!$D$16)/1000)*V90)+'Pump Design Summary'!$D$16</f>
        <v>0</v>
      </c>
      <c r="X90" s="49">
        <f>IF(ISEVEN(V90),MAX('Pump Design Summary'!$D$29:$H$29)+50,0)</f>
        <v>0</v>
      </c>
      <c r="Y90" s="49"/>
    </row>
    <row r="91" spans="1:25" x14ac:dyDescent="0.25">
      <c r="T91" s="49"/>
      <c r="U91" s="49"/>
      <c r="V91" s="49">
        <v>88</v>
      </c>
      <c r="W91" s="49">
        <f>((('Pump Design Summary'!$E$16-'Pump Design Summary'!$D$16)/1000)*V91)+'Pump Design Summary'!$D$16</f>
        <v>0</v>
      </c>
      <c r="X91" s="49">
        <f>IF(ISEVEN(V91),MAX('Pump Design Summary'!$D$29:$H$29)+50,0)</f>
        <v>50</v>
      </c>
      <c r="Y91" s="49"/>
    </row>
    <row r="92" spans="1:25" x14ac:dyDescent="0.25">
      <c r="T92" s="49"/>
      <c r="U92" s="49"/>
      <c r="V92" s="49">
        <v>89</v>
      </c>
      <c r="W92" s="49">
        <f>((('Pump Design Summary'!$E$16-'Pump Design Summary'!$D$16)/1000)*V92)+'Pump Design Summary'!$D$16</f>
        <v>0</v>
      </c>
      <c r="X92" s="49">
        <f>IF(ISEVEN(V92),MAX('Pump Design Summary'!$D$29:$H$29)+50,0)</f>
        <v>0</v>
      </c>
      <c r="Y92" s="49"/>
    </row>
    <row r="93" spans="1:25" x14ac:dyDescent="0.25">
      <c r="T93" s="49"/>
      <c r="U93" s="49"/>
      <c r="V93" s="49">
        <v>90</v>
      </c>
      <c r="W93" s="49">
        <f>((('Pump Design Summary'!$E$16-'Pump Design Summary'!$D$16)/1000)*V93)+'Pump Design Summary'!$D$16</f>
        <v>0</v>
      </c>
      <c r="X93" s="49">
        <f>IF(ISEVEN(V93),MAX('Pump Design Summary'!$D$29:$H$29)+50,0)</f>
        <v>50</v>
      </c>
      <c r="Y93" s="49"/>
    </row>
    <row r="94" spans="1:25" x14ac:dyDescent="0.25">
      <c r="T94" s="49"/>
      <c r="U94" s="49"/>
      <c r="V94" s="49">
        <v>91</v>
      </c>
      <c r="W94" s="49">
        <f>((('Pump Design Summary'!$E$16-'Pump Design Summary'!$D$16)/1000)*V94)+'Pump Design Summary'!$D$16</f>
        <v>0</v>
      </c>
      <c r="X94" s="49">
        <f>IF(ISEVEN(V94),MAX('Pump Design Summary'!$D$29:$H$29)+50,0)</f>
        <v>0</v>
      </c>
      <c r="Y94" s="49"/>
    </row>
    <row r="95" spans="1:25" x14ac:dyDescent="0.25">
      <c r="T95" s="49"/>
      <c r="U95" s="49"/>
      <c r="V95" s="49">
        <v>92</v>
      </c>
      <c r="W95" s="49">
        <f>((('Pump Design Summary'!$E$16-'Pump Design Summary'!$D$16)/1000)*V95)+'Pump Design Summary'!$D$16</f>
        <v>0</v>
      </c>
      <c r="X95" s="49">
        <f>IF(ISEVEN(V95),MAX('Pump Design Summary'!$D$29:$H$29)+50,0)</f>
        <v>50</v>
      </c>
      <c r="Y95" s="49"/>
    </row>
    <row r="96" spans="1:25" x14ac:dyDescent="0.25">
      <c r="T96" s="49"/>
      <c r="U96" s="49"/>
      <c r="V96" s="49">
        <v>93</v>
      </c>
      <c r="W96" s="49">
        <f>((('Pump Design Summary'!$E$16-'Pump Design Summary'!$D$16)/1000)*V96)+'Pump Design Summary'!$D$16</f>
        <v>0</v>
      </c>
      <c r="X96" s="49">
        <f>IF(ISEVEN(V96),MAX('Pump Design Summary'!$D$29:$H$29)+50,0)</f>
        <v>0</v>
      </c>
      <c r="Y96" s="49"/>
    </row>
    <row r="97" spans="20:25" x14ac:dyDescent="0.25">
      <c r="T97" s="49"/>
      <c r="U97" s="49"/>
      <c r="V97" s="49">
        <v>94</v>
      </c>
      <c r="W97" s="49">
        <f>((('Pump Design Summary'!$E$16-'Pump Design Summary'!$D$16)/1000)*V97)+'Pump Design Summary'!$D$16</f>
        <v>0</v>
      </c>
      <c r="X97" s="49">
        <f>IF(ISEVEN(V97),MAX('Pump Design Summary'!$D$29:$H$29)+50,0)</f>
        <v>50</v>
      </c>
      <c r="Y97" s="49"/>
    </row>
    <row r="98" spans="20:25" x14ac:dyDescent="0.25">
      <c r="T98" s="49"/>
      <c r="U98" s="49"/>
      <c r="V98" s="49">
        <v>95</v>
      </c>
      <c r="W98" s="49">
        <f>((('Pump Design Summary'!$E$16-'Pump Design Summary'!$D$16)/1000)*V98)+'Pump Design Summary'!$D$16</f>
        <v>0</v>
      </c>
      <c r="X98" s="49">
        <f>IF(ISEVEN(V98),MAX('Pump Design Summary'!$D$29:$H$29)+50,0)</f>
        <v>0</v>
      </c>
      <c r="Y98" s="49"/>
    </row>
    <row r="99" spans="20:25" x14ac:dyDescent="0.25">
      <c r="T99" s="49"/>
      <c r="U99" s="49"/>
      <c r="V99" s="49">
        <v>96</v>
      </c>
      <c r="W99" s="49">
        <f>((('Pump Design Summary'!$E$16-'Pump Design Summary'!$D$16)/1000)*V99)+'Pump Design Summary'!$D$16</f>
        <v>0</v>
      </c>
      <c r="X99" s="49">
        <f>IF(ISEVEN(V99),MAX('Pump Design Summary'!$D$29:$H$29)+50,0)</f>
        <v>50</v>
      </c>
      <c r="Y99" s="49"/>
    </row>
    <row r="100" spans="20:25" x14ac:dyDescent="0.25">
      <c r="T100" s="49"/>
      <c r="U100" s="49"/>
      <c r="V100" s="49">
        <v>97</v>
      </c>
      <c r="W100" s="49">
        <f>((('Pump Design Summary'!$E$16-'Pump Design Summary'!$D$16)/1000)*V100)+'Pump Design Summary'!$D$16</f>
        <v>0</v>
      </c>
      <c r="X100" s="49">
        <f>IF(ISEVEN(V100),MAX('Pump Design Summary'!$D$29:$H$29)+50,0)</f>
        <v>0</v>
      </c>
      <c r="Y100" s="49"/>
    </row>
    <row r="101" spans="20:25" x14ac:dyDescent="0.25">
      <c r="T101" s="49"/>
      <c r="U101" s="49"/>
      <c r="V101" s="49">
        <v>98</v>
      </c>
      <c r="W101" s="49">
        <f>((('Pump Design Summary'!$E$16-'Pump Design Summary'!$D$16)/1000)*V101)+'Pump Design Summary'!$D$16</f>
        <v>0</v>
      </c>
      <c r="X101" s="49">
        <f>IF(ISEVEN(V101),MAX('Pump Design Summary'!$D$29:$H$29)+50,0)</f>
        <v>50</v>
      </c>
      <c r="Y101" s="49"/>
    </row>
    <row r="102" spans="20:25" x14ac:dyDescent="0.25">
      <c r="T102" s="49"/>
      <c r="U102" s="49"/>
      <c r="V102" s="49">
        <v>99</v>
      </c>
      <c r="W102" s="49">
        <f>((('Pump Design Summary'!$E$16-'Pump Design Summary'!$D$16)/1000)*V102)+'Pump Design Summary'!$D$16</f>
        <v>0</v>
      </c>
      <c r="X102" s="49">
        <f>IF(ISEVEN(V102),MAX('Pump Design Summary'!$D$29:$H$29)+50,0)</f>
        <v>0</v>
      </c>
      <c r="Y102" s="49"/>
    </row>
    <row r="103" spans="20:25" x14ac:dyDescent="0.25">
      <c r="T103" s="49"/>
      <c r="U103" s="49"/>
      <c r="V103" s="49">
        <v>100</v>
      </c>
      <c r="W103" s="49">
        <f>((('Pump Design Summary'!$E$16-'Pump Design Summary'!$D$16)/1000)*V103)+'Pump Design Summary'!$D$16</f>
        <v>0</v>
      </c>
      <c r="X103" s="49">
        <f>IF(ISEVEN(V103),MAX('Pump Design Summary'!$D$29:$H$29)+50,0)</f>
        <v>50</v>
      </c>
      <c r="Y103" s="49"/>
    </row>
    <row r="104" spans="20:25" x14ac:dyDescent="0.25">
      <c r="T104" s="49"/>
      <c r="U104" s="49"/>
      <c r="V104" s="49">
        <v>101</v>
      </c>
      <c r="W104" s="49">
        <f>((('Pump Design Summary'!$E$16-'Pump Design Summary'!$D$16)/1000)*V104)+'Pump Design Summary'!$D$16</f>
        <v>0</v>
      </c>
      <c r="X104" s="49">
        <f>IF(ISEVEN(V104),MAX('Pump Design Summary'!$D$29:$H$29)+50,0)</f>
        <v>0</v>
      </c>
      <c r="Y104" s="49"/>
    </row>
    <row r="105" spans="20:25" x14ac:dyDescent="0.25">
      <c r="T105" s="49"/>
      <c r="U105" s="49"/>
      <c r="V105" s="49">
        <v>102</v>
      </c>
      <c r="W105" s="49">
        <f>((('Pump Design Summary'!$E$16-'Pump Design Summary'!$D$16)/1000)*V105)+'Pump Design Summary'!$D$16</f>
        <v>0</v>
      </c>
      <c r="X105" s="49">
        <f>IF(ISEVEN(V105),MAX('Pump Design Summary'!$D$29:$H$29)+50,0)</f>
        <v>50</v>
      </c>
      <c r="Y105" s="49"/>
    </row>
    <row r="106" spans="20:25" x14ac:dyDescent="0.25">
      <c r="T106" s="49"/>
      <c r="U106" s="49"/>
      <c r="V106" s="49">
        <v>103</v>
      </c>
      <c r="W106" s="49">
        <f>((('Pump Design Summary'!$E$16-'Pump Design Summary'!$D$16)/1000)*V106)+'Pump Design Summary'!$D$16</f>
        <v>0</v>
      </c>
      <c r="X106" s="49">
        <f>IF(ISEVEN(V106),MAX('Pump Design Summary'!$D$29:$H$29)+50,0)</f>
        <v>0</v>
      </c>
      <c r="Y106" s="49"/>
    </row>
    <row r="107" spans="20:25" x14ac:dyDescent="0.25">
      <c r="T107" s="49"/>
      <c r="U107" s="49"/>
      <c r="V107" s="49">
        <v>104</v>
      </c>
      <c r="W107" s="49">
        <f>((('Pump Design Summary'!$E$16-'Pump Design Summary'!$D$16)/1000)*V107)+'Pump Design Summary'!$D$16</f>
        <v>0</v>
      </c>
      <c r="X107" s="49">
        <f>IF(ISEVEN(V107),MAX('Pump Design Summary'!$D$29:$H$29)+50,0)</f>
        <v>50</v>
      </c>
      <c r="Y107" s="49"/>
    </row>
    <row r="108" spans="20:25" x14ac:dyDescent="0.25">
      <c r="T108" s="49"/>
      <c r="U108" s="49"/>
      <c r="V108" s="49">
        <v>105</v>
      </c>
      <c r="W108" s="49">
        <f>((('Pump Design Summary'!$E$16-'Pump Design Summary'!$D$16)/1000)*V108)+'Pump Design Summary'!$D$16</f>
        <v>0</v>
      </c>
      <c r="X108" s="49">
        <f>IF(ISEVEN(V108),MAX('Pump Design Summary'!$D$29:$H$29)+50,0)</f>
        <v>0</v>
      </c>
      <c r="Y108" s="49"/>
    </row>
    <row r="109" spans="20:25" x14ac:dyDescent="0.25">
      <c r="T109" s="49"/>
      <c r="U109" s="49"/>
      <c r="V109" s="49">
        <v>106</v>
      </c>
      <c r="W109" s="49">
        <f>((('Pump Design Summary'!$E$16-'Pump Design Summary'!$D$16)/1000)*V109)+'Pump Design Summary'!$D$16</f>
        <v>0</v>
      </c>
      <c r="X109" s="49">
        <f>IF(ISEVEN(V109),MAX('Pump Design Summary'!$D$29:$H$29)+50,0)</f>
        <v>50</v>
      </c>
      <c r="Y109" s="49"/>
    </row>
    <row r="110" spans="20:25" x14ac:dyDescent="0.25">
      <c r="T110" s="49"/>
      <c r="U110" s="49"/>
      <c r="V110" s="49">
        <v>107</v>
      </c>
      <c r="W110" s="49">
        <f>((('Pump Design Summary'!$E$16-'Pump Design Summary'!$D$16)/1000)*V110)+'Pump Design Summary'!$D$16</f>
        <v>0</v>
      </c>
      <c r="X110" s="49">
        <f>IF(ISEVEN(V110),MAX('Pump Design Summary'!$D$29:$H$29)+50,0)</f>
        <v>0</v>
      </c>
      <c r="Y110" s="49"/>
    </row>
    <row r="111" spans="20:25" x14ac:dyDescent="0.25">
      <c r="T111" s="49"/>
      <c r="U111" s="49"/>
      <c r="V111" s="49">
        <v>108</v>
      </c>
      <c r="W111" s="49">
        <f>((('Pump Design Summary'!$E$16-'Pump Design Summary'!$D$16)/1000)*V111)+'Pump Design Summary'!$D$16</f>
        <v>0</v>
      </c>
      <c r="X111" s="49">
        <f>IF(ISEVEN(V111),MAX('Pump Design Summary'!$D$29:$H$29)+50,0)</f>
        <v>50</v>
      </c>
      <c r="Y111" s="49"/>
    </row>
    <row r="112" spans="20:25" x14ac:dyDescent="0.25">
      <c r="T112" s="49"/>
      <c r="U112" s="49"/>
      <c r="V112" s="49">
        <v>109</v>
      </c>
      <c r="W112" s="49">
        <f>((('Pump Design Summary'!$E$16-'Pump Design Summary'!$D$16)/1000)*V112)+'Pump Design Summary'!$D$16</f>
        <v>0</v>
      </c>
      <c r="X112" s="49">
        <f>IF(ISEVEN(V112),MAX('Pump Design Summary'!$D$29:$H$29)+50,0)</f>
        <v>0</v>
      </c>
      <c r="Y112" s="49"/>
    </row>
    <row r="113" spans="20:25" x14ac:dyDescent="0.25">
      <c r="T113" s="49"/>
      <c r="U113" s="49"/>
      <c r="V113" s="49">
        <v>110</v>
      </c>
      <c r="W113" s="49">
        <f>((('Pump Design Summary'!$E$16-'Pump Design Summary'!$D$16)/1000)*V113)+'Pump Design Summary'!$D$16</f>
        <v>0</v>
      </c>
      <c r="X113" s="49">
        <f>IF(ISEVEN(V113),MAX('Pump Design Summary'!$D$29:$H$29)+50,0)</f>
        <v>50</v>
      </c>
      <c r="Y113" s="49"/>
    </row>
    <row r="114" spans="20:25" x14ac:dyDescent="0.25">
      <c r="T114" s="49"/>
      <c r="U114" s="49"/>
      <c r="V114" s="49">
        <v>111</v>
      </c>
      <c r="W114" s="49">
        <f>((('Pump Design Summary'!$E$16-'Pump Design Summary'!$D$16)/1000)*V114)+'Pump Design Summary'!$D$16</f>
        <v>0</v>
      </c>
      <c r="X114" s="49">
        <f>IF(ISEVEN(V114),MAX('Pump Design Summary'!$D$29:$H$29)+50,0)</f>
        <v>0</v>
      </c>
      <c r="Y114" s="49"/>
    </row>
    <row r="115" spans="20:25" x14ac:dyDescent="0.25">
      <c r="T115" s="49"/>
      <c r="U115" s="49"/>
      <c r="V115" s="49">
        <v>112</v>
      </c>
      <c r="W115" s="49">
        <f>((('Pump Design Summary'!$E$16-'Pump Design Summary'!$D$16)/1000)*V115)+'Pump Design Summary'!$D$16</f>
        <v>0</v>
      </c>
      <c r="X115" s="49">
        <f>IF(ISEVEN(V115),MAX('Pump Design Summary'!$D$29:$H$29)+50,0)</f>
        <v>50</v>
      </c>
      <c r="Y115" s="49"/>
    </row>
    <row r="116" spans="20:25" x14ac:dyDescent="0.25">
      <c r="T116" s="49"/>
      <c r="U116" s="49"/>
      <c r="V116" s="49">
        <v>113</v>
      </c>
      <c r="W116" s="49">
        <f>((('Pump Design Summary'!$E$16-'Pump Design Summary'!$D$16)/1000)*V116)+'Pump Design Summary'!$D$16</f>
        <v>0</v>
      </c>
      <c r="X116" s="49">
        <f>IF(ISEVEN(V116),MAX('Pump Design Summary'!$D$29:$H$29)+50,0)</f>
        <v>0</v>
      </c>
      <c r="Y116" s="49"/>
    </row>
    <row r="117" spans="20:25" x14ac:dyDescent="0.25">
      <c r="T117" s="49"/>
      <c r="U117" s="49"/>
      <c r="V117" s="49">
        <v>114</v>
      </c>
      <c r="W117" s="49">
        <f>((('Pump Design Summary'!$E$16-'Pump Design Summary'!$D$16)/1000)*V117)+'Pump Design Summary'!$D$16</f>
        <v>0</v>
      </c>
      <c r="X117" s="49">
        <f>IF(ISEVEN(V117),MAX('Pump Design Summary'!$D$29:$H$29)+50,0)</f>
        <v>50</v>
      </c>
      <c r="Y117" s="49"/>
    </row>
    <row r="118" spans="20:25" x14ac:dyDescent="0.25">
      <c r="T118" s="49"/>
      <c r="U118" s="49"/>
      <c r="V118" s="49">
        <v>115</v>
      </c>
      <c r="W118" s="49">
        <f>((('Pump Design Summary'!$E$16-'Pump Design Summary'!$D$16)/1000)*V118)+'Pump Design Summary'!$D$16</f>
        <v>0</v>
      </c>
      <c r="X118" s="49">
        <f>IF(ISEVEN(V118),MAX('Pump Design Summary'!$D$29:$H$29)+50,0)</f>
        <v>0</v>
      </c>
      <c r="Y118" s="49"/>
    </row>
    <row r="119" spans="20:25" x14ac:dyDescent="0.25">
      <c r="T119" s="49"/>
      <c r="U119" s="49"/>
      <c r="V119" s="49">
        <v>116</v>
      </c>
      <c r="W119" s="49">
        <f>((('Pump Design Summary'!$E$16-'Pump Design Summary'!$D$16)/1000)*V119)+'Pump Design Summary'!$D$16</f>
        <v>0</v>
      </c>
      <c r="X119" s="49">
        <f>IF(ISEVEN(V119),MAX('Pump Design Summary'!$D$29:$H$29)+50,0)</f>
        <v>50</v>
      </c>
      <c r="Y119" s="49"/>
    </row>
    <row r="120" spans="20:25" x14ac:dyDescent="0.25">
      <c r="T120" s="49"/>
      <c r="U120" s="49"/>
      <c r="V120" s="49">
        <v>117</v>
      </c>
      <c r="W120" s="49">
        <f>((('Pump Design Summary'!$E$16-'Pump Design Summary'!$D$16)/1000)*V120)+'Pump Design Summary'!$D$16</f>
        <v>0</v>
      </c>
      <c r="X120" s="49">
        <f>IF(ISEVEN(V120),MAX('Pump Design Summary'!$D$29:$H$29)+50,0)</f>
        <v>0</v>
      </c>
      <c r="Y120" s="49"/>
    </row>
    <row r="121" spans="20:25" x14ac:dyDescent="0.25">
      <c r="T121" s="49"/>
      <c r="U121" s="49"/>
      <c r="V121" s="49">
        <v>118</v>
      </c>
      <c r="W121" s="49">
        <f>((('Pump Design Summary'!$E$16-'Pump Design Summary'!$D$16)/1000)*V121)+'Pump Design Summary'!$D$16</f>
        <v>0</v>
      </c>
      <c r="X121" s="49">
        <f>IF(ISEVEN(V121),MAX('Pump Design Summary'!$D$29:$H$29)+50,0)</f>
        <v>50</v>
      </c>
      <c r="Y121" s="49"/>
    </row>
    <row r="122" spans="20:25" x14ac:dyDescent="0.25">
      <c r="T122" s="49"/>
      <c r="U122" s="49"/>
      <c r="V122" s="49">
        <v>119</v>
      </c>
      <c r="W122" s="49">
        <f>((('Pump Design Summary'!$E$16-'Pump Design Summary'!$D$16)/1000)*V122)+'Pump Design Summary'!$D$16</f>
        <v>0</v>
      </c>
      <c r="X122" s="49">
        <f>IF(ISEVEN(V122),MAX('Pump Design Summary'!$D$29:$H$29)+50,0)</f>
        <v>0</v>
      </c>
      <c r="Y122" s="49"/>
    </row>
    <row r="123" spans="20:25" x14ac:dyDescent="0.25">
      <c r="T123" s="49"/>
      <c r="U123" s="49"/>
      <c r="V123" s="49">
        <v>120</v>
      </c>
      <c r="W123" s="49">
        <f>((('Pump Design Summary'!$E$16-'Pump Design Summary'!$D$16)/1000)*V123)+'Pump Design Summary'!$D$16</f>
        <v>0</v>
      </c>
      <c r="X123" s="49">
        <f>IF(ISEVEN(V123),MAX('Pump Design Summary'!$D$29:$H$29)+50,0)</f>
        <v>50</v>
      </c>
      <c r="Y123" s="49"/>
    </row>
    <row r="124" spans="20:25" x14ac:dyDescent="0.25">
      <c r="T124" s="49"/>
      <c r="U124" s="49"/>
      <c r="V124" s="49">
        <v>121</v>
      </c>
      <c r="W124" s="49">
        <f>((('Pump Design Summary'!$E$16-'Pump Design Summary'!$D$16)/1000)*V124)+'Pump Design Summary'!$D$16</f>
        <v>0</v>
      </c>
      <c r="X124" s="49">
        <f>IF(ISEVEN(V124),MAX('Pump Design Summary'!$D$29:$H$29)+50,0)</f>
        <v>0</v>
      </c>
      <c r="Y124" s="49"/>
    </row>
    <row r="125" spans="20:25" x14ac:dyDescent="0.25">
      <c r="T125" s="49"/>
      <c r="U125" s="49"/>
      <c r="V125" s="49">
        <v>122</v>
      </c>
      <c r="W125" s="49">
        <f>((('Pump Design Summary'!$E$16-'Pump Design Summary'!$D$16)/1000)*V125)+'Pump Design Summary'!$D$16</f>
        <v>0</v>
      </c>
      <c r="X125" s="49">
        <f>IF(ISEVEN(V125),MAX('Pump Design Summary'!$D$29:$H$29)+50,0)</f>
        <v>50</v>
      </c>
      <c r="Y125" s="49"/>
    </row>
    <row r="126" spans="20:25" x14ac:dyDescent="0.25">
      <c r="T126" s="49"/>
      <c r="U126" s="49"/>
      <c r="V126" s="49">
        <v>123</v>
      </c>
      <c r="W126" s="49">
        <f>((('Pump Design Summary'!$E$16-'Pump Design Summary'!$D$16)/1000)*V126)+'Pump Design Summary'!$D$16</f>
        <v>0</v>
      </c>
      <c r="X126" s="49">
        <f>IF(ISEVEN(V126),MAX('Pump Design Summary'!$D$29:$H$29)+50,0)</f>
        <v>0</v>
      </c>
      <c r="Y126" s="49"/>
    </row>
    <row r="127" spans="20:25" x14ac:dyDescent="0.25">
      <c r="T127" s="49"/>
      <c r="U127" s="49"/>
      <c r="V127" s="49">
        <v>124</v>
      </c>
      <c r="W127" s="49">
        <f>((('Pump Design Summary'!$E$16-'Pump Design Summary'!$D$16)/1000)*V127)+'Pump Design Summary'!$D$16</f>
        <v>0</v>
      </c>
      <c r="X127" s="49">
        <f>IF(ISEVEN(V127),MAX('Pump Design Summary'!$D$29:$H$29)+50,0)</f>
        <v>50</v>
      </c>
      <c r="Y127" s="49"/>
    </row>
    <row r="128" spans="20:25" x14ac:dyDescent="0.25">
      <c r="T128" s="49"/>
      <c r="U128" s="49"/>
      <c r="V128" s="49">
        <v>125</v>
      </c>
      <c r="W128" s="49">
        <f>((('Pump Design Summary'!$E$16-'Pump Design Summary'!$D$16)/1000)*V128)+'Pump Design Summary'!$D$16</f>
        <v>0</v>
      </c>
      <c r="X128" s="49">
        <f>IF(ISEVEN(V128),MAX('Pump Design Summary'!$D$29:$H$29)+50,0)</f>
        <v>0</v>
      </c>
      <c r="Y128" s="49"/>
    </row>
    <row r="129" spans="20:25" x14ac:dyDescent="0.25">
      <c r="T129" s="49"/>
      <c r="U129" s="49"/>
      <c r="V129" s="49">
        <v>126</v>
      </c>
      <c r="W129" s="49">
        <f>((('Pump Design Summary'!$E$16-'Pump Design Summary'!$D$16)/1000)*V129)+'Pump Design Summary'!$D$16</f>
        <v>0</v>
      </c>
      <c r="X129" s="49">
        <f>IF(ISEVEN(V129),MAX('Pump Design Summary'!$D$29:$H$29)+50,0)</f>
        <v>50</v>
      </c>
      <c r="Y129" s="49"/>
    </row>
    <row r="130" spans="20:25" x14ac:dyDescent="0.25">
      <c r="T130" s="49"/>
      <c r="U130" s="49"/>
      <c r="V130" s="49">
        <v>127</v>
      </c>
      <c r="W130" s="49">
        <f>((('Pump Design Summary'!$E$16-'Pump Design Summary'!$D$16)/1000)*V130)+'Pump Design Summary'!$D$16</f>
        <v>0</v>
      </c>
      <c r="X130" s="49">
        <f>IF(ISEVEN(V130),MAX('Pump Design Summary'!$D$29:$H$29)+50,0)</f>
        <v>0</v>
      </c>
      <c r="Y130" s="49"/>
    </row>
    <row r="131" spans="20:25" x14ac:dyDescent="0.25">
      <c r="T131" s="49"/>
      <c r="U131" s="49"/>
      <c r="V131" s="49">
        <v>128</v>
      </c>
      <c r="W131" s="49">
        <f>((('Pump Design Summary'!$E$16-'Pump Design Summary'!$D$16)/1000)*V131)+'Pump Design Summary'!$D$16</f>
        <v>0</v>
      </c>
      <c r="X131" s="49">
        <f>IF(ISEVEN(V131),MAX('Pump Design Summary'!$D$29:$H$29)+50,0)</f>
        <v>50</v>
      </c>
      <c r="Y131" s="49"/>
    </row>
    <row r="132" spans="20:25" x14ac:dyDescent="0.25">
      <c r="T132" s="49"/>
      <c r="U132" s="49"/>
      <c r="V132" s="49">
        <v>129</v>
      </c>
      <c r="W132" s="49">
        <f>((('Pump Design Summary'!$E$16-'Pump Design Summary'!$D$16)/1000)*V132)+'Pump Design Summary'!$D$16</f>
        <v>0</v>
      </c>
      <c r="X132" s="49">
        <f>IF(ISEVEN(V132),MAX('Pump Design Summary'!$D$29:$H$29)+50,0)</f>
        <v>0</v>
      </c>
      <c r="Y132" s="49"/>
    </row>
    <row r="133" spans="20:25" x14ac:dyDescent="0.25">
      <c r="T133" s="49"/>
      <c r="U133" s="49"/>
      <c r="V133" s="49">
        <v>130</v>
      </c>
      <c r="W133" s="49">
        <f>((('Pump Design Summary'!$E$16-'Pump Design Summary'!$D$16)/1000)*V133)+'Pump Design Summary'!$D$16</f>
        <v>0</v>
      </c>
      <c r="X133" s="49">
        <f>IF(ISEVEN(V133),MAX('Pump Design Summary'!$D$29:$H$29)+50,0)</f>
        <v>50</v>
      </c>
      <c r="Y133" s="49"/>
    </row>
    <row r="134" spans="20:25" x14ac:dyDescent="0.25">
      <c r="T134" s="49"/>
      <c r="U134" s="49"/>
      <c r="V134" s="49">
        <v>131</v>
      </c>
      <c r="W134" s="49">
        <f>((('Pump Design Summary'!$E$16-'Pump Design Summary'!$D$16)/1000)*V134)+'Pump Design Summary'!$D$16</f>
        <v>0</v>
      </c>
      <c r="X134" s="49">
        <f>IF(ISEVEN(V134),MAX('Pump Design Summary'!$D$29:$H$29)+50,0)</f>
        <v>0</v>
      </c>
      <c r="Y134" s="49"/>
    </row>
    <row r="135" spans="20:25" x14ac:dyDescent="0.25">
      <c r="T135" s="49"/>
      <c r="U135" s="49"/>
      <c r="V135" s="49">
        <v>132</v>
      </c>
      <c r="W135" s="49">
        <f>((('Pump Design Summary'!$E$16-'Pump Design Summary'!$D$16)/1000)*V135)+'Pump Design Summary'!$D$16</f>
        <v>0</v>
      </c>
      <c r="X135" s="49">
        <f>IF(ISEVEN(V135),MAX('Pump Design Summary'!$D$29:$H$29)+50,0)</f>
        <v>50</v>
      </c>
      <c r="Y135" s="49"/>
    </row>
    <row r="136" spans="20:25" x14ac:dyDescent="0.25">
      <c r="T136" s="49"/>
      <c r="U136" s="49"/>
      <c r="V136" s="49">
        <v>133</v>
      </c>
      <c r="W136" s="49">
        <f>((('Pump Design Summary'!$E$16-'Pump Design Summary'!$D$16)/1000)*V136)+'Pump Design Summary'!$D$16</f>
        <v>0</v>
      </c>
      <c r="X136" s="49">
        <f>IF(ISEVEN(V136),MAX('Pump Design Summary'!$D$29:$H$29)+50,0)</f>
        <v>0</v>
      </c>
      <c r="Y136" s="49"/>
    </row>
    <row r="137" spans="20:25" x14ac:dyDescent="0.25">
      <c r="T137" s="49"/>
      <c r="U137" s="49"/>
      <c r="V137" s="49">
        <v>134</v>
      </c>
      <c r="W137" s="49">
        <f>((('Pump Design Summary'!$E$16-'Pump Design Summary'!$D$16)/1000)*V137)+'Pump Design Summary'!$D$16</f>
        <v>0</v>
      </c>
      <c r="X137" s="49">
        <f>IF(ISEVEN(V137),MAX('Pump Design Summary'!$D$29:$H$29)+50,0)</f>
        <v>50</v>
      </c>
      <c r="Y137" s="49"/>
    </row>
    <row r="138" spans="20:25" x14ac:dyDescent="0.25">
      <c r="T138" s="49"/>
      <c r="U138" s="49"/>
      <c r="V138" s="49">
        <v>135</v>
      </c>
      <c r="W138" s="49">
        <f>((('Pump Design Summary'!$E$16-'Pump Design Summary'!$D$16)/1000)*V138)+'Pump Design Summary'!$D$16</f>
        <v>0</v>
      </c>
      <c r="X138" s="49">
        <f>IF(ISEVEN(V138),MAX('Pump Design Summary'!$D$29:$H$29)+50,0)</f>
        <v>0</v>
      </c>
      <c r="Y138" s="49"/>
    </row>
    <row r="139" spans="20:25" x14ac:dyDescent="0.25">
      <c r="T139" s="49"/>
      <c r="U139" s="49"/>
      <c r="V139" s="49">
        <v>136</v>
      </c>
      <c r="W139" s="49">
        <f>((('Pump Design Summary'!$E$16-'Pump Design Summary'!$D$16)/1000)*V139)+'Pump Design Summary'!$D$16</f>
        <v>0</v>
      </c>
      <c r="X139" s="49">
        <f>IF(ISEVEN(V139),MAX('Pump Design Summary'!$D$29:$H$29)+50,0)</f>
        <v>50</v>
      </c>
      <c r="Y139" s="49"/>
    </row>
    <row r="140" spans="20:25" x14ac:dyDescent="0.25">
      <c r="T140" s="49"/>
      <c r="U140" s="49"/>
      <c r="V140" s="49">
        <v>137</v>
      </c>
      <c r="W140" s="49">
        <f>((('Pump Design Summary'!$E$16-'Pump Design Summary'!$D$16)/1000)*V140)+'Pump Design Summary'!$D$16</f>
        <v>0</v>
      </c>
      <c r="X140" s="49">
        <f>IF(ISEVEN(V140),MAX('Pump Design Summary'!$D$29:$H$29)+50,0)</f>
        <v>0</v>
      </c>
      <c r="Y140" s="49"/>
    </row>
    <row r="141" spans="20:25" x14ac:dyDescent="0.25">
      <c r="T141" s="49"/>
      <c r="U141" s="49"/>
      <c r="V141" s="49">
        <v>138</v>
      </c>
      <c r="W141" s="49">
        <f>((('Pump Design Summary'!$E$16-'Pump Design Summary'!$D$16)/1000)*V141)+'Pump Design Summary'!$D$16</f>
        <v>0</v>
      </c>
      <c r="X141" s="49">
        <f>IF(ISEVEN(V141),MAX('Pump Design Summary'!$D$29:$H$29)+50,0)</f>
        <v>50</v>
      </c>
      <c r="Y141" s="49"/>
    </row>
    <row r="142" spans="20:25" x14ac:dyDescent="0.25">
      <c r="T142" s="49"/>
      <c r="U142" s="49"/>
      <c r="V142" s="49">
        <v>139</v>
      </c>
      <c r="W142" s="49">
        <f>((('Pump Design Summary'!$E$16-'Pump Design Summary'!$D$16)/1000)*V142)+'Pump Design Summary'!$D$16</f>
        <v>0</v>
      </c>
      <c r="X142" s="49">
        <f>IF(ISEVEN(V142),MAX('Pump Design Summary'!$D$29:$H$29)+50,0)</f>
        <v>0</v>
      </c>
      <c r="Y142" s="49"/>
    </row>
    <row r="143" spans="20:25" x14ac:dyDescent="0.25">
      <c r="T143" s="49"/>
      <c r="U143" s="49"/>
      <c r="V143" s="49">
        <v>140</v>
      </c>
      <c r="W143" s="49">
        <f>((('Pump Design Summary'!$E$16-'Pump Design Summary'!$D$16)/1000)*V143)+'Pump Design Summary'!$D$16</f>
        <v>0</v>
      </c>
      <c r="X143" s="49">
        <f>IF(ISEVEN(V143),MAX('Pump Design Summary'!$D$29:$H$29)+50,0)</f>
        <v>50</v>
      </c>
      <c r="Y143" s="49"/>
    </row>
    <row r="144" spans="20:25" x14ac:dyDescent="0.25">
      <c r="T144" s="49"/>
      <c r="U144" s="49"/>
      <c r="V144" s="49">
        <v>141</v>
      </c>
      <c r="W144" s="49">
        <f>((('Pump Design Summary'!$E$16-'Pump Design Summary'!$D$16)/1000)*V144)+'Pump Design Summary'!$D$16</f>
        <v>0</v>
      </c>
      <c r="X144" s="49">
        <f>IF(ISEVEN(V144),MAX('Pump Design Summary'!$D$29:$H$29)+50,0)</f>
        <v>0</v>
      </c>
      <c r="Y144" s="49"/>
    </row>
    <row r="145" spans="20:25" x14ac:dyDescent="0.25">
      <c r="T145" s="49"/>
      <c r="U145" s="49"/>
      <c r="V145" s="49">
        <v>142</v>
      </c>
      <c r="W145" s="49">
        <f>((('Pump Design Summary'!$E$16-'Pump Design Summary'!$D$16)/1000)*V145)+'Pump Design Summary'!$D$16</f>
        <v>0</v>
      </c>
      <c r="X145" s="49">
        <f>IF(ISEVEN(V145),MAX('Pump Design Summary'!$D$29:$H$29)+50,0)</f>
        <v>50</v>
      </c>
      <c r="Y145" s="49"/>
    </row>
    <row r="146" spans="20:25" x14ac:dyDescent="0.25">
      <c r="T146" s="49"/>
      <c r="U146" s="49"/>
      <c r="V146" s="49">
        <v>143</v>
      </c>
      <c r="W146" s="49">
        <f>((('Pump Design Summary'!$E$16-'Pump Design Summary'!$D$16)/1000)*V146)+'Pump Design Summary'!$D$16</f>
        <v>0</v>
      </c>
      <c r="X146" s="49">
        <f>IF(ISEVEN(V146),MAX('Pump Design Summary'!$D$29:$H$29)+50,0)</f>
        <v>0</v>
      </c>
      <c r="Y146" s="49"/>
    </row>
    <row r="147" spans="20:25" x14ac:dyDescent="0.25">
      <c r="T147" s="49"/>
      <c r="U147" s="49"/>
      <c r="V147" s="49">
        <v>144</v>
      </c>
      <c r="W147" s="49">
        <f>((('Pump Design Summary'!$E$16-'Pump Design Summary'!$D$16)/1000)*V147)+'Pump Design Summary'!$D$16</f>
        <v>0</v>
      </c>
      <c r="X147" s="49">
        <f>IF(ISEVEN(V147),MAX('Pump Design Summary'!$D$29:$H$29)+50,0)</f>
        <v>50</v>
      </c>
      <c r="Y147" s="49"/>
    </row>
    <row r="148" spans="20:25" x14ac:dyDescent="0.25">
      <c r="T148" s="49"/>
      <c r="U148" s="49"/>
      <c r="V148" s="49">
        <v>145</v>
      </c>
      <c r="W148" s="49">
        <f>((('Pump Design Summary'!$E$16-'Pump Design Summary'!$D$16)/1000)*V148)+'Pump Design Summary'!$D$16</f>
        <v>0</v>
      </c>
      <c r="X148" s="49">
        <f>IF(ISEVEN(V148),MAX('Pump Design Summary'!$D$29:$H$29)+50,0)</f>
        <v>0</v>
      </c>
      <c r="Y148" s="49"/>
    </row>
    <row r="149" spans="20:25" x14ac:dyDescent="0.25">
      <c r="T149" s="49"/>
      <c r="U149" s="49"/>
      <c r="V149" s="49">
        <v>146</v>
      </c>
      <c r="W149" s="49">
        <f>((('Pump Design Summary'!$E$16-'Pump Design Summary'!$D$16)/1000)*V149)+'Pump Design Summary'!$D$16</f>
        <v>0</v>
      </c>
      <c r="X149" s="49">
        <f>IF(ISEVEN(V149),MAX('Pump Design Summary'!$D$29:$H$29)+50,0)</f>
        <v>50</v>
      </c>
      <c r="Y149" s="49"/>
    </row>
    <row r="150" spans="20:25" x14ac:dyDescent="0.25">
      <c r="T150" s="49"/>
      <c r="U150" s="49"/>
      <c r="V150" s="49">
        <v>147</v>
      </c>
      <c r="W150" s="49">
        <f>((('Pump Design Summary'!$E$16-'Pump Design Summary'!$D$16)/1000)*V150)+'Pump Design Summary'!$D$16</f>
        <v>0</v>
      </c>
      <c r="X150" s="49">
        <f>IF(ISEVEN(V150),MAX('Pump Design Summary'!$D$29:$H$29)+50,0)</f>
        <v>0</v>
      </c>
      <c r="Y150" s="49"/>
    </row>
    <row r="151" spans="20:25" x14ac:dyDescent="0.25">
      <c r="T151" s="49"/>
      <c r="U151" s="49"/>
      <c r="V151" s="49">
        <v>148</v>
      </c>
      <c r="W151" s="49">
        <f>((('Pump Design Summary'!$E$16-'Pump Design Summary'!$D$16)/1000)*V151)+'Pump Design Summary'!$D$16</f>
        <v>0</v>
      </c>
      <c r="X151" s="49">
        <f>IF(ISEVEN(V151),MAX('Pump Design Summary'!$D$29:$H$29)+50,0)</f>
        <v>50</v>
      </c>
      <c r="Y151" s="49"/>
    </row>
    <row r="152" spans="20:25" x14ac:dyDescent="0.25">
      <c r="T152" s="49"/>
      <c r="U152" s="49"/>
      <c r="V152" s="49">
        <v>149</v>
      </c>
      <c r="W152" s="49">
        <f>((('Pump Design Summary'!$E$16-'Pump Design Summary'!$D$16)/1000)*V152)+'Pump Design Summary'!$D$16</f>
        <v>0</v>
      </c>
      <c r="X152" s="49">
        <f>IF(ISEVEN(V152),MAX('Pump Design Summary'!$D$29:$H$29)+50,0)</f>
        <v>0</v>
      </c>
      <c r="Y152" s="49"/>
    </row>
    <row r="153" spans="20:25" x14ac:dyDescent="0.25">
      <c r="T153" s="49"/>
      <c r="U153" s="49"/>
      <c r="V153" s="49">
        <v>150</v>
      </c>
      <c r="W153" s="49">
        <f>((('Pump Design Summary'!$E$16-'Pump Design Summary'!$D$16)/1000)*V153)+'Pump Design Summary'!$D$16</f>
        <v>0</v>
      </c>
      <c r="X153" s="49">
        <f>IF(ISEVEN(V153),MAX('Pump Design Summary'!$D$29:$H$29)+50,0)</f>
        <v>50</v>
      </c>
      <c r="Y153" s="49"/>
    </row>
    <row r="154" spans="20:25" x14ac:dyDescent="0.25">
      <c r="T154" s="49"/>
      <c r="U154" s="49"/>
      <c r="V154" s="49">
        <v>151</v>
      </c>
      <c r="W154" s="49">
        <f>((('Pump Design Summary'!$E$16-'Pump Design Summary'!$D$16)/1000)*V154)+'Pump Design Summary'!$D$16</f>
        <v>0</v>
      </c>
      <c r="X154" s="49">
        <f>IF(ISEVEN(V154),MAX('Pump Design Summary'!$D$29:$H$29)+50,0)</f>
        <v>0</v>
      </c>
      <c r="Y154" s="49"/>
    </row>
    <row r="155" spans="20:25" x14ac:dyDescent="0.25">
      <c r="T155" s="49"/>
      <c r="U155" s="49"/>
      <c r="V155" s="49">
        <v>152</v>
      </c>
      <c r="W155" s="49">
        <f>((('Pump Design Summary'!$E$16-'Pump Design Summary'!$D$16)/1000)*V155)+'Pump Design Summary'!$D$16</f>
        <v>0</v>
      </c>
      <c r="X155" s="49">
        <f>IF(ISEVEN(V155),MAX('Pump Design Summary'!$D$29:$H$29)+50,0)</f>
        <v>50</v>
      </c>
      <c r="Y155" s="49"/>
    </row>
    <row r="156" spans="20:25" x14ac:dyDescent="0.25">
      <c r="T156" s="49"/>
      <c r="U156" s="49"/>
      <c r="V156" s="49">
        <v>153</v>
      </c>
      <c r="W156" s="49">
        <f>((('Pump Design Summary'!$E$16-'Pump Design Summary'!$D$16)/1000)*V156)+'Pump Design Summary'!$D$16</f>
        <v>0</v>
      </c>
      <c r="X156" s="49">
        <f>IF(ISEVEN(V156),MAX('Pump Design Summary'!$D$29:$H$29)+50,0)</f>
        <v>0</v>
      </c>
      <c r="Y156" s="49"/>
    </row>
    <row r="157" spans="20:25" x14ac:dyDescent="0.25">
      <c r="T157" s="49"/>
      <c r="U157" s="49"/>
      <c r="V157" s="49">
        <v>154</v>
      </c>
      <c r="W157" s="49">
        <f>((('Pump Design Summary'!$E$16-'Pump Design Summary'!$D$16)/1000)*V157)+'Pump Design Summary'!$D$16</f>
        <v>0</v>
      </c>
      <c r="X157" s="49">
        <f>IF(ISEVEN(V157),MAX('Pump Design Summary'!$D$29:$H$29)+50,0)</f>
        <v>50</v>
      </c>
      <c r="Y157" s="49"/>
    </row>
    <row r="158" spans="20:25" x14ac:dyDescent="0.25">
      <c r="T158" s="49"/>
      <c r="U158" s="49"/>
      <c r="V158" s="49">
        <v>155</v>
      </c>
      <c r="W158" s="49">
        <f>((('Pump Design Summary'!$E$16-'Pump Design Summary'!$D$16)/1000)*V158)+'Pump Design Summary'!$D$16</f>
        <v>0</v>
      </c>
      <c r="X158" s="49">
        <f>IF(ISEVEN(V158),MAX('Pump Design Summary'!$D$29:$H$29)+50,0)</f>
        <v>0</v>
      </c>
      <c r="Y158" s="49"/>
    </row>
    <row r="159" spans="20:25" x14ac:dyDescent="0.25">
      <c r="T159" s="49"/>
      <c r="U159" s="49"/>
      <c r="V159" s="49">
        <v>156</v>
      </c>
      <c r="W159" s="49">
        <f>((('Pump Design Summary'!$E$16-'Pump Design Summary'!$D$16)/1000)*V159)+'Pump Design Summary'!$D$16</f>
        <v>0</v>
      </c>
      <c r="X159" s="49">
        <f>IF(ISEVEN(V159),MAX('Pump Design Summary'!$D$29:$H$29)+50,0)</f>
        <v>50</v>
      </c>
      <c r="Y159" s="49"/>
    </row>
    <row r="160" spans="20:25" x14ac:dyDescent="0.25">
      <c r="T160" s="49"/>
      <c r="U160" s="49"/>
      <c r="V160" s="49">
        <v>157</v>
      </c>
      <c r="W160" s="49">
        <f>((('Pump Design Summary'!$E$16-'Pump Design Summary'!$D$16)/1000)*V160)+'Pump Design Summary'!$D$16</f>
        <v>0</v>
      </c>
      <c r="X160" s="49">
        <f>IF(ISEVEN(V160),MAX('Pump Design Summary'!$D$29:$H$29)+50,0)</f>
        <v>0</v>
      </c>
      <c r="Y160" s="49"/>
    </row>
    <row r="161" spans="20:25" x14ac:dyDescent="0.25">
      <c r="T161" s="49"/>
      <c r="U161" s="49"/>
      <c r="V161" s="49">
        <v>158</v>
      </c>
      <c r="W161" s="49">
        <f>((('Pump Design Summary'!$E$16-'Pump Design Summary'!$D$16)/1000)*V161)+'Pump Design Summary'!$D$16</f>
        <v>0</v>
      </c>
      <c r="X161" s="49">
        <f>IF(ISEVEN(V161),MAX('Pump Design Summary'!$D$29:$H$29)+50,0)</f>
        <v>50</v>
      </c>
      <c r="Y161" s="49"/>
    </row>
    <row r="162" spans="20:25" x14ac:dyDescent="0.25">
      <c r="T162" s="49"/>
      <c r="U162" s="49"/>
      <c r="V162" s="49">
        <v>159</v>
      </c>
      <c r="W162" s="49">
        <f>((('Pump Design Summary'!$E$16-'Pump Design Summary'!$D$16)/1000)*V162)+'Pump Design Summary'!$D$16</f>
        <v>0</v>
      </c>
      <c r="X162" s="49">
        <f>IF(ISEVEN(V162),MAX('Pump Design Summary'!$D$29:$H$29)+50,0)</f>
        <v>0</v>
      </c>
      <c r="Y162" s="49"/>
    </row>
    <row r="163" spans="20:25" x14ac:dyDescent="0.25">
      <c r="T163" s="49"/>
      <c r="U163" s="49"/>
      <c r="V163" s="49">
        <v>160</v>
      </c>
      <c r="W163" s="49">
        <f>((('Pump Design Summary'!$E$16-'Pump Design Summary'!$D$16)/1000)*V163)+'Pump Design Summary'!$D$16</f>
        <v>0</v>
      </c>
      <c r="X163" s="49">
        <f>IF(ISEVEN(V163),MAX('Pump Design Summary'!$D$29:$H$29)+50,0)</f>
        <v>50</v>
      </c>
      <c r="Y163" s="49"/>
    </row>
    <row r="164" spans="20:25" x14ac:dyDescent="0.25">
      <c r="T164" s="49"/>
      <c r="U164" s="49"/>
      <c r="V164" s="49">
        <v>161</v>
      </c>
      <c r="W164" s="49">
        <f>((('Pump Design Summary'!$E$16-'Pump Design Summary'!$D$16)/1000)*V164)+'Pump Design Summary'!$D$16</f>
        <v>0</v>
      </c>
      <c r="X164" s="49">
        <f>IF(ISEVEN(V164),MAX('Pump Design Summary'!$D$29:$H$29)+50,0)</f>
        <v>0</v>
      </c>
      <c r="Y164" s="49"/>
    </row>
    <row r="165" spans="20:25" x14ac:dyDescent="0.25">
      <c r="T165" s="49"/>
      <c r="U165" s="49"/>
      <c r="V165" s="49">
        <v>162</v>
      </c>
      <c r="W165" s="49">
        <f>((('Pump Design Summary'!$E$16-'Pump Design Summary'!$D$16)/1000)*V165)+'Pump Design Summary'!$D$16</f>
        <v>0</v>
      </c>
      <c r="X165" s="49">
        <f>IF(ISEVEN(V165),MAX('Pump Design Summary'!$D$29:$H$29)+50,0)</f>
        <v>50</v>
      </c>
      <c r="Y165" s="49"/>
    </row>
    <row r="166" spans="20:25" x14ac:dyDescent="0.25">
      <c r="T166" s="49"/>
      <c r="U166" s="49"/>
      <c r="V166" s="49">
        <v>163</v>
      </c>
      <c r="W166" s="49">
        <f>((('Pump Design Summary'!$E$16-'Pump Design Summary'!$D$16)/1000)*V166)+'Pump Design Summary'!$D$16</f>
        <v>0</v>
      </c>
      <c r="X166" s="49">
        <f>IF(ISEVEN(V166),MAX('Pump Design Summary'!$D$29:$H$29)+50,0)</f>
        <v>0</v>
      </c>
      <c r="Y166" s="49"/>
    </row>
    <row r="167" spans="20:25" x14ac:dyDescent="0.25">
      <c r="T167" s="49"/>
      <c r="U167" s="49"/>
      <c r="V167" s="49">
        <v>164</v>
      </c>
      <c r="W167" s="49">
        <f>((('Pump Design Summary'!$E$16-'Pump Design Summary'!$D$16)/1000)*V167)+'Pump Design Summary'!$D$16</f>
        <v>0</v>
      </c>
      <c r="X167" s="49">
        <f>IF(ISEVEN(V167),MAX('Pump Design Summary'!$D$29:$H$29)+50,0)</f>
        <v>50</v>
      </c>
      <c r="Y167" s="49"/>
    </row>
    <row r="168" spans="20:25" x14ac:dyDescent="0.25">
      <c r="T168" s="49"/>
      <c r="U168" s="49"/>
      <c r="V168" s="49">
        <v>165</v>
      </c>
      <c r="W168" s="49">
        <f>((('Pump Design Summary'!$E$16-'Pump Design Summary'!$D$16)/1000)*V168)+'Pump Design Summary'!$D$16</f>
        <v>0</v>
      </c>
      <c r="X168" s="49">
        <f>IF(ISEVEN(V168),MAX('Pump Design Summary'!$D$29:$H$29)+50,0)</f>
        <v>0</v>
      </c>
      <c r="Y168" s="49"/>
    </row>
    <row r="169" spans="20:25" x14ac:dyDescent="0.25">
      <c r="T169" s="49"/>
      <c r="U169" s="49"/>
      <c r="V169" s="49">
        <v>166</v>
      </c>
      <c r="W169" s="49">
        <f>((('Pump Design Summary'!$E$16-'Pump Design Summary'!$D$16)/1000)*V169)+'Pump Design Summary'!$D$16</f>
        <v>0</v>
      </c>
      <c r="X169" s="49">
        <f>IF(ISEVEN(V169),MAX('Pump Design Summary'!$D$29:$H$29)+50,0)</f>
        <v>50</v>
      </c>
      <c r="Y169" s="49"/>
    </row>
    <row r="170" spans="20:25" x14ac:dyDescent="0.25">
      <c r="T170" s="49"/>
      <c r="U170" s="49"/>
      <c r="V170" s="49">
        <v>167</v>
      </c>
      <c r="W170" s="49">
        <f>((('Pump Design Summary'!$E$16-'Pump Design Summary'!$D$16)/1000)*V170)+'Pump Design Summary'!$D$16</f>
        <v>0</v>
      </c>
      <c r="X170" s="49">
        <f>IF(ISEVEN(V170),MAX('Pump Design Summary'!$D$29:$H$29)+50,0)</f>
        <v>0</v>
      </c>
      <c r="Y170" s="49"/>
    </row>
    <row r="171" spans="20:25" x14ac:dyDescent="0.25">
      <c r="T171" s="49"/>
      <c r="U171" s="49"/>
      <c r="V171" s="49">
        <v>168</v>
      </c>
      <c r="W171" s="49">
        <f>((('Pump Design Summary'!$E$16-'Pump Design Summary'!$D$16)/1000)*V171)+'Pump Design Summary'!$D$16</f>
        <v>0</v>
      </c>
      <c r="X171" s="49">
        <f>IF(ISEVEN(V171),MAX('Pump Design Summary'!$D$29:$H$29)+50,0)</f>
        <v>50</v>
      </c>
      <c r="Y171" s="49"/>
    </row>
    <row r="172" spans="20:25" x14ac:dyDescent="0.25">
      <c r="T172" s="49"/>
      <c r="U172" s="49"/>
      <c r="V172" s="49">
        <v>169</v>
      </c>
      <c r="W172" s="49">
        <f>((('Pump Design Summary'!$E$16-'Pump Design Summary'!$D$16)/1000)*V172)+'Pump Design Summary'!$D$16</f>
        <v>0</v>
      </c>
      <c r="X172" s="49">
        <f>IF(ISEVEN(V172),MAX('Pump Design Summary'!$D$29:$H$29)+50,0)</f>
        <v>0</v>
      </c>
      <c r="Y172" s="49"/>
    </row>
    <row r="173" spans="20:25" x14ac:dyDescent="0.25">
      <c r="T173" s="49"/>
      <c r="U173" s="49"/>
      <c r="V173" s="49">
        <v>170</v>
      </c>
      <c r="W173" s="49">
        <f>((('Pump Design Summary'!$E$16-'Pump Design Summary'!$D$16)/1000)*V173)+'Pump Design Summary'!$D$16</f>
        <v>0</v>
      </c>
      <c r="X173" s="49">
        <f>IF(ISEVEN(V173),MAX('Pump Design Summary'!$D$29:$H$29)+50,0)</f>
        <v>50</v>
      </c>
      <c r="Y173" s="49"/>
    </row>
    <row r="174" spans="20:25" x14ac:dyDescent="0.25">
      <c r="T174" s="49"/>
      <c r="U174" s="49"/>
      <c r="V174" s="49">
        <v>171</v>
      </c>
      <c r="W174" s="49">
        <f>((('Pump Design Summary'!$E$16-'Pump Design Summary'!$D$16)/1000)*V174)+'Pump Design Summary'!$D$16</f>
        <v>0</v>
      </c>
      <c r="X174" s="49">
        <f>IF(ISEVEN(V174),MAX('Pump Design Summary'!$D$29:$H$29)+50,0)</f>
        <v>0</v>
      </c>
      <c r="Y174" s="49"/>
    </row>
    <row r="175" spans="20:25" x14ac:dyDescent="0.25">
      <c r="T175" s="49"/>
      <c r="U175" s="49"/>
      <c r="V175" s="49">
        <v>172</v>
      </c>
      <c r="W175" s="49">
        <f>((('Pump Design Summary'!$E$16-'Pump Design Summary'!$D$16)/1000)*V175)+'Pump Design Summary'!$D$16</f>
        <v>0</v>
      </c>
      <c r="X175" s="49">
        <f>IF(ISEVEN(V175),MAX('Pump Design Summary'!$D$29:$H$29)+50,0)</f>
        <v>50</v>
      </c>
      <c r="Y175" s="49"/>
    </row>
    <row r="176" spans="20:25" x14ac:dyDescent="0.25">
      <c r="T176" s="49"/>
      <c r="U176" s="49"/>
      <c r="V176" s="49">
        <v>173</v>
      </c>
      <c r="W176" s="49">
        <f>((('Pump Design Summary'!$E$16-'Pump Design Summary'!$D$16)/1000)*V176)+'Pump Design Summary'!$D$16</f>
        <v>0</v>
      </c>
      <c r="X176" s="49">
        <f>IF(ISEVEN(V176),MAX('Pump Design Summary'!$D$29:$H$29)+50,0)</f>
        <v>0</v>
      </c>
      <c r="Y176" s="49"/>
    </row>
    <row r="177" spans="20:25" x14ac:dyDescent="0.25">
      <c r="T177" s="49"/>
      <c r="U177" s="49"/>
      <c r="V177" s="49">
        <v>174</v>
      </c>
      <c r="W177" s="49">
        <f>((('Pump Design Summary'!$E$16-'Pump Design Summary'!$D$16)/1000)*V177)+'Pump Design Summary'!$D$16</f>
        <v>0</v>
      </c>
      <c r="X177" s="49">
        <f>IF(ISEVEN(V177),MAX('Pump Design Summary'!$D$29:$H$29)+50,0)</f>
        <v>50</v>
      </c>
      <c r="Y177" s="49"/>
    </row>
    <row r="178" spans="20:25" x14ac:dyDescent="0.25">
      <c r="T178" s="49"/>
      <c r="U178" s="49"/>
      <c r="V178" s="49">
        <v>175</v>
      </c>
      <c r="W178" s="49">
        <f>((('Pump Design Summary'!$E$16-'Pump Design Summary'!$D$16)/1000)*V178)+'Pump Design Summary'!$D$16</f>
        <v>0</v>
      </c>
      <c r="X178" s="49">
        <f>IF(ISEVEN(V178),MAX('Pump Design Summary'!$D$29:$H$29)+50,0)</f>
        <v>0</v>
      </c>
      <c r="Y178" s="49"/>
    </row>
    <row r="179" spans="20:25" x14ac:dyDescent="0.25">
      <c r="T179" s="49"/>
      <c r="U179" s="49"/>
      <c r="V179" s="49">
        <v>176</v>
      </c>
      <c r="W179" s="49">
        <f>((('Pump Design Summary'!$E$16-'Pump Design Summary'!$D$16)/1000)*V179)+'Pump Design Summary'!$D$16</f>
        <v>0</v>
      </c>
      <c r="X179" s="49">
        <f>IF(ISEVEN(V179),MAX('Pump Design Summary'!$D$29:$H$29)+50,0)</f>
        <v>50</v>
      </c>
      <c r="Y179" s="49"/>
    </row>
    <row r="180" spans="20:25" x14ac:dyDescent="0.25">
      <c r="T180" s="49"/>
      <c r="U180" s="49"/>
      <c r="V180" s="49">
        <v>177</v>
      </c>
      <c r="W180" s="49">
        <f>((('Pump Design Summary'!$E$16-'Pump Design Summary'!$D$16)/1000)*V180)+'Pump Design Summary'!$D$16</f>
        <v>0</v>
      </c>
      <c r="X180" s="49">
        <f>IF(ISEVEN(V180),MAX('Pump Design Summary'!$D$29:$H$29)+50,0)</f>
        <v>0</v>
      </c>
      <c r="Y180" s="49"/>
    </row>
    <row r="181" spans="20:25" x14ac:dyDescent="0.25">
      <c r="T181" s="49"/>
      <c r="U181" s="49"/>
      <c r="V181" s="49">
        <v>178</v>
      </c>
      <c r="W181" s="49">
        <f>((('Pump Design Summary'!$E$16-'Pump Design Summary'!$D$16)/1000)*V181)+'Pump Design Summary'!$D$16</f>
        <v>0</v>
      </c>
      <c r="X181" s="49">
        <f>IF(ISEVEN(V181),MAX('Pump Design Summary'!$D$29:$H$29)+50,0)</f>
        <v>50</v>
      </c>
      <c r="Y181" s="49"/>
    </row>
    <row r="182" spans="20:25" x14ac:dyDescent="0.25">
      <c r="T182" s="49"/>
      <c r="U182" s="49"/>
      <c r="V182" s="49">
        <v>179</v>
      </c>
      <c r="W182" s="49">
        <f>((('Pump Design Summary'!$E$16-'Pump Design Summary'!$D$16)/1000)*V182)+'Pump Design Summary'!$D$16</f>
        <v>0</v>
      </c>
      <c r="X182" s="49">
        <f>IF(ISEVEN(V182),MAX('Pump Design Summary'!$D$29:$H$29)+50,0)</f>
        <v>0</v>
      </c>
      <c r="Y182" s="49"/>
    </row>
    <row r="183" spans="20:25" x14ac:dyDescent="0.25">
      <c r="T183" s="49"/>
      <c r="U183" s="49"/>
      <c r="V183" s="49">
        <v>180</v>
      </c>
      <c r="W183" s="49">
        <f>((('Pump Design Summary'!$E$16-'Pump Design Summary'!$D$16)/1000)*V183)+'Pump Design Summary'!$D$16</f>
        <v>0</v>
      </c>
      <c r="X183" s="49">
        <f>IF(ISEVEN(V183),MAX('Pump Design Summary'!$D$29:$H$29)+50,0)</f>
        <v>50</v>
      </c>
      <c r="Y183" s="49"/>
    </row>
    <row r="184" spans="20:25" x14ac:dyDescent="0.25">
      <c r="T184" s="49"/>
      <c r="U184" s="49"/>
      <c r="V184" s="49">
        <v>181</v>
      </c>
      <c r="W184" s="49">
        <f>((('Pump Design Summary'!$E$16-'Pump Design Summary'!$D$16)/1000)*V184)+'Pump Design Summary'!$D$16</f>
        <v>0</v>
      </c>
      <c r="X184" s="49">
        <f>IF(ISEVEN(V184),MAX('Pump Design Summary'!$D$29:$H$29)+50,0)</f>
        <v>0</v>
      </c>
      <c r="Y184" s="49"/>
    </row>
    <row r="185" spans="20:25" x14ac:dyDescent="0.25">
      <c r="T185" s="49"/>
      <c r="U185" s="49"/>
      <c r="V185" s="49">
        <v>182</v>
      </c>
      <c r="W185" s="49">
        <f>((('Pump Design Summary'!$E$16-'Pump Design Summary'!$D$16)/1000)*V185)+'Pump Design Summary'!$D$16</f>
        <v>0</v>
      </c>
      <c r="X185" s="49">
        <f>IF(ISEVEN(V185),MAX('Pump Design Summary'!$D$29:$H$29)+50,0)</f>
        <v>50</v>
      </c>
      <c r="Y185" s="49"/>
    </row>
    <row r="186" spans="20:25" x14ac:dyDescent="0.25">
      <c r="T186" s="49"/>
      <c r="U186" s="49"/>
      <c r="V186" s="49">
        <v>183</v>
      </c>
      <c r="W186" s="49">
        <f>((('Pump Design Summary'!$E$16-'Pump Design Summary'!$D$16)/1000)*V186)+'Pump Design Summary'!$D$16</f>
        <v>0</v>
      </c>
      <c r="X186" s="49">
        <f>IF(ISEVEN(V186),MAX('Pump Design Summary'!$D$29:$H$29)+50,0)</f>
        <v>0</v>
      </c>
      <c r="Y186" s="49"/>
    </row>
    <row r="187" spans="20:25" x14ac:dyDescent="0.25">
      <c r="T187" s="49"/>
      <c r="U187" s="49"/>
      <c r="V187" s="49">
        <v>184</v>
      </c>
      <c r="W187" s="49">
        <f>((('Pump Design Summary'!$E$16-'Pump Design Summary'!$D$16)/1000)*V187)+'Pump Design Summary'!$D$16</f>
        <v>0</v>
      </c>
      <c r="X187" s="49">
        <f>IF(ISEVEN(V187),MAX('Pump Design Summary'!$D$29:$H$29)+50,0)</f>
        <v>50</v>
      </c>
      <c r="Y187" s="49"/>
    </row>
    <row r="188" spans="20:25" x14ac:dyDescent="0.25">
      <c r="T188" s="49"/>
      <c r="U188" s="49"/>
      <c r="V188" s="49">
        <v>185</v>
      </c>
      <c r="W188" s="49">
        <f>((('Pump Design Summary'!$E$16-'Pump Design Summary'!$D$16)/1000)*V188)+'Pump Design Summary'!$D$16</f>
        <v>0</v>
      </c>
      <c r="X188" s="49">
        <f>IF(ISEVEN(V188),MAX('Pump Design Summary'!$D$29:$H$29)+50,0)</f>
        <v>0</v>
      </c>
      <c r="Y188" s="49"/>
    </row>
    <row r="189" spans="20:25" x14ac:dyDescent="0.25">
      <c r="T189" s="49"/>
      <c r="U189" s="49"/>
      <c r="V189" s="49">
        <v>186</v>
      </c>
      <c r="W189" s="49">
        <f>((('Pump Design Summary'!$E$16-'Pump Design Summary'!$D$16)/1000)*V189)+'Pump Design Summary'!$D$16</f>
        <v>0</v>
      </c>
      <c r="X189" s="49">
        <f>IF(ISEVEN(V189),MAX('Pump Design Summary'!$D$29:$H$29)+50,0)</f>
        <v>50</v>
      </c>
      <c r="Y189" s="49"/>
    </row>
    <row r="190" spans="20:25" x14ac:dyDescent="0.25">
      <c r="T190" s="49"/>
      <c r="U190" s="49"/>
      <c r="V190" s="49">
        <v>187</v>
      </c>
      <c r="W190" s="49">
        <f>((('Pump Design Summary'!$E$16-'Pump Design Summary'!$D$16)/1000)*V190)+'Pump Design Summary'!$D$16</f>
        <v>0</v>
      </c>
      <c r="X190" s="49">
        <f>IF(ISEVEN(V190),MAX('Pump Design Summary'!$D$29:$H$29)+50,0)</f>
        <v>0</v>
      </c>
      <c r="Y190" s="49"/>
    </row>
    <row r="191" spans="20:25" x14ac:dyDescent="0.25">
      <c r="T191" s="49"/>
      <c r="U191" s="49"/>
      <c r="V191" s="49">
        <v>188</v>
      </c>
      <c r="W191" s="49">
        <f>((('Pump Design Summary'!$E$16-'Pump Design Summary'!$D$16)/1000)*V191)+'Pump Design Summary'!$D$16</f>
        <v>0</v>
      </c>
      <c r="X191" s="49">
        <f>IF(ISEVEN(V191),MAX('Pump Design Summary'!$D$29:$H$29)+50,0)</f>
        <v>50</v>
      </c>
      <c r="Y191" s="49"/>
    </row>
    <row r="192" spans="20:25" x14ac:dyDescent="0.25">
      <c r="T192" s="49"/>
      <c r="U192" s="49"/>
      <c r="V192" s="49">
        <v>189</v>
      </c>
      <c r="W192" s="49">
        <f>((('Pump Design Summary'!$E$16-'Pump Design Summary'!$D$16)/1000)*V192)+'Pump Design Summary'!$D$16</f>
        <v>0</v>
      </c>
      <c r="X192" s="49">
        <f>IF(ISEVEN(V192),MAX('Pump Design Summary'!$D$29:$H$29)+50,0)</f>
        <v>0</v>
      </c>
      <c r="Y192" s="49"/>
    </row>
    <row r="193" spans="20:25" x14ac:dyDescent="0.25">
      <c r="T193" s="49"/>
      <c r="U193" s="49"/>
      <c r="V193" s="49">
        <v>190</v>
      </c>
      <c r="W193" s="49">
        <f>((('Pump Design Summary'!$E$16-'Pump Design Summary'!$D$16)/1000)*V193)+'Pump Design Summary'!$D$16</f>
        <v>0</v>
      </c>
      <c r="X193" s="49">
        <f>IF(ISEVEN(V193),MAX('Pump Design Summary'!$D$29:$H$29)+50,0)</f>
        <v>50</v>
      </c>
      <c r="Y193" s="49"/>
    </row>
    <row r="194" spans="20:25" x14ac:dyDescent="0.25">
      <c r="T194" s="49"/>
      <c r="U194" s="49"/>
      <c r="V194" s="49">
        <v>191</v>
      </c>
      <c r="W194" s="49">
        <f>((('Pump Design Summary'!$E$16-'Pump Design Summary'!$D$16)/1000)*V194)+'Pump Design Summary'!$D$16</f>
        <v>0</v>
      </c>
      <c r="X194" s="49">
        <f>IF(ISEVEN(V194),MAX('Pump Design Summary'!$D$29:$H$29)+50,0)</f>
        <v>0</v>
      </c>
      <c r="Y194" s="49"/>
    </row>
    <row r="195" spans="20:25" x14ac:dyDescent="0.25">
      <c r="T195" s="49"/>
      <c r="U195" s="49"/>
      <c r="V195" s="49">
        <v>192</v>
      </c>
      <c r="W195" s="49">
        <f>((('Pump Design Summary'!$E$16-'Pump Design Summary'!$D$16)/1000)*V195)+'Pump Design Summary'!$D$16</f>
        <v>0</v>
      </c>
      <c r="X195" s="49">
        <f>IF(ISEVEN(V195),MAX('Pump Design Summary'!$D$29:$H$29)+50,0)</f>
        <v>50</v>
      </c>
      <c r="Y195" s="49"/>
    </row>
    <row r="196" spans="20:25" x14ac:dyDescent="0.25">
      <c r="T196" s="49"/>
      <c r="U196" s="49"/>
      <c r="V196" s="49">
        <v>193</v>
      </c>
      <c r="W196" s="49">
        <f>((('Pump Design Summary'!$E$16-'Pump Design Summary'!$D$16)/1000)*V196)+'Pump Design Summary'!$D$16</f>
        <v>0</v>
      </c>
      <c r="X196" s="49">
        <f>IF(ISEVEN(V196),MAX('Pump Design Summary'!$D$29:$H$29)+50,0)</f>
        <v>0</v>
      </c>
      <c r="Y196" s="49"/>
    </row>
    <row r="197" spans="20:25" x14ac:dyDescent="0.25">
      <c r="T197" s="49"/>
      <c r="U197" s="49"/>
      <c r="V197" s="49">
        <v>194</v>
      </c>
      <c r="W197" s="49">
        <f>((('Pump Design Summary'!$E$16-'Pump Design Summary'!$D$16)/1000)*V197)+'Pump Design Summary'!$D$16</f>
        <v>0</v>
      </c>
      <c r="X197" s="49">
        <f>IF(ISEVEN(V197),MAX('Pump Design Summary'!$D$29:$H$29)+50,0)</f>
        <v>50</v>
      </c>
      <c r="Y197" s="49"/>
    </row>
    <row r="198" spans="20:25" x14ac:dyDescent="0.25">
      <c r="T198" s="49"/>
      <c r="U198" s="49"/>
      <c r="V198" s="49">
        <v>195</v>
      </c>
      <c r="W198" s="49">
        <f>((('Pump Design Summary'!$E$16-'Pump Design Summary'!$D$16)/1000)*V198)+'Pump Design Summary'!$D$16</f>
        <v>0</v>
      </c>
      <c r="X198" s="49">
        <f>IF(ISEVEN(V198),MAX('Pump Design Summary'!$D$29:$H$29)+50,0)</f>
        <v>0</v>
      </c>
      <c r="Y198" s="49"/>
    </row>
    <row r="199" spans="20:25" x14ac:dyDescent="0.25">
      <c r="T199" s="49"/>
      <c r="U199" s="49"/>
      <c r="V199" s="49">
        <v>196</v>
      </c>
      <c r="W199" s="49">
        <f>((('Pump Design Summary'!$E$16-'Pump Design Summary'!$D$16)/1000)*V199)+'Pump Design Summary'!$D$16</f>
        <v>0</v>
      </c>
      <c r="X199" s="49">
        <f>IF(ISEVEN(V199),MAX('Pump Design Summary'!$D$29:$H$29)+50,0)</f>
        <v>50</v>
      </c>
      <c r="Y199" s="49"/>
    </row>
    <row r="200" spans="20:25" x14ac:dyDescent="0.25">
      <c r="T200" s="49"/>
      <c r="U200" s="49"/>
      <c r="V200" s="49">
        <v>197</v>
      </c>
      <c r="W200" s="49">
        <f>((('Pump Design Summary'!$E$16-'Pump Design Summary'!$D$16)/1000)*V200)+'Pump Design Summary'!$D$16</f>
        <v>0</v>
      </c>
      <c r="X200" s="49">
        <f>IF(ISEVEN(V200),MAX('Pump Design Summary'!$D$29:$H$29)+50,0)</f>
        <v>0</v>
      </c>
      <c r="Y200" s="49"/>
    </row>
    <row r="201" spans="20:25" x14ac:dyDescent="0.25">
      <c r="T201" s="49"/>
      <c r="U201" s="49"/>
      <c r="V201" s="49">
        <v>198</v>
      </c>
      <c r="W201" s="49">
        <f>((('Pump Design Summary'!$E$16-'Pump Design Summary'!$D$16)/1000)*V201)+'Pump Design Summary'!$D$16</f>
        <v>0</v>
      </c>
      <c r="X201" s="49">
        <f>IF(ISEVEN(V201),MAX('Pump Design Summary'!$D$29:$H$29)+50,0)</f>
        <v>50</v>
      </c>
      <c r="Y201" s="49"/>
    </row>
    <row r="202" spans="20:25" x14ac:dyDescent="0.25">
      <c r="T202" s="49"/>
      <c r="U202" s="49"/>
      <c r="V202" s="49">
        <v>199</v>
      </c>
      <c r="W202" s="49">
        <f>((('Pump Design Summary'!$E$16-'Pump Design Summary'!$D$16)/1000)*V202)+'Pump Design Summary'!$D$16</f>
        <v>0</v>
      </c>
      <c r="X202" s="49">
        <f>IF(ISEVEN(V202),MAX('Pump Design Summary'!$D$29:$H$29)+50,0)</f>
        <v>0</v>
      </c>
      <c r="Y202" s="49"/>
    </row>
    <row r="203" spans="20:25" x14ac:dyDescent="0.25">
      <c r="T203" s="49"/>
      <c r="U203" s="49"/>
      <c r="V203" s="49">
        <v>200</v>
      </c>
      <c r="W203" s="49">
        <f>((('Pump Design Summary'!$E$16-'Pump Design Summary'!$D$16)/1000)*V203)+'Pump Design Summary'!$D$16</f>
        <v>0</v>
      </c>
      <c r="X203" s="49">
        <f>IF(ISEVEN(V203),MAX('Pump Design Summary'!$D$29:$H$29)+50,0)</f>
        <v>50</v>
      </c>
      <c r="Y203" s="49"/>
    </row>
    <row r="204" spans="20:25" x14ac:dyDescent="0.25">
      <c r="T204" s="49"/>
      <c r="U204" s="49"/>
      <c r="V204" s="49">
        <v>201</v>
      </c>
      <c r="W204" s="49">
        <f>((('Pump Design Summary'!$E$16-'Pump Design Summary'!$D$16)/1000)*V204)+'Pump Design Summary'!$D$16</f>
        <v>0</v>
      </c>
      <c r="X204" s="49">
        <f>IF(ISEVEN(V204),MAX('Pump Design Summary'!$D$29:$H$29)+50,0)</f>
        <v>0</v>
      </c>
      <c r="Y204" s="49"/>
    </row>
    <row r="205" spans="20:25" x14ac:dyDescent="0.25">
      <c r="T205" s="49"/>
      <c r="U205" s="49"/>
      <c r="V205" s="49">
        <v>202</v>
      </c>
      <c r="W205" s="49">
        <f>((('Pump Design Summary'!$E$16-'Pump Design Summary'!$D$16)/1000)*V205)+'Pump Design Summary'!$D$16</f>
        <v>0</v>
      </c>
      <c r="X205" s="49">
        <f>IF(ISEVEN(V205),MAX('Pump Design Summary'!$D$29:$H$29)+50,0)</f>
        <v>50</v>
      </c>
      <c r="Y205" s="49"/>
    </row>
    <row r="206" spans="20:25" x14ac:dyDescent="0.25">
      <c r="T206" s="49"/>
      <c r="U206" s="49"/>
      <c r="V206" s="49">
        <v>203</v>
      </c>
      <c r="W206" s="49">
        <f>((('Pump Design Summary'!$E$16-'Pump Design Summary'!$D$16)/1000)*V206)+'Pump Design Summary'!$D$16</f>
        <v>0</v>
      </c>
      <c r="X206" s="49">
        <f>IF(ISEVEN(V206),MAX('Pump Design Summary'!$D$29:$H$29)+50,0)</f>
        <v>0</v>
      </c>
      <c r="Y206" s="49"/>
    </row>
    <row r="207" spans="20:25" x14ac:dyDescent="0.25">
      <c r="T207" s="49"/>
      <c r="U207" s="49"/>
      <c r="V207" s="49">
        <v>204</v>
      </c>
      <c r="W207" s="49">
        <f>((('Pump Design Summary'!$E$16-'Pump Design Summary'!$D$16)/1000)*V207)+'Pump Design Summary'!$D$16</f>
        <v>0</v>
      </c>
      <c r="X207" s="49">
        <f>IF(ISEVEN(V207),MAX('Pump Design Summary'!$D$29:$H$29)+50,0)</f>
        <v>50</v>
      </c>
      <c r="Y207" s="49"/>
    </row>
    <row r="208" spans="20:25" x14ac:dyDescent="0.25">
      <c r="T208" s="49"/>
      <c r="U208" s="49"/>
      <c r="V208" s="49">
        <v>205</v>
      </c>
      <c r="W208" s="49">
        <f>((('Pump Design Summary'!$E$16-'Pump Design Summary'!$D$16)/1000)*V208)+'Pump Design Summary'!$D$16</f>
        <v>0</v>
      </c>
      <c r="X208" s="49">
        <f>IF(ISEVEN(V208),MAX('Pump Design Summary'!$D$29:$H$29)+50,0)</f>
        <v>0</v>
      </c>
      <c r="Y208" s="49"/>
    </row>
    <row r="209" spans="20:25" x14ac:dyDescent="0.25">
      <c r="T209" s="49"/>
      <c r="U209" s="49"/>
      <c r="V209" s="49">
        <v>206</v>
      </c>
      <c r="W209" s="49">
        <f>((('Pump Design Summary'!$E$16-'Pump Design Summary'!$D$16)/1000)*V209)+'Pump Design Summary'!$D$16</f>
        <v>0</v>
      </c>
      <c r="X209" s="49">
        <f>IF(ISEVEN(V209),MAX('Pump Design Summary'!$D$29:$H$29)+50,0)</f>
        <v>50</v>
      </c>
      <c r="Y209" s="49"/>
    </row>
    <row r="210" spans="20:25" x14ac:dyDescent="0.25">
      <c r="T210" s="49"/>
      <c r="U210" s="49"/>
      <c r="V210" s="49">
        <v>207</v>
      </c>
      <c r="W210" s="49">
        <f>((('Pump Design Summary'!$E$16-'Pump Design Summary'!$D$16)/1000)*V210)+'Pump Design Summary'!$D$16</f>
        <v>0</v>
      </c>
      <c r="X210" s="49">
        <f>IF(ISEVEN(V210),MAX('Pump Design Summary'!$D$29:$H$29)+50,0)</f>
        <v>0</v>
      </c>
      <c r="Y210" s="49"/>
    </row>
    <row r="211" spans="20:25" x14ac:dyDescent="0.25">
      <c r="T211" s="49"/>
      <c r="U211" s="49"/>
      <c r="V211" s="49">
        <v>208</v>
      </c>
      <c r="W211" s="49">
        <f>((('Pump Design Summary'!$E$16-'Pump Design Summary'!$D$16)/1000)*V211)+'Pump Design Summary'!$D$16</f>
        <v>0</v>
      </c>
      <c r="X211" s="49">
        <f>IF(ISEVEN(V211),MAX('Pump Design Summary'!$D$29:$H$29)+50,0)</f>
        <v>50</v>
      </c>
      <c r="Y211" s="49"/>
    </row>
    <row r="212" spans="20:25" x14ac:dyDescent="0.25">
      <c r="T212" s="49"/>
      <c r="U212" s="49"/>
      <c r="V212" s="49">
        <v>209</v>
      </c>
      <c r="W212" s="49">
        <f>((('Pump Design Summary'!$E$16-'Pump Design Summary'!$D$16)/1000)*V212)+'Pump Design Summary'!$D$16</f>
        <v>0</v>
      </c>
      <c r="X212" s="49">
        <f>IF(ISEVEN(V212),MAX('Pump Design Summary'!$D$29:$H$29)+50,0)</f>
        <v>0</v>
      </c>
      <c r="Y212" s="49"/>
    </row>
    <row r="213" spans="20:25" x14ac:dyDescent="0.25">
      <c r="T213" s="49"/>
      <c r="U213" s="49"/>
      <c r="V213" s="49">
        <v>210</v>
      </c>
      <c r="W213" s="49">
        <f>((('Pump Design Summary'!$E$16-'Pump Design Summary'!$D$16)/1000)*V213)+'Pump Design Summary'!$D$16</f>
        <v>0</v>
      </c>
      <c r="X213" s="49">
        <f>IF(ISEVEN(V213),MAX('Pump Design Summary'!$D$29:$H$29)+50,0)</f>
        <v>50</v>
      </c>
      <c r="Y213" s="49"/>
    </row>
    <row r="214" spans="20:25" x14ac:dyDescent="0.25">
      <c r="T214" s="49"/>
      <c r="U214" s="49"/>
      <c r="V214" s="49">
        <v>211</v>
      </c>
      <c r="W214" s="49">
        <f>((('Pump Design Summary'!$E$16-'Pump Design Summary'!$D$16)/1000)*V214)+'Pump Design Summary'!$D$16</f>
        <v>0</v>
      </c>
      <c r="X214" s="49">
        <f>IF(ISEVEN(V214),MAX('Pump Design Summary'!$D$29:$H$29)+50,0)</f>
        <v>0</v>
      </c>
      <c r="Y214" s="49"/>
    </row>
    <row r="215" spans="20:25" x14ac:dyDescent="0.25">
      <c r="T215" s="49"/>
      <c r="U215" s="49"/>
      <c r="V215" s="49">
        <v>212</v>
      </c>
      <c r="W215" s="49">
        <f>((('Pump Design Summary'!$E$16-'Pump Design Summary'!$D$16)/1000)*V215)+'Pump Design Summary'!$D$16</f>
        <v>0</v>
      </c>
      <c r="X215" s="49">
        <f>IF(ISEVEN(V215),MAX('Pump Design Summary'!$D$29:$H$29)+50,0)</f>
        <v>50</v>
      </c>
      <c r="Y215" s="49"/>
    </row>
    <row r="216" spans="20:25" x14ac:dyDescent="0.25">
      <c r="T216" s="49"/>
      <c r="U216" s="49"/>
      <c r="V216" s="49">
        <v>213</v>
      </c>
      <c r="W216" s="49">
        <f>((('Pump Design Summary'!$E$16-'Pump Design Summary'!$D$16)/1000)*V216)+'Pump Design Summary'!$D$16</f>
        <v>0</v>
      </c>
      <c r="X216" s="49">
        <f>IF(ISEVEN(V216),MAX('Pump Design Summary'!$D$29:$H$29)+50,0)</f>
        <v>0</v>
      </c>
      <c r="Y216" s="49"/>
    </row>
    <row r="217" spans="20:25" x14ac:dyDescent="0.25">
      <c r="T217" s="49"/>
      <c r="U217" s="49"/>
      <c r="V217" s="49">
        <v>214</v>
      </c>
      <c r="W217" s="49">
        <f>((('Pump Design Summary'!$E$16-'Pump Design Summary'!$D$16)/1000)*V217)+'Pump Design Summary'!$D$16</f>
        <v>0</v>
      </c>
      <c r="X217" s="49">
        <f>IF(ISEVEN(V217),MAX('Pump Design Summary'!$D$29:$H$29)+50,0)</f>
        <v>50</v>
      </c>
      <c r="Y217" s="49"/>
    </row>
    <row r="218" spans="20:25" x14ac:dyDescent="0.25">
      <c r="T218" s="49"/>
      <c r="U218" s="49"/>
      <c r="V218" s="49">
        <v>215</v>
      </c>
      <c r="W218" s="49">
        <f>((('Pump Design Summary'!$E$16-'Pump Design Summary'!$D$16)/1000)*V218)+'Pump Design Summary'!$D$16</f>
        <v>0</v>
      </c>
      <c r="X218" s="49">
        <f>IF(ISEVEN(V218),MAX('Pump Design Summary'!$D$29:$H$29)+50,0)</f>
        <v>0</v>
      </c>
      <c r="Y218" s="49"/>
    </row>
    <row r="219" spans="20:25" x14ac:dyDescent="0.25">
      <c r="T219" s="49"/>
      <c r="U219" s="49"/>
      <c r="V219" s="49">
        <v>216</v>
      </c>
      <c r="W219" s="49">
        <f>((('Pump Design Summary'!$E$16-'Pump Design Summary'!$D$16)/1000)*V219)+'Pump Design Summary'!$D$16</f>
        <v>0</v>
      </c>
      <c r="X219" s="49">
        <f>IF(ISEVEN(V219),MAX('Pump Design Summary'!$D$29:$H$29)+50,0)</f>
        <v>50</v>
      </c>
      <c r="Y219" s="49"/>
    </row>
    <row r="220" spans="20:25" x14ac:dyDescent="0.25">
      <c r="T220" s="49"/>
      <c r="U220" s="49"/>
      <c r="V220" s="49">
        <v>217</v>
      </c>
      <c r="W220" s="49">
        <f>((('Pump Design Summary'!$E$16-'Pump Design Summary'!$D$16)/1000)*V220)+'Pump Design Summary'!$D$16</f>
        <v>0</v>
      </c>
      <c r="X220" s="49">
        <f>IF(ISEVEN(V220),MAX('Pump Design Summary'!$D$29:$H$29)+50,0)</f>
        <v>0</v>
      </c>
      <c r="Y220" s="49"/>
    </row>
    <row r="221" spans="20:25" x14ac:dyDescent="0.25">
      <c r="T221" s="49"/>
      <c r="U221" s="49"/>
      <c r="V221" s="49">
        <v>218</v>
      </c>
      <c r="W221" s="49">
        <f>((('Pump Design Summary'!$E$16-'Pump Design Summary'!$D$16)/1000)*V221)+'Pump Design Summary'!$D$16</f>
        <v>0</v>
      </c>
      <c r="X221" s="49">
        <f>IF(ISEVEN(V221),MAX('Pump Design Summary'!$D$29:$H$29)+50,0)</f>
        <v>50</v>
      </c>
      <c r="Y221" s="49"/>
    </row>
    <row r="222" spans="20:25" x14ac:dyDescent="0.25">
      <c r="T222" s="49"/>
      <c r="U222" s="49"/>
      <c r="V222" s="49">
        <v>219</v>
      </c>
      <c r="W222" s="49">
        <f>((('Pump Design Summary'!$E$16-'Pump Design Summary'!$D$16)/1000)*V222)+'Pump Design Summary'!$D$16</f>
        <v>0</v>
      </c>
      <c r="X222" s="49">
        <f>IF(ISEVEN(V222),MAX('Pump Design Summary'!$D$29:$H$29)+50,0)</f>
        <v>0</v>
      </c>
      <c r="Y222" s="49"/>
    </row>
    <row r="223" spans="20:25" x14ac:dyDescent="0.25">
      <c r="T223" s="49"/>
      <c r="U223" s="49"/>
      <c r="V223" s="49">
        <v>220</v>
      </c>
      <c r="W223" s="49">
        <f>((('Pump Design Summary'!$E$16-'Pump Design Summary'!$D$16)/1000)*V223)+'Pump Design Summary'!$D$16</f>
        <v>0</v>
      </c>
      <c r="X223" s="49">
        <f>IF(ISEVEN(V223),MAX('Pump Design Summary'!$D$29:$H$29)+50,0)</f>
        <v>50</v>
      </c>
      <c r="Y223" s="49"/>
    </row>
    <row r="224" spans="20:25" x14ac:dyDescent="0.25">
      <c r="T224" s="49"/>
      <c r="U224" s="49"/>
      <c r="V224" s="49">
        <v>221</v>
      </c>
      <c r="W224" s="49">
        <f>((('Pump Design Summary'!$E$16-'Pump Design Summary'!$D$16)/1000)*V224)+'Pump Design Summary'!$D$16</f>
        <v>0</v>
      </c>
      <c r="X224" s="49">
        <f>IF(ISEVEN(V224),MAX('Pump Design Summary'!$D$29:$H$29)+50,0)</f>
        <v>0</v>
      </c>
      <c r="Y224" s="49"/>
    </row>
    <row r="225" spans="20:25" x14ac:dyDescent="0.25">
      <c r="T225" s="49"/>
      <c r="U225" s="49"/>
      <c r="V225" s="49">
        <v>222</v>
      </c>
      <c r="W225" s="49">
        <f>((('Pump Design Summary'!$E$16-'Pump Design Summary'!$D$16)/1000)*V225)+'Pump Design Summary'!$D$16</f>
        <v>0</v>
      </c>
      <c r="X225" s="49">
        <f>IF(ISEVEN(V225),MAX('Pump Design Summary'!$D$29:$H$29)+50,0)</f>
        <v>50</v>
      </c>
      <c r="Y225" s="49"/>
    </row>
    <row r="226" spans="20:25" x14ac:dyDescent="0.25">
      <c r="T226" s="49"/>
      <c r="U226" s="49"/>
      <c r="V226" s="49">
        <v>223</v>
      </c>
      <c r="W226" s="49">
        <f>((('Pump Design Summary'!$E$16-'Pump Design Summary'!$D$16)/1000)*V226)+'Pump Design Summary'!$D$16</f>
        <v>0</v>
      </c>
      <c r="X226" s="49">
        <f>IF(ISEVEN(V226),MAX('Pump Design Summary'!$D$29:$H$29)+50,0)</f>
        <v>0</v>
      </c>
      <c r="Y226" s="49"/>
    </row>
    <row r="227" spans="20:25" x14ac:dyDescent="0.25">
      <c r="T227" s="49"/>
      <c r="U227" s="49"/>
      <c r="V227" s="49">
        <v>224</v>
      </c>
      <c r="W227" s="49">
        <f>((('Pump Design Summary'!$E$16-'Pump Design Summary'!$D$16)/1000)*V227)+'Pump Design Summary'!$D$16</f>
        <v>0</v>
      </c>
      <c r="X227" s="49">
        <f>IF(ISEVEN(V227),MAX('Pump Design Summary'!$D$29:$H$29)+50,0)</f>
        <v>50</v>
      </c>
      <c r="Y227" s="49"/>
    </row>
    <row r="228" spans="20:25" x14ac:dyDescent="0.25">
      <c r="T228" s="49"/>
      <c r="U228" s="49"/>
      <c r="V228" s="49">
        <v>225</v>
      </c>
      <c r="W228" s="49">
        <f>((('Pump Design Summary'!$E$16-'Pump Design Summary'!$D$16)/1000)*V228)+'Pump Design Summary'!$D$16</f>
        <v>0</v>
      </c>
      <c r="X228" s="49">
        <f>IF(ISEVEN(V228),MAX('Pump Design Summary'!$D$29:$H$29)+50,0)</f>
        <v>0</v>
      </c>
      <c r="Y228" s="49"/>
    </row>
    <row r="229" spans="20:25" x14ac:dyDescent="0.25">
      <c r="T229" s="49"/>
      <c r="U229" s="49"/>
      <c r="V229" s="49">
        <v>226</v>
      </c>
      <c r="W229" s="49">
        <f>((('Pump Design Summary'!$E$16-'Pump Design Summary'!$D$16)/1000)*V229)+'Pump Design Summary'!$D$16</f>
        <v>0</v>
      </c>
      <c r="X229" s="49">
        <f>IF(ISEVEN(V229),MAX('Pump Design Summary'!$D$29:$H$29)+50,0)</f>
        <v>50</v>
      </c>
      <c r="Y229" s="49"/>
    </row>
    <row r="230" spans="20:25" x14ac:dyDescent="0.25">
      <c r="T230" s="49"/>
      <c r="U230" s="49"/>
      <c r="V230" s="49">
        <v>227</v>
      </c>
      <c r="W230" s="49">
        <f>((('Pump Design Summary'!$E$16-'Pump Design Summary'!$D$16)/1000)*V230)+'Pump Design Summary'!$D$16</f>
        <v>0</v>
      </c>
      <c r="X230" s="49">
        <f>IF(ISEVEN(V230),MAX('Pump Design Summary'!$D$29:$H$29)+50,0)</f>
        <v>0</v>
      </c>
      <c r="Y230" s="49"/>
    </row>
    <row r="231" spans="20:25" x14ac:dyDescent="0.25">
      <c r="T231" s="49"/>
      <c r="U231" s="49"/>
      <c r="V231" s="49">
        <v>228</v>
      </c>
      <c r="W231" s="49">
        <f>((('Pump Design Summary'!$E$16-'Pump Design Summary'!$D$16)/1000)*V231)+'Pump Design Summary'!$D$16</f>
        <v>0</v>
      </c>
      <c r="X231" s="49">
        <f>IF(ISEVEN(V231),MAX('Pump Design Summary'!$D$29:$H$29)+50,0)</f>
        <v>50</v>
      </c>
      <c r="Y231" s="49"/>
    </row>
    <row r="232" spans="20:25" x14ac:dyDescent="0.25">
      <c r="T232" s="49"/>
      <c r="U232" s="49"/>
      <c r="V232" s="49">
        <v>229</v>
      </c>
      <c r="W232" s="49">
        <f>((('Pump Design Summary'!$E$16-'Pump Design Summary'!$D$16)/1000)*V232)+'Pump Design Summary'!$D$16</f>
        <v>0</v>
      </c>
      <c r="X232" s="49">
        <f>IF(ISEVEN(V232),MAX('Pump Design Summary'!$D$29:$H$29)+50,0)</f>
        <v>0</v>
      </c>
      <c r="Y232" s="49"/>
    </row>
    <row r="233" spans="20:25" x14ac:dyDescent="0.25">
      <c r="T233" s="49"/>
      <c r="U233" s="49"/>
      <c r="V233" s="49">
        <v>230</v>
      </c>
      <c r="W233" s="49">
        <f>((('Pump Design Summary'!$E$16-'Pump Design Summary'!$D$16)/1000)*V233)+'Pump Design Summary'!$D$16</f>
        <v>0</v>
      </c>
      <c r="X233" s="49">
        <f>IF(ISEVEN(V233),MAX('Pump Design Summary'!$D$29:$H$29)+50,0)</f>
        <v>50</v>
      </c>
      <c r="Y233" s="49"/>
    </row>
    <row r="234" spans="20:25" x14ac:dyDescent="0.25">
      <c r="T234" s="49"/>
      <c r="U234" s="49"/>
      <c r="V234" s="49">
        <v>231</v>
      </c>
      <c r="W234" s="49">
        <f>((('Pump Design Summary'!$E$16-'Pump Design Summary'!$D$16)/1000)*V234)+'Pump Design Summary'!$D$16</f>
        <v>0</v>
      </c>
      <c r="X234" s="49">
        <f>IF(ISEVEN(V234),MAX('Pump Design Summary'!$D$29:$H$29)+50,0)</f>
        <v>0</v>
      </c>
      <c r="Y234" s="49"/>
    </row>
    <row r="235" spans="20:25" x14ac:dyDescent="0.25">
      <c r="T235" s="49"/>
      <c r="U235" s="49"/>
      <c r="V235" s="49">
        <v>232</v>
      </c>
      <c r="W235" s="49">
        <f>((('Pump Design Summary'!$E$16-'Pump Design Summary'!$D$16)/1000)*V235)+'Pump Design Summary'!$D$16</f>
        <v>0</v>
      </c>
      <c r="X235" s="49">
        <f>IF(ISEVEN(V235),MAX('Pump Design Summary'!$D$29:$H$29)+50,0)</f>
        <v>50</v>
      </c>
      <c r="Y235" s="49"/>
    </row>
    <row r="236" spans="20:25" x14ac:dyDescent="0.25">
      <c r="T236" s="49"/>
      <c r="U236" s="49"/>
      <c r="V236" s="49">
        <v>233</v>
      </c>
      <c r="W236" s="49">
        <f>((('Pump Design Summary'!$E$16-'Pump Design Summary'!$D$16)/1000)*V236)+'Pump Design Summary'!$D$16</f>
        <v>0</v>
      </c>
      <c r="X236" s="49">
        <f>IF(ISEVEN(V236),MAX('Pump Design Summary'!$D$29:$H$29)+50,0)</f>
        <v>0</v>
      </c>
      <c r="Y236" s="49"/>
    </row>
    <row r="237" spans="20:25" x14ac:dyDescent="0.25">
      <c r="T237" s="49"/>
      <c r="U237" s="49"/>
      <c r="V237" s="49">
        <v>234</v>
      </c>
      <c r="W237" s="49">
        <f>((('Pump Design Summary'!$E$16-'Pump Design Summary'!$D$16)/1000)*V237)+'Pump Design Summary'!$D$16</f>
        <v>0</v>
      </c>
      <c r="X237" s="49">
        <f>IF(ISEVEN(V237),MAX('Pump Design Summary'!$D$29:$H$29)+50,0)</f>
        <v>50</v>
      </c>
      <c r="Y237" s="49"/>
    </row>
    <row r="238" spans="20:25" x14ac:dyDescent="0.25">
      <c r="T238" s="49"/>
      <c r="U238" s="49"/>
      <c r="V238" s="49">
        <v>235</v>
      </c>
      <c r="W238" s="49">
        <f>((('Pump Design Summary'!$E$16-'Pump Design Summary'!$D$16)/1000)*V238)+'Pump Design Summary'!$D$16</f>
        <v>0</v>
      </c>
      <c r="X238" s="49">
        <f>IF(ISEVEN(V238),MAX('Pump Design Summary'!$D$29:$H$29)+50,0)</f>
        <v>0</v>
      </c>
      <c r="Y238" s="49"/>
    </row>
    <row r="239" spans="20:25" x14ac:dyDescent="0.25">
      <c r="T239" s="49"/>
      <c r="U239" s="49"/>
      <c r="V239" s="49">
        <v>236</v>
      </c>
      <c r="W239" s="49">
        <f>((('Pump Design Summary'!$E$16-'Pump Design Summary'!$D$16)/1000)*V239)+'Pump Design Summary'!$D$16</f>
        <v>0</v>
      </c>
      <c r="X239" s="49">
        <f>IF(ISEVEN(V239),MAX('Pump Design Summary'!$D$29:$H$29)+50,0)</f>
        <v>50</v>
      </c>
      <c r="Y239" s="49"/>
    </row>
    <row r="240" spans="20:25" x14ac:dyDescent="0.25">
      <c r="T240" s="49"/>
      <c r="U240" s="49"/>
      <c r="V240" s="49">
        <v>237</v>
      </c>
      <c r="W240" s="49">
        <f>((('Pump Design Summary'!$E$16-'Pump Design Summary'!$D$16)/1000)*V240)+'Pump Design Summary'!$D$16</f>
        <v>0</v>
      </c>
      <c r="X240" s="49">
        <f>IF(ISEVEN(V240),MAX('Pump Design Summary'!$D$29:$H$29)+50,0)</f>
        <v>0</v>
      </c>
      <c r="Y240" s="49"/>
    </row>
    <row r="241" spans="20:25" x14ac:dyDescent="0.25">
      <c r="T241" s="49"/>
      <c r="U241" s="49"/>
      <c r="V241" s="49">
        <v>238</v>
      </c>
      <c r="W241" s="49">
        <f>((('Pump Design Summary'!$E$16-'Pump Design Summary'!$D$16)/1000)*V241)+'Pump Design Summary'!$D$16</f>
        <v>0</v>
      </c>
      <c r="X241" s="49">
        <f>IF(ISEVEN(V241),MAX('Pump Design Summary'!$D$29:$H$29)+50,0)</f>
        <v>50</v>
      </c>
      <c r="Y241" s="49"/>
    </row>
    <row r="242" spans="20:25" x14ac:dyDescent="0.25">
      <c r="T242" s="49"/>
      <c r="U242" s="49"/>
      <c r="V242" s="49">
        <v>239</v>
      </c>
      <c r="W242" s="49">
        <f>((('Pump Design Summary'!$E$16-'Pump Design Summary'!$D$16)/1000)*V242)+'Pump Design Summary'!$D$16</f>
        <v>0</v>
      </c>
      <c r="X242" s="49">
        <f>IF(ISEVEN(V242),MAX('Pump Design Summary'!$D$29:$H$29)+50,0)</f>
        <v>0</v>
      </c>
      <c r="Y242" s="49"/>
    </row>
    <row r="243" spans="20:25" x14ac:dyDescent="0.25">
      <c r="T243" s="49"/>
      <c r="U243" s="49"/>
      <c r="V243" s="49">
        <v>240</v>
      </c>
      <c r="W243" s="49">
        <f>((('Pump Design Summary'!$E$16-'Pump Design Summary'!$D$16)/1000)*V243)+'Pump Design Summary'!$D$16</f>
        <v>0</v>
      </c>
      <c r="X243" s="49">
        <f>IF(ISEVEN(V243),MAX('Pump Design Summary'!$D$29:$H$29)+50,0)</f>
        <v>50</v>
      </c>
      <c r="Y243" s="49"/>
    </row>
    <row r="244" spans="20:25" x14ac:dyDescent="0.25">
      <c r="T244" s="49"/>
      <c r="U244" s="49"/>
      <c r="V244" s="49">
        <v>241</v>
      </c>
      <c r="W244" s="49">
        <f>((('Pump Design Summary'!$E$16-'Pump Design Summary'!$D$16)/1000)*V244)+'Pump Design Summary'!$D$16</f>
        <v>0</v>
      </c>
      <c r="X244" s="49">
        <f>IF(ISEVEN(V244),MAX('Pump Design Summary'!$D$29:$H$29)+50,0)</f>
        <v>0</v>
      </c>
      <c r="Y244" s="49"/>
    </row>
    <row r="245" spans="20:25" x14ac:dyDescent="0.25">
      <c r="T245" s="49"/>
      <c r="U245" s="49"/>
      <c r="V245" s="49">
        <v>242</v>
      </c>
      <c r="W245" s="49">
        <f>((('Pump Design Summary'!$E$16-'Pump Design Summary'!$D$16)/1000)*V245)+'Pump Design Summary'!$D$16</f>
        <v>0</v>
      </c>
      <c r="X245" s="49">
        <f>IF(ISEVEN(V245),MAX('Pump Design Summary'!$D$29:$H$29)+50,0)</f>
        <v>50</v>
      </c>
      <c r="Y245" s="49"/>
    </row>
    <row r="246" spans="20:25" x14ac:dyDescent="0.25">
      <c r="T246" s="49"/>
      <c r="U246" s="49"/>
      <c r="V246" s="49">
        <v>243</v>
      </c>
      <c r="W246" s="49">
        <f>((('Pump Design Summary'!$E$16-'Pump Design Summary'!$D$16)/1000)*V246)+'Pump Design Summary'!$D$16</f>
        <v>0</v>
      </c>
      <c r="X246" s="49">
        <f>IF(ISEVEN(V246),MAX('Pump Design Summary'!$D$29:$H$29)+50,0)</f>
        <v>0</v>
      </c>
      <c r="Y246" s="49"/>
    </row>
    <row r="247" spans="20:25" x14ac:dyDescent="0.25">
      <c r="T247" s="49"/>
      <c r="U247" s="49"/>
      <c r="V247" s="49">
        <v>244</v>
      </c>
      <c r="W247" s="49">
        <f>((('Pump Design Summary'!$E$16-'Pump Design Summary'!$D$16)/1000)*V247)+'Pump Design Summary'!$D$16</f>
        <v>0</v>
      </c>
      <c r="X247" s="49">
        <f>IF(ISEVEN(V247),MAX('Pump Design Summary'!$D$29:$H$29)+50,0)</f>
        <v>50</v>
      </c>
      <c r="Y247" s="49"/>
    </row>
    <row r="248" spans="20:25" x14ac:dyDescent="0.25">
      <c r="T248" s="49"/>
      <c r="U248" s="49"/>
      <c r="V248" s="49">
        <v>245</v>
      </c>
      <c r="W248" s="49">
        <f>((('Pump Design Summary'!$E$16-'Pump Design Summary'!$D$16)/1000)*V248)+'Pump Design Summary'!$D$16</f>
        <v>0</v>
      </c>
      <c r="X248" s="49">
        <f>IF(ISEVEN(V248),MAX('Pump Design Summary'!$D$29:$H$29)+50,0)</f>
        <v>0</v>
      </c>
      <c r="Y248" s="49"/>
    </row>
    <row r="249" spans="20:25" x14ac:dyDescent="0.25">
      <c r="T249" s="49"/>
      <c r="U249" s="49"/>
      <c r="V249" s="49">
        <v>246</v>
      </c>
      <c r="W249" s="49">
        <f>((('Pump Design Summary'!$E$16-'Pump Design Summary'!$D$16)/1000)*V249)+'Pump Design Summary'!$D$16</f>
        <v>0</v>
      </c>
      <c r="X249" s="49">
        <f>IF(ISEVEN(V249),MAX('Pump Design Summary'!$D$29:$H$29)+50,0)</f>
        <v>50</v>
      </c>
      <c r="Y249" s="49"/>
    </row>
    <row r="250" spans="20:25" x14ac:dyDescent="0.25">
      <c r="T250" s="49"/>
      <c r="U250" s="49"/>
      <c r="V250" s="49">
        <v>247</v>
      </c>
      <c r="W250" s="49">
        <f>((('Pump Design Summary'!$E$16-'Pump Design Summary'!$D$16)/1000)*V250)+'Pump Design Summary'!$D$16</f>
        <v>0</v>
      </c>
      <c r="X250" s="49">
        <f>IF(ISEVEN(V250),MAX('Pump Design Summary'!$D$29:$H$29)+50,0)</f>
        <v>0</v>
      </c>
      <c r="Y250" s="49"/>
    </row>
    <row r="251" spans="20:25" x14ac:dyDescent="0.25">
      <c r="T251" s="49"/>
      <c r="U251" s="49"/>
      <c r="V251" s="49">
        <v>248</v>
      </c>
      <c r="W251" s="49">
        <f>((('Pump Design Summary'!$E$16-'Pump Design Summary'!$D$16)/1000)*V251)+'Pump Design Summary'!$D$16</f>
        <v>0</v>
      </c>
      <c r="X251" s="49">
        <f>IF(ISEVEN(V251),MAX('Pump Design Summary'!$D$29:$H$29)+50,0)</f>
        <v>50</v>
      </c>
      <c r="Y251" s="49"/>
    </row>
    <row r="252" spans="20:25" x14ac:dyDescent="0.25">
      <c r="T252" s="49"/>
      <c r="U252" s="49"/>
      <c r="V252" s="49">
        <v>249</v>
      </c>
      <c r="W252" s="49">
        <f>((('Pump Design Summary'!$E$16-'Pump Design Summary'!$D$16)/1000)*V252)+'Pump Design Summary'!$D$16</f>
        <v>0</v>
      </c>
      <c r="X252" s="49">
        <f>IF(ISEVEN(V252),MAX('Pump Design Summary'!$D$29:$H$29)+50,0)</f>
        <v>0</v>
      </c>
      <c r="Y252" s="49"/>
    </row>
    <row r="253" spans="20:25" x14ac:dyDescent="0.25">
      <c r="T253" s="49"/>
      <c r="U253" s="49"/>
      <c r="V253" s="49">
        <v>250</v>
      </c>
      <c r="W253" s="49">
        <f>((('Pump Design Summary'!$E$16-'Pump Design Summary'!$D$16)/1000)*V253)+'Pump Design Summary'!$D$16</f>
        <v>0</v>
      </c>
      <c r="X253" s="49">
        <f>IF(ISEVEN(V253),MAX('Pump Design Summary'!$D$29:$H$29)+50,0)</f>
        <v>50</v>
      </c>
      <c r="Y253" s="49"/>
    </row>
    <row r="254" spans="20:25" x14ac:dyDescent="0.25">
      <c r="T254" s="49"/>
      <c r="U254" s="49"/>
      <c r="V254" s="49">
        <v>251</v>
      </c>
      <c r="W254" s="49">
        <f>((('Pump Design Summary'!$E$16-'Pump Design Summary'!$D$16)/1000)*V254)+'Pump Design Summary'!$D$16</f>
        <v>0</v>
      </c>
      <c r="X254" s="49">
        <f>IF(ISEVEN(V254),MAX('Pump Design Summary'!$D$29:$H$29)+50,0)</f>
        <v>0</v>
      </c>
      <c r="Y254" s="49"/>
    </row>
    <row r="255" spans="20:25" x14ac:dyDescent="0.25">
      <c r="T255" s="49"/>
      <c r="U255" s="49"/>
      <c r="V255" s="49">
        <v>252</v>
      </c>
      <c r="W255" s="49">
        <f>((('Pump Design Summary'!$E$16-'Pump Design Summary'!$D$16)/1000)*V255)+'Pump Design Summary'!$D$16</f>
        <v>0</v>
      </c>
      <c r="X255" s="49">
        <f>IF(ISEVEN(V255),MAX('Pump Design Summary'!$D$29:$H$29)+50,0)</f>
        <v>50</v>
      </c>
      <c r="Y255" s="49"/>
    </row>
    <row r="256" spans="20:25" x14ac:dyDescent="0.25">
      <c r="T256" s="49"/>
      <c r="U256" s="49"/>
      <c r="V256" s="49">
        <v>253</v>
      </c>
      <c r="W256" s="49">
        <f>((('Pump Design Summary'!$E$16-'Pump Design Summary'!$D$16)/1000)*V256)+'Pump Design Summary'!$D$16</f>
        <v>0</v>
      </c>
      <c r="X256" s="49">
        <f>IF(ISEVEN(V256),MAX('Pump Design Summary'!$D$29:$H$29)+50,0)</f>
        <v>0</v>
      </c>
      <c r="Y256" s="49"/>
    </row>
    <row r="257" spans="20:25" x14ac:dyDescent="0.25">
      <c r="T257" s="49"/>
      <c r="U257" s="49"/>
      <c r="V257" s="49">
        <v>254</v>
      </c>
      <c r="W257" s="49">
        <f>((('Pump Design Summary'!$E$16-'Pump Design Summary'!$D$16)/1000)*V257)+'Pump Design Summary'!$D$16</f>
        <v>0</v>
      </c>
      <c r="X257" s="49">
        <f>IF(ISEVEN(V257),MAX('Pump Design Summary'!$D$29:$H$29)+50,0)</f>
        <v>50</v>
      </c>
      <c r="Y257" s="49"/>
    </row>
    <row r="258" spans="20:25" x14ac:dyDescent="0.25">
      <c r="T258" s="49"/>
      <c r="U258" s="49"/>
      <c r="V258" s="49">
        <v>255</v>
      </c>
      <c r="W258" s="49">
        <f>((('Pump Design Summary'!$E$16-'Pump Design Summary'!$D$16)/1000)*V258)+'Pump Design Summary'!$D$16</f>
        <v>0</v>
      </c>
      <c r="X258" s="49">
        <f>IF(ISEVEN(V258),MAX('Pump Design Summary'!$D$29:$H$29)+50,0)</f>
        <v>0</v>
      </c>
      <c r="Y258" s="49"/>
    </row>
    <row r="259" spans="20:25" x14ac:dyDescent="0.25">
      <c r="T259" s="49"/>
      <c r="U259" s="49"/>
      <c r="V259" s="49">
        <v>256</v>
      </c>
      <c r="W259" s="49">
        <f>((('Pump Design Summary'!$E$16-'Pump Design Summary'!$D$16)/1000)*V259)+'Pump Design Summary'!$D$16</f>
        <v>0</v>
      </c>
      <c r="X259" s="49">
        <f>IF(ISEVEN(V259),MAX('Pump Design Summary'!$D$29:$H$29)+50,0)</f>
        <v>50</v>
      </c>
      <c r="Y259" s="49"/>
    </row>
    <row r="260" spans="20:25" x14ac:dyDescent="0.25">
      <c r="T260" s="49"/>
      <c r="U260" s="49"/>
      <c r="V260" s="49">
        <v>257</v>
      </c>
      <c r="W260" s="49">
        <f>((('Pump Design Summary'!$E$16-'Pump Design Summary'!$D$16)/1000)*V260)+'Pump Design Summary'!$D$16</f>
        <v>0</v>
      </c>
      <c r="X260" s="49">
        <f>IF(ISEVEN(V260),MAX('Pump Design Summary'!$D$29:$H$29)+50,0)</f>
        <v>0</v>
      </c>
      <c r="Y260" s="49"/>
    </row>
    <row r="261" spans="20:25" x14ac:dyDescent="0.25">
      <c r="T261" s="49"/>
      <c r="U261" s="49"/>
      <c r="V261" s="49">
        <v>258</v>
      </c>
      <c r="W261" s="49">
        <f>((('Pump Design Summary'!$E$16-'Pump Design Summary'!$D$16)/1000)*V261)+'Pump Design Summary'!$D$16</f>
        <v>0</v>
      </c>
      <c r="X261" s="49">
        <f>IF(ISEVEN(V261),MAX('Pump Design Summary'!$D$29:$H$29)+50,0)</f>
        <v>50</v>
      </c>
      <c r="Y261" s="49"/>
    </row>
    <row r="262" spans="20:25" x14ac:dyDescent="0.25">
      <c r="T262" s="49"/>
      <c r="U262" s="49"/>
      <c r="V262" s="49">
        <v>259</v>
      </c>
      <c r="W262" s="49">
        <f>((('Pump Design Summary'!$E$16-'Pump Design Summary'!$D$16)/1000)*V262)+'Pump Design Summary'!$D$16</f>
        <v>0</v>
      </c>
      <c r="X262" s="49">
        <f>IF(ISEVEN(V262),MAX('Pump Design Summary'!$D$29:$H$29)+50,0)</f>
        <v>0</v>
      </c>
      <c r="Y262" s="49"/>
    </row>
    <row r="263" spans="20:25" x14ac:dyDescent="0.25">
      <c r="T263" s="49"/>
      <c r="U263" s="49"/>
      <c r="V263" s="49">
        <v>260</v>
      </c>
      <c r="W263" s="49">
        <f>((('Pump Design Summary'!$E$16-'Pump Design Summary'!$D$16)/1000)*V263)+'Pump Design Summary'!$D$16</f>
        <v>0</v>
      </c>
      <c r="X263" s="49">
        <f>IF(ISEVEN(V263),MAX('Pump Design Summary'!$D$29:$H$29)+50,0)</f>
        <v>50</v>
      </c>
      <c r="Y263" s="49"/>
    </row>
    <row r="264" spans="20:25" x14ac:dyDescent="0.25">
      <c r="T264" s="49"/>
      <c r="U264" s="49"/>
      <c r="V264" s="49">
        <v>261</v>
      </c>
      <c r="W264" s="49">
        <f>((('Pump Design Summary'!$E$16-'Pump Design Summary'!$D$16)/1000)*V264)+'Pump Design Summary'!$D$16</f>
        <v>0</v>
      </c>
      <c r="X264" s="49">
        <f>IF(ISEVEN(V264),MAX('Pump Design Summary'!$D$29:$H$29)+50,0)</f>
        <v>0</v>
      </c>
      <c r="Y264" s="49"/>
    </row>
    <row r="265" spans="20:25" x14ac:dyDescent="0.25">
      <c r="T265" s="49"/>
      <c r="U265" s="49"/>
      <c r="V265" s="49">
        <v>262</v>
      </c>
      <c r="W265" s="49">
        <f>((('Pump Design Summary'!$E$16-'Pump Design Summary'!$D$16)/1000)*V265)+'Pump Design Summary'!$D$16</f>
        <v>0</v>
      </c>
      <c r="X265" s="49">
        <f>IF(ISEVEN(V265),MAX('Pump Design Summary'!$D$29:$H$29)+50,0)</f>
        <v>50</v>
      </c>
      <c r="Y265" s="49"/>
    </row>
    <row r="266" spans="20:25" x14ac:dyDescent="0.25">
      <c r="T266" s="49"/>
      <c r="U266" s="49"/>
      <c r="V266" s="49">
        <v>263</v>
      </c>
      <c r="W266" s="49">
        <f>((('Pump Design Summary'!$E$16-'Pump Design Summary'!$D$16)/1000)*V266)+'Pump Design Summary'!$D$16</f>
        <v>0</v>
      </c>
      <c r="X266" s="49">
        <f>IF(ISEVEN(V266),MAX('Pump Design Summary'!$D$29:$H$29)+50,0)</f>
        <v>0</v>
      </c>
      <c r="Y266" s="49"/>
    </row>
    <row r="267" spans="20:25" x14ac:dyDescent="0.25">
      <c r="T267" s="49"/>
      <c r="U267" s="49"/>
      <c r="V267" s="49">
        <v>264</v>
      </c>
      <c r="W267" s="49">
        <f>((('Pump Design Summary'!$E$16-'Pump Design Summary'!$D$16)/1000)*V267)+'Pump Design Summary'!$D$16</f>
        <v>0</v>
      </c>
      <c r="X267" s="49">
        <f>IF(ISEVEN(V267),MAX('Pump Design Summary'!$D$29:$H$29)+50,0)</f>
        <v>50</v>
      </c>
      <c r="Y267" s="49"/>
    </row>
    <row r="268" spans="20:25" x14ac:dyDescent="0.25">
      <c r="T268" s="49"/>
      <c r="U268" s="49"/>
      <c r="V268" s="49">
        <v>265</v>
      </c>
      <c r="W268" s="49">
        <f>((('Pump Design Summary'!$E$16-'Pump Design Summary'!$D$16)/1000)*V268)+'Pump Design Summary'!$D$16</f>
        <v>0</v>
      </c>
      <c r="X268" s="49">
        <f>IF(ISEVEN(V268),MAX('Pump Design Summary'!$D$29:$H$29)+50,0)</f>
        <v>0</v>
      </c>
      <c r="Y268" s="49"/>
    </row>
    <row r="269" spans="20:25" x14ac:dyDescent="0.25">
      <c r="T269" s="49"/>
      <c r="U269" s="49"/>
      <c r="V269" s="49">
        <v>266</v>
      </c>
      <c r="W269" s="49">
        <f>((('Pump Design Summary'!$E$16-'Pump Design Summary'!$D$16)/1000)*V269)+'Pump Design Summary'!$D$16</f>
        <v>0</v>
      </c>
      <c r="X269" s="49">
        <f>IF(ISEVEN(V269),MAX('Pump Design Summary'!$D$29:$H$29)+50,0)</f>
        <v>50</v>
      </c>
      <c r="Y269" s="49"/>
    </row>
    <row r="270" spans="20:25" x14ac:dyDescent="0.25">
      <c r="T270" s="49"/>
      <c r="U270" s="49"/>
      <c r="V270" s="49">
        <v>267</v>
      </c>
      <c r="W270" s="49">
        <f>((('Pump Design Summary'!$E$16-'Pump Design Summary'!$D$16)/1000)*V270)+'Pump Design Summary'!$D$16</f>
        <v>0</v>
      </c>
      <c r="X270" s="49">
        <f>IF(ISEVEN(V270),MAX('Pump Design Summary'!$D$29:$H$29)+50,0)</f>
        <v>0</v>
      </c>
      <c r="Y270" s="49"/>
    </row>
    <row r="271" spans="20:25" x14ac:dyDescent="0.25">
      <c r="T271" s="49"/>
      <c r="U271" s="49"/>
      <c r="V271" s="49">
        <v>268</v>
      </c>
      <c r="W271" s="49">
        <f>((('Pump Design Summary'!$E$16-'Pump Design Summary'!$D$16)/1000)*V271)+'Pump Design Summary'!$D$16</f>
        <v>0</v>
      </c>
      <c r="X271" s="49">
        <f>IF(ISEVEN(V271),MAX('Pump Design Summary'!$D$29:$H$29)+50,0)</f>
        <v>50</v>
      </c>
      <c r="Y271" s="49"/>
    </row>
    <row r="272" spans="20:25" x14ac:dyDescent="0.25">
      <c r="T272" s="49"/>
      <c r="U272" s="49"/>
      <c r="V272" s="49">
        <v>269</v>
      </c>
      <c r="W272" s="49">
        <f>((('Pump Design Summary'!$E$16-'Pump Design Summary'!$D$16)/1000)*V272)+'Pump Design Summary'!$D$16</f>
        <v>0</v>
      </c>
      <c r="X272" s="49">
        <f>IF(ISEVEN(V272),MAX('Pump Design Summary'!$D$29:$H$29)+50,0)</f>
        <v>0</v>
      </c>
      <c r="Y272" s="49"/>
    </row>
    <row r="273" spans="20:25" x14ac:dyDescent="0.25">
      <c r="T273" s="49"/>
      <c r="U273" s="49"/>
      <c r="V273" s="49">
        <v>270</v>
      </c>
      <c r="W273" s="49">
        <f>((('Pump Design Summary'!$E$16-'Pump Design Summary'!$D$16)/1000)*V273)+'Pump Design Summary'!$D$16</f>
        <v>0</v>
      </c>
      <c r="X273" s="49">
        <f>IF(ISEVEN(V273),MAX('Pump Design Summary'!$D$29:$H$29)+50,0)</f>
        <v>50</v>
      </c>
      <c r="Y273" s="49"/>
    </row>
    <row r="274" spans="20:25" x14ac:dyDescent="0.25">
      <c r="T274" s="49"/>
      <c r="U274" s="49"/>
      <c r="V274" s="49">
        <v>271</v>
      </c>
      <c r="W274" s="49">
        <f>((('Pump Design Summary'!$E$16-'Pump Design Summary'!$D$16)/1000)*V274)+'Pump Design Summary'!$D$16</f>
        <v>0</v>
      </c>
      <c r="X274" s="49">
        <f>IF(ISEVEN(V274),MAX('Pump Design Summary'!$D$29:$H$29)+50,0)</f>
        <v>0</v>
      </c>
      <c r="Y274" s="49"/>
    </row>
    <row r="275" spans="20:25" x14ac:dyDescent="0.25">
      <c r="T275" s="49"/>
      <c r="U275" s="49"/>
      <c r="V275" s="49">
        <v>272</v>
      </c>
      <c r="W275" s="49">
        <f>((('Pump Design Summary'!$E$16-'Pump Design Summary'!$D$16)/1000)*V275)+'Pump Design Summary'!$D$16</f>
        <v>0</v>
      </c>
      <c r="X275" s="49">
        <f>IF(ISEVEN(V275),MAX('Pump Design Summary'!$D$29:$H$29)+50,0)</f>
        <v>50</v>
      </c>
      <c r="Y275" s="49"/>
    </row>
    <row r="276" spans="20:25" x14ac:dyDescent="0.25">
      <c r="T276" s="49"/>
      <c r="U276" s="49"/>
      <c r="V276" s="49">
        <v>273</v>
      </c>
      <c r="W276" s="49">
        <f>((('Pump Design Summary'!$E$16-'Pump Design Summary'!$D$16)/1000)*V276)+'Pump Design Summary'!$D$16</f>
        <v>0</v>
      </c>
      <c r="X276" s="49">
        <f>IF(ISEVEN(V276),MAX('Pump Design Summary'!$D$29:$H$29)+50,0)</f>
        <v>0</v>
      </c>
      <c r="Y276" s="49"/>
    </row>
    <row r="277" spans="20:25" x14ac:dyDescent="0.25">
      <c r="T277" s="49"/>
      <c r="U277" s="49"/>
      <c r="V277" s="49">
        <v>274</v>
      </c>
      <c r="W277" s="49">
        <f>((('Pump Design Summary'!$E$16-'Pump Design Summary'!$D$16)/1000)*V277)+'Pump Design Summary'!$D$16</f>
        <v>0</v>
      </c>
      <c r="X277" s="49">
        <f>IF(ISEVEN(V277),MAX('Pump Design Summary'!$D$29:$H$29)+50,0)</f>
        <v>50</v>
      </c>
      <c r="Y277" s="49"/>
    </row>
    <row r="278" spans="20:25" x14ac:dyDescent="0.25">
      <c r="T278" s="49"/>
      <c r="U278" s="49"/>
      <c r="V278" s="49">
        <v>275</v>
      </c>
      <c r="W278" s="49">
        <f>((('Pump Design Summary'!$E$16-'Pump Design Summary'!$D$16)/1000)*V278)+'Pump Design Summary'!$D$16</f>
        <v>0</v>
      </c>
      <c r="X278" s="49">
        <f>IF(ISEVEN(V278),MAX('Pump Design Summary'!$D$29:$H$29)+50,0)</f>
        <v>0</v>
      </c>
      <c r="Y278" s="49"/>
    </row>
    <row r="279" spans="20:25" x14ac:dyDescent="0.25">
      <c r="T279" s="49"/>
      <c r="U279" s="49"/>
      <c r="V279" s="49">
        <v>276</v>
      </c>
      <c r="W279" s="49">
        <f>((('Pump Design Summary'!$E$16-'Pump Design Summary'!$D$16)/1000)*V279)+'Pump Design Summary'!$D$16</f>
        <v>0</v>
      </c>
      <c r="X279" s="49">
        <f>IF(ISEVEN(V279),MAX('Pump Design Summary'!$D$29:$H$29)+50,0)</f>
        <v>50</v>
      </c>
      <c r="Y279" s="49"/>
    </row>
    <row r="280" spans="20:25" x14ac:dyDescent="0.25">
      <c r="T280" s="49"/>
      <c r="U280" s="49"/>
      <c r="V280" s="49">
        <v>277</v>
      </c>
      <c r="W280" s="49">
        <f>((('Pump Design Summary'!$E$16-'Pump Design Summary'!$D$16)/1000)*V280)+'Pump Design Summary'!$D$16</f>
        <v>0</v>
      </c>
      <c r="X280" s="49">
        <f>IF(ISEVEN(V280),MAX('Pump Design Summary'!$D$29:$H$29)+50,0)</f>
        <v>0</v>
      </c>
      <c r="Y280" s="49"/>
    </row>
    <row r="281" spans="20:25" x14ac:dyDescent="0.25">
      <c r="T281" s="49"/>
      <c r="U281" s="49"/>
      <c r="V281" s="49">
        <v>278</v>
      </c>
      <c r="W281" s="49">
        <f>((('Pump Design Summary'!$E$16-'Pump Design Summary'!$D$16)/1000)*V281)+'Pump Design Summary'!$D$16</f>
        <v>0</v>
      </c>
      <c r="X281" s="49">
        <f>IF(ISEVEN(V281),MAX('Pump Design Summary'!$D$29:$H$29)+50,0)</f>
        <v>50</v>
      </c>
      <c r="Y281" s="49"/>
    </row>
    <row r="282" spans="20:25" x14ac:dyDescent="0.25">
      <c r="T282" s="49"/>
      <c r="U282" s="49"/>
      <c r="V282" s="49">
        <v>279</v>
      </c>
      <c r="W282" s="49">
        <f>((('Pump Design Summary'!$E$16-'Pump Design Summary'!$D$16)/1000)*V282)+'Pump Design Summary'!$D$16</f>
        <v>0</v>
      </c>
      <c r="X282" s="49">
        <f>IF(ISEVEN(V282),MAX('Pump Design Summary'!$D$29:$H$29)+50,0)</f>
        <v>0</v>
      </c>
      <c r="Y282" s="49"/>
    </row>
    <row r="283" spans="20:25" x14ac:dyDescent="0.25">
      <c r="T283" s="49"/>
      <c r="U283" s="49"/>
      <c r="V283" s="49">
        <v>280</v>
      </c>
      <c r="W283" s="49">
        <f>((('Pump Design Summary'!$E$16-'Pump Design Summary'!$D$16)/1000)*V283)+'Pump Design Summary'!$D$16</f>
        <v>0</v>
      </c>
      <c r="X283" s="49">
        <f>IF(ISEVEN(V283),MAX('Pump Design Summary'!$D$29:$H$29)+50,0)</f>
        <v>50</v>
      </c>
      <c r="Y283" s="49"/>
    </row>
    <row r="284" spans="20:25" x14ac:dyDescent="0.25">
      <c r="T284" s="49"/>
      <c r="U284" s="49"/>
      <c r="V284" s="49">
        <v>281</v>
      </c>
      <c r="W284" s="49">
        <f>((('Pump Design Summary'!$E$16-'Pump Design Summary'!$D$16)/1000)*V284)+'Pump Design Summary'!$D$16</f>
        <v>0</v>
      </c>
      <c r="X284" s="49">
        <f>IF(ISEVEN(V284),MAX('Pump Design Summary'!$D$29:$H$29)+50,0)</f>
        <v>0</v>
      </c>
      <c r="Y284" s="49"/>
    </row>
    <row r="285" spans="20:25" x14ac:dyDescent="0.25">
      <c r="T285" s="49"/>
      <c r="U285" s="49"/>
      <c r="V285" s="49">
        <v>282</v>
      </c>
      <c r="W285" s="49">
        <f>((('Pump Design Summary'!$E$16-'Pump Design Summary'!$D$16)/1000)*V285)+'Pump Design Summary'!$D$16</f>
        <v>0</v>
      </c>
      <c r="X285" s="49">
        <f>IF(ISEVEN(V285),MAX('Pump Design Summary'!$D$29:$H$29)+50,0)</f>
        <v>50</v>
      </c>
      <c r="Y285" s="49"/>
    </row>
    <row r="286" spans="20:25" x14ac:dyDescent="0.25">
      <c r="T286" s="49"/>
      <c r="U286" s="49"/>
      <c r="V286" s="49">
        <v>283</v>
      </c>
      <c r="W286" s="49">
        <f>((('Pump Design Summary'!$E$16-'Pump Design Summary'!$D$16)/1000)*V286)+'Pump Design Summary'!$D$16</f>
        <v>0</v>
      </c>
      <c r="X286" s="49">
        <f>IF(ISEVEN(V286),MAX('Pump Design Summary'!$D$29:$H$29)+50,0)</f>
        <v>0</v>
      </c>
      <c r="Y286" s="49"/>
    </row>
    <row r="287" spans="20:25" x14ac:dyDescent="0.25">
      <c r="T287" s="49"/>
      <c r="U287" s="49"/>
      <c r="V287" s="49">
        <v>284</v>
      </c>
      <c r="W287" s="49">
        <f>((('Pump Design Summary'!$E$16-'Pump Design Summary'!$D$16)/1000)*V287)+'Pump Design Summary'!$D$16</f>
        <v>0</v>
      </c>
      <c r="X287" s="49">
        <f>IF(ISEVEN(V287),MAX('Pump Design Summary'!$D$29:$H$29)+50,0)</f>
        <v>50</v>
      </c>
      <c r="Y287" s="49"/>
    </row>
    <row r="288" spans="20:25" x14ac:dyDescent="0.25">
      <c r="T288" s="49"/>
      <c r="U288" s="49"/>
      <c r="V288" s="49">
        <v>285</v>
      </c>
      <c r="W288" s="49">
        <f>((('Pump Design Summary'!$E$16-'Pump Design Summary'!$D$16)/1000)*V288)+'Pump Design Summary'!$D$16</f>
        <v>0</v>
      </c>
      <c r="X288" s="49">
        <f>IF(ISEVEN(V288),MAX('Pump Design Summary'!$D$29:$H$29)+50,0)</f>
        <v>0</v>
      </c>
      <c r="Y288" s="49"/>
    </row>
    <row r="289" spans="20:25" x14ac:dyDescent="0.25">
      <c r="T289" s="49"/>
      <c r="U289" s="49"/>
      <c r="V289" s="49">
        <v>286</v>
      </c>
      <c r="W289" s="49">
        <f>((('Pump Design Summary'!$E$16-'Pump Design Summary'!$D$16)/1000)*V289)+'Pump Design Summary'!$D$16</f>
        <v>0</v>
      </c>
      <c r="X289" s="49">
        <f>IF(ISEVEN(V289),MAX('Pump Design Summary'!$D$29:$H$29)+50,0)</f>
        <v>50</v>
      </c>
      <c r="Y289" s="49"/>
    </row>
    <row r="290" spans="20:25" x14ac:dyDescent="0.25">
      <c r="T290" s="49"/>
      <c r="U290" s="49"/>
      <c r="V290" s="49">
        <v>287</v>
      </c>
      <c r="W290" s="49">
        <f>((('Pump Design Summary'!$E$16-'Pump Design Summary'!$D$16)/1000)*V290)+'Pump Design Summary'!$D$16</f>
        <v>0</v>
      </c>
      <c r="X290" s="49">
        <f>IF(ISEVEN(V290),MAX('Pump Design Summary'!$D$29:$H$29)+50,0)</f>
        <v>0</v>
      </c>
      <c r="Y290" s="49"/>
    </row>
    <row r="291" spans="20:25" x14ac:dyDescent="0.25">
      <c r="T291" s="49"/>
      <c r="U291" s="49"/>
      <c r="V291" s="49">
        <v>288</v>
      </c>
      <c r="W291" s="49">
        <f>((('Pump Design Summary'!$E$16-'Pump Design Summary'!$D$16)/1000)*V291)+'Pump Design Summary'!$D$16</f>
        <v>0</v>
      </c>
      <c r="X291" s="49">
        <f>IF(ISEVEN(V291),MAX('Pump Design Summary'!$D$29:$H$29)+50,0)</f>
        <v>50</v>
      </c>
      <c r="Y291" s="49"/>
    </row>
    <row r="292" spans="20:25" x14ac:dyDescent="0.25">
      <c r="T292" s="49"/>
      <c r="U292" s="49"/>
      <c r="V292" s="49">
        <v>289</v>
      </c>
      <c r="W292" s="49">
        <f>((('Pump Design Summary'!$E$16-'Pump Design Summary'!$D$16)/1000)*V292)+'Pump Design Summary'!$D$16</f>
        <v>0</v>
      </c>
      <c r="X292" s="49">
        <f>IF(ISEVEN(V292),MAX('Pump Design Summary'!$D$29:$H$29)+50,0)</f>
        <v>0</v>
      </c>
      <c r="Y292" s="49"/>
    </row>
    <row r="293" spans="20:25" x14ac:dyDescent="0.25">
      <c r="T293" s="49"/>
      <c r="U293" s="49"/>
      <c r="V293" s="49">
        <v>290</v>
      </c>
      <c r="W293" s="49">
        <f>((('Pump Design Summary'!$E$16-'Pump Design Summary'!$D$16)/1000)*V293)+'Pump Design Summary'!$D$16</f>
        <v>0</v>
      </c>
      <c r="X293" s="49">
        <f>IF(ISEVEN(V293),MAX('Pump Design Summary'!$D$29:$H$29)+50,0)</f>
        <v>50</v>
      </c>
      <c r="Y293" s="49"/>
    </row>
    <row r="294" spans="20:25" x14ac:dyDescent="0.25">
      <c r="T294" s="49"/>
      <c r="U294" s="49"/>
      <c r="V294" s="49">
        <v>291</v>
      </c>
      <c r="W294" s="49">
        <f>((('Pump Design Summary'!$E$16-'Pump Design Summary'!$D$16)/1000)*V294)+'Pump Design Summary'!$D$16</f>
        <v>0</v>
      </c>
      <c r="X294" s="49">
        <f>IF(ISEVEN(V294),MAX('Pump Design Summary'!$D$29:$H$29)+50,0)</f>
        <v>0</v>
      </c>
      <c r="Y294" s="49"/>
    </row>
    <row r="295" spans="20:25" x14ac:dyDescent="0.25">
      <c r="T295" s="49"/>
      <c r="U295" s="49"/>
      <c r="V295" s="49">
        <v>292</v>
      </c>
      <c r="W295" s="49">
        <f>((('Pump Design Summary'!$E$16-'Pump Design Summary'!$D$16)/1000)*V295)+'Pump Design Summary'!$D$16</f>
        <v>0</v>
      </c>
      <c r="X295" s="49">
        <f>IF(ISEVEN(V295),MAX('Pump Design Summary'!$D$29:$H$29)+50,0)</f>
        <v>50</v>
      </c>
      <c r="Y295" s="49"/>
    </row>
    <row r="296" spans="20:25" x14ac:dyDescent="0.25">
      <c r="T296" s="49"/>
      <c r="U296" s="49"/>
      <c r="V296" s="49">
        <v>293</v>
      </c>
      <c r="W296" s="49">
        <f>((('Pump Design Summary'!$E$16-'Pump Design Summary'!$D$16)/1000)*V296)+'Pump Design Summary'!$D$16</f>
        <v>0</v>
      </c>
      <c r="X296" s="49">
        <f>IF(ISEVEN(V296),MAX('Pump Design Summary'!$D$29:$H$29)+50,0)</f>
        <v>0</v>
      </c>
      <c r="Y296" s="49"/>
    </row>
    <row r="297" spans="20:25" x14ac:dyDescent="0.25">
      <c r="T297" s="49"/>
      <c r="U297" s="49"/>
      <c r="V297" s="49">
        <v>294</v>
      </c>
      <c r="W297" s="49">
        <f>((('Pump Design Summary'!$E$16-'Pump Design Summary'!$D$16)/1000)*V297)+'Pump Design Summary'!$D$16</f>
        <v>0</v>
      </c>
      <c r="X297" s="49">
        <f>IF(ISEVEN(V297),MAX('Pump Design Summary'!$D$29:$H$29)+50,0)</f>
        <v>50</v>
      </c>
      <c r="Y297" s="49"/>
    </row>
    <row r="298" spans="20:25" x14ac:dyDescent="0.25">
      <c r="T298" s="49"/>
      <c r="U298" s="49"/>
      <c r="V298" s="49">
        <v>295</v>
      </c>
      <c r="W298" s="49">
        <f>((('Pump Design Summary'!$E$16-'Pump Design Summary'!$D$16)/1000)*V298)+'Pump Design Summary'!$D$16</f>
        <v>0</v>
      </c>
      <c r="X298" s="49">
        <f>IF(ISEVEN(V298),MAX('Pump Design Summary'!$D$29:$H$29)+50,0)</f>
        <v>0</v>
      </c>
      <c r="Y298" s="49"/>
    </row>
    <row r="299" spans="20:25" x14ac:dyDescent="0.25">
      <c r="T299" s="49"/>
      <c r="U299" s="49"/>
      <c r="V299" s="49">
        <v>296</v>
      </c>
      <c r="W299" s="49">
        <f>((('Pump Design Summary'!$E$16-'Pump Design Summary'!$D$16)/1000)*V299)+'Pump Design Summary'!$D$16</f>
        <v>0</v>
      </c>
      <c r="X299" s="49">
        <f>IF(ISEVEN(V299),MAX('Pump Design Summary'!$D$29:$H$29)+50,0)</f>
        <v>50</v>
      </c>
      <c r="Y299" s="49"/>
    </row>
    <row r="300" spans="20:25" x14ac:dyDescent="0.25">
      <c r="T300" s="49"/>
      <c r="U300" s="49"/>
      <c r="V300" s="49">
        <v>297</v>
      </c>
      <c r="W300" s="49">
        <f>((('Pump Design Summary'!$E$16-'Pump Design Summary'!$D$16)/1000)*V300)+'Pump Design Summary'!$D$16</f>
        <v>0</v>
      </c>
      <c r="X300" s="49">
        <f>IF(ISEVEN(V300),MAX('Pump Design Summary'!$D$29:$H$29)+50,0)</f>
        <v>0</v>
      </c>
      <c r="Y300" s="49"/>
    </row>
    <row r="301" spans="20:25" x14ac:dyDescent="0.25">
      <c r="T301" s="49"/>
      <c r="U301" s="49"/>
      <c r="V301" s="49">
        <v>298</v>
      </c>
      <c r="W301" s="49">
        <f>((('Pump Design Summary'!$E$16-'Pump Design Summary'!$D$16)/1000)*V301)+'Pump Design Summary'!$D$16</f>
        <v>0</v>
      </c>
      <c r="X301" s="49">
        <f>IF(ISEVEN(V301),MAX('Pump Design Summary'!$D$29:$H$29)+50,0)</f>
        <v>50</v>
      </c>
      <c r="Y301" s="49"/>
    </row>
    <row r="302" spans="20:25" x14ac:dyDescent="0.25">
      <c r="T302" s="49"/>
      <c r="U302" s="49"/>
      <c r="V302" s="49">
        <v>299</v>
      </c>
      <c r="W302" s="49">
        <f>((('Pump Design Summary'!$E$16-'Pump Design Summary'!$D$16)/1000)*V302)+'Pump Design Summary'!$D$16</f>
        <v>0</v>
      </c>
      <c r="X302" s="49">
        <f>IF(ISEVEN(V302),MAX('Pump Design Summary'!$D$29:$H$29)+50,0)</f>
        <v>0</v>
      </c>
      <c r="Y302" s="49"/>
    </row>
    <row r="303" spans="20:25" x14ac:dyDescent="0.25">
      <c r="T303" s="49"/>
      <c r="U303" s="49"/>
      <c r="V303" s="49">
        <v>300</v>
      </c>
      <c r="W303" s="49">
        <f>((('Pump Design Summary'!$E$16-'Pump Design Summary'!$D$16)/1000)*V303)+'Pump Design Summary'!$D$16</f>
        <v>0</v>
      </c>
      <c r="X303" s="49">
        <f>IF(ISEVEN(V303),MAX('Pump Design Summary'!$D$29:$H$29)+50,0)</f>
        <v>50</v>
      </c>
      <c r="Y303" s="49"/>
    </row>
    <row r="304" spans="20:25" x14ac:dyDescent="0.25">
      <c r="T304" s="49"/>
      <c r="U304" s="49"/>
      <c r="V304" s="49">
        <v>301</v>
      </c>
      <c r="W304" s="49">
        <f>((('Pump Design Summary'!$E$16-'Pump Design Summary'!$D$16)/1000)*V304)+'Pump Design Summary'!$D$16</f>
        <v>0</v>
      </c>
      <c r="X304" s="49">
        <f>IF(ISEVEN(V304),MAX('Pump Design Summary'!$D$29:$H$29)+50,0)</f>
        <v>0</v>
      </c>
      <c r="Y304" s="49"/>
    </row>
    <row r="305" spans="20:25" x14ac:dyDescent="0.25">
      <c r="T305" s="49"/>
      <c r="U305" s="49"/>
      <c r="V305" s="49">
        <v>302</v>
      </c>
      <c r="W305" s="49">
        <f>((('Pump Design Summary'!$E$16-'Pump Design Summary'!$D$16)/1000)*V305)+'Pump Design Summary'!$D$16</f>
        <v>0</v>
      </c>
      <c r="X305" s="49">
        <f>IF(ISEVEN(V305),MAX('Pump Design Summary'!$D$29:$H$29)+50,0)</f>
        <v>50</v>
      </c>
      <c r="Y305" s="49"/>
    </row>
    <row r="306" spans="20:25" x14ac:dyDescent="0.25">
      <c r="T306" s="49"/>
      <c r="U306" s="49"/>
      <c r="V306" s="49">
        <v>303</v>
      </c>
      <c r="W306" s="49">
        <f>((('Pump Design Summary'!$E$16-'Pump Design Summary'!$D$16)/1000)*V306)+'Pump Design Summary'!$D$16</f>
        <v>0</v>
      </c>
      <c r="X306" s="49">
        <f>IF(ISEVEN(V306),MAX('Pump Design Summary'!$D$29:$H$29)+50,0)</f>
        <v>0</v>
      </c>
      <c r="Y306" s="49"/>
    </row>
    <row r="307" spans="20:25" x14ac:dyDescent="0.25">
      <c r="T307" s="49"/>
      <c r="U307" s="49"/>
      <c r="V307" s="49">
        <v>304</v>
      </c>
      <c r="W307" s="49">
        <f>((('Pump Design Summary'!$E$16-'Pump Design Summary'!$D$16)/1000)*V307)+'Pump Design Summary'!$D$16</f>
        <v>0</v>
      </c>
      <c r="X307" s="49">
        <f>IF(ISEVEN(V307),MAX('Pump Design Summary'!$D$29:$H$29)+50,0)</f>
        <v>50</v>
      </c>
      <c r="Y307" s="49"/>
    </row>
    <row r="308" spans="20:25" x14ac:dyDescent="0.25">
      <c r="T308" s="49"/>
      <c r="U308" s="49"/>
      <c r="V308" s="49">
        <v>305</v>
      </c>
      <c r="W308" s="49">
        <f>((('Pump Design Summary'!$E$16-'Pump Design Summary'!$D$16)/1000)*V308)+'Pump Design Summary'!$D$16</f>
        <v>0</v>
      </c>
      <c r="X308" s="49">
        <f>IF(ISEVEN(V308),MAX('Pump Design Summary'!$D$29:$H$29)+50,0)</f>
        <v>0</v>
      </c>
      <c r="Y308" s="49"/>
    </row>
    <row r="309" spans="20:25" x14ac:dyDescent="0.25">
      <c r="T309" s="49"/>
      <c r="U309" s="49"/>
      <c r="V309" s="49">
        <v>306</v>
      </c>
      <c r="W309" s="49">
        <f>((('Pump Design Summary'!$E$16-'Pump Design Summary'!$D$16)/1000)*V309)+'Pump Design Summary'!$D$16</f>
        <v>0</v>
      </c>
      <c r="X309" s="49">
        <f>IF(ISEVEN(V309),MAX('Pump Design Summary'!$D$29:$H$29)+50,0)</f>
        <v>50</v>
      </c>
      <c r="Y309" s="49"/>
    </row>
    <row r="310" spans="20:25" x14ac:dyDescent="0.25">
      <c r="T310" s="49"/>
      <c r="U310" s="49"/>
      <c r="V310" s="49">
        <v>307</v>
      </c>
      <c r="W310" s="49">
        <f>((('Pump Design Summary'!$E$16-'Pump Design Summary'!$D$16)/1000)*V310)+'Pump Design Summary'!$D$16</f>
        <v>0</v>
      </c>
      <c r="X310" s="49">
        <f>IF(ISEVEN(V310),MAX('Pump Design Summary'!$D$29:$H$29)+50,0)</f>
        <v>0</v>
      </c>
      <c r="Y310" s="49"/>
    </row>
    <row r="311" spans="20:25" x14ac:dyDescent="0.25">
      <c r="T311" s="49"/>
      <c r="U311" s="49"/>
      <c r="V311" s="49">
        <v>308</v>
      </c>
      <c r="W311" s="49">
        <f>((('Pump Design Summary'!$E$16-'Pump Design Summary'!$D$16)/1000)*V311)+'Pump Design Summary'!$D$16</f>
        <v>0</v>
      </c>
      <c r="X311" s="49">
        <f>IF(ISEVEN(V311),MAX('Pump Design Summary'!$D$29:$H$29)+50,0)</f>
        <v>50</v>
      </c>
      <c r="Y311" s="49"/>
    </row>
    <row r="312" spans="20:25" x14ac:dyDescent="0.25">
      <c r="T312" s="49"/>
      <c r="U312" s="49"/>
      <c r="V312" s="49">
        <v>309</v>
      </c>
      <c r="W312" s="49">
        <f>((('Pump Design Summary'!$E$16-'Pump Design Summary'!$D$16)/1000)*V312)+'Pump Design Summary'!$D$16</f>
        <v>0</v>
      </c>
      <c r="X312" s="49">
        <f>IF(ISEVEN(V312),MAX('Pump Design Summary'!$D$29:$H$29)+50,0)</f>
        <v>0</v>
      </c>
      <c r="Y312" s="49"/>
    </row>
    <row r="313" spans="20:25" x14ac:dyDescent="0.25">
      <c r="T313" s="49"/>
      <c r="U313" s="49"/>
      <c r="V313" s="49">
        <v>310</v>
      </c>
      <c r="W313" s="49">
        <f>((('Pump Design Summary'!$E$16-'Pump Design Summary'!$D$16)/1000)*V313)+'Pump Design Summary'!$D$16</f>
        <v>0</v>
      </c>
      <c r="X313" s="49">
        <f>IF(ISEVEN(V313),MAX('Pump Design Summary'!$D$29:$H$29)+50,0)</f>
        <v>50</v>
      </c>
      <c r="Y313" s="49"/>
    </row>
    <row r="314" spans="20:25" x14ac:dyDescent="0.25">
      <c r="T314" s="49"/>
      <c r="U314" s="49"/>
      <c r="V314" s="49">
        <v>311</v>
      </c>
      <c r="W314" s="49">
        <f>((('Pump Design Summary'!$E$16-'Pump Design Summary'!$D$16)/1000)*V314)+'Pump Design Summary'!$D$16</f>
        <v>0</v>
      </c>
      <c r="X314" s="49">
        <f>IF(ISEVEN(V314),MAX('Pump Design Summary'!$D$29:$H$29)+50,0)</f>
        <v>0</v>
      </c>
      <c r="Y314" s="49"/>
    </row>
    <row r="315" spans="20:25" x14ac:dyDescent="0.25">
      <c r="T315" s="49"/>
      <c r="U315" s="49"/>
      <c r="V315" s="49">
        <v>312</v>
      </c>
      <c r="W315" s="49">
        <f>((('Pump Design Summary'!$E$16-'Pump Design Summary'!$D$16)/1000)*V315)+'Pump Design Summary'!$D$16</f>
        <v>0</v>
      </c>
      <c r="X315" s="49">
        <f>IF(ISEVEN(V315),MAX('Pump Design Summary'!$D$29:$H$29)+50,0)</f>
        <v>50</v>
      </c>
      <c r="Y315" s="49"/>
    </row>
    <row r="316" spans="20:25" x14ac:dyDescent="0.25">
      <c r="T316" s="49"/>
      <c r="U316" s="49"/>
      <c r="V316" s="49">
        <v>313</v>
      </c>
      <c r="W316" s="49">
        <f>((('Pump Design Summary'!$E$16-'Pump Design Summary'!$D$16)/1000)*V316)+'Pump Design Summary'!$D$16</f>
        <v>0</v>
      </c>
      <c r="X316" s="49">
        <f>IF(ISEVEN(V316),MAX('Pump Design Summary'!$D$29:$H$29)+50,0)</f>
        <v>0</v>
      </c>
      <c r="Y316" s="49"/>
    </row>
    <row r="317" spans="20:25" x14ac:dyDescent="0.25">
      <c r="T317" s="49"/>
      <c r="U317" s="49"/>
      <c r="V317" s="49">
        <v>314</v>
      </c>
      <c r="W317" s="49">
        <f>((('Pump Design Summary'!$E$16-'Pump Design Summary'!$D$16)/1000)*V317)+'Pump Design Summary'!$D$16</f>
        <v>0</v>
      </c>
      <c r="X317" s="49">
        <f>IF(ISEVEN(V317),MAX('Pump Design Summary'!$D$29:$H$29)+50,0)</f>
        <v>50</v>
      </c>
      <c r="Y317" s="49"/>
    </row>
    <row r="318" spans="20:25" x14ac:dyDescent="0.25">
      <c r="T318" s="49"/>
      <c r="U318" s="49"/>
      <c r="V318" s="49">
        <v>315</v>
      </c>
      <c r="W318" s="49">
        <f>((('Pump Design Summary'!$E$16-'Pump Design Summary'!$D$16)/1000)*V318)+'Pump Design Summary'!$D$16</f>
        <v>0</v>
      </c>
      <c r="X318" s="49">
        <f>IF(ISEVEN(V318),MAX('Pump Design Summary'!$D$29:$H$29)+50,0)</f>
        <v>0</v>
      </c>
      <c r="Y318" s="49"/>
    </row>
    <row r="319" spans="20:25" x14ac:dyDescent="0.25">
      <c r="T319" s="49"/>
      <c r="U319" s="49"/>
      <c r="V319" s="49">
        <v>316</v>
      </c>
      <c r="W319" s="49">
        <f>((('Pump Design Summary'!$E$16-'Pump Design Summary'!$D$16)/1000)*V319)+'Pump Design Summary'!$D$16</f>
        <v>0</v>
      </c>
      <c r="X319" s="49">
        <f>IF(ISEVEN(V319),MAX('Pump Design Summary'!$D$29:$H$29)+50,0)</f>
        <v>50</v>
      </c>
      <c r="Y319" s="49"/>
    </row>
    <row r="320" spans="20:25" x14ac:dyDescent="0.25">
      <c r="T320" s="49"/>
      <c r="U320" s="49"/>
      <c r="V320" s="49">
        <v>317</v>
      </c>
      <c r="W320" s="49">
        <f>((('Pump Design Summary'!$E$16-'Pump Design Summary'!$D$16)/1000)*V320)+'Pump Design Summary'!$D$16</f>
        <v>0</v>
      </c>
      <c r="X320" s="49">
        <f>IF(ISEVEN(V320),MAX('Pump Design Summary'!$D$29:$H$29)+50,0)</f>
        <v>0</v>
      </c>
      <c r="Y320" s="49"/>
    </row>
    <row r="321" spans="20:25" x14ac:dyDescent="0.25">
      <c r="T321" s="49"/>
      <c r="U321" s="49"/>
      <c r="V321" s="49">
        <v>318</v>
      </c>
      <c r="W321" s="49">
        <f>((('Pump Design Summary'!$E$16-'Pump Design Summary'!$D$16)/1000)*V321)+'Pump Design Summary'!$D$16</f>
        <v>0</v>
      </c>
      <c r="X321" s="49">
        <f>IF(ISEVEN(V321),MAX('Pump Design Summary'!$D$29:$H$29)+50,0)</f>
        <v>50</v>
      </c>
      <c r="Y321" s="49"/>
    </row>
    <row r="322" spans="20:25" x14ac:dyDescent="0.25">
      <c r="T322" s="49"/>
      <c r="U322" s="49"/>
      <c r="V322" s="49">
        <v>319</v>
      </c>
      <c r="W322" s="49">
        <f>((('Pump Design Summary'!$E$16-'Pump Design Summary'!$D$16)/1000)*V322)+'Pump Design Summary'!$D$16</f>
        <v>0</v>
      </c>
      <c r="X322" s="49">
        <f>IF(ISEVEN(V322),MAX('Pump Design Summary'!$D$29:$H$29)+50,0)</f>
        <v>0</v>
      </c>
      <c r="Y322" s="49"/>
    </row>
    <row r="323" spans="20:25" x14ac:dyDescent="0.25">
      <c r="T323" s="49"/>
      <c r="U323" s="49"/>
      <c r="V323" s="49">
        <v>320</v>
      </c>
      <c r="W323" s="49">
        <f>((('Pump Design Summary'!$E$16-'Pump Design Summary'!$D$16)/1000)*V323)+'Pump Design Summary'!$D$16</f>
        <v>0</v>
      </c>
      <c r="X323" s="49">
        <f>IF(ISEVEN(V323),MAX('Pump Design Summary'!$D$29:$H$29)+50,0)</f>
        <v>50</v>
      </c>
      <c r="Y323" s="49"/>
    </row>
    <row r="324" spans="20:25" x14ac:dyDescent="0.25">
      <c r="T324" s="49"/>
      <c r="U324" s="49"/>
      <c r="V324" s="49">
        <v>321</v>
      </c>
      <c r="W324" s="49">
        <f>((('Pump Design Summary'!$E$16-'Pump Design Summary'!$D$16)/1000)*V324)+'Pump Design Summary'!$D$16</f>
        <v>0</v>
      </c>
      <c r="X324" s="49">
        <f>IF(ISEVEN(V324),MAX('Pump Design Summary'!$D$29:$H$29)+50,0)</f>
        <v>0</v>
      </c>
      <c r="Y324" s="49"/>
    </row>
    <row r="325" spans="20:25" x14ac:dyDescent="0.25">
      <c r="T325" s="49"/>
      <c r="U325" s="49"/>
      <c r="V325" s="49">
        <v>322</v>
      </c>
      <c r="W325" s="49">
        <f>((('Pump Design Summary'!$E$16-'Pump Design Summary'!$D$16)/1000)*V325)+'Pump Design Summary'!$D$16</f>
        <v>0</v>
      </c>
      <c r="X325" s="49">
        <f>IF(ISEVEN(V325),MAX('Pump Design Summary'!$D$29:$H$29)+50,0)</f>
        <v>50</v>
      </c>
      <c r="Y325" s="49"/>
    </row>
    <row r="326" spans="20:25" x14ac:dyDescent="0.25">
      <c r="T326" s="49"/>
      <c r="U326" s="49"/>
      <c r="V326" s="49">
        <v>323</v>
      </c>
      <c r="W326" s="49">
        <f>((('Pump Design Summary'!$E$16-'Pump Design Summary'!$D$16)/1000)*V326)+'Pump Design Summary'!$D$16</f>
        <v>0</v>
      </c>
      <c r="X326" s="49">
        <f>IF(ISEVEN(V326),MAX('Pump Design Summary'!$D$29:$H$29)+50,0)</f>
        <v>0</v>
      </c>
      <c r="Y326" s="49"/>
    </row>
    <row r="327" spans="20:25" x14ac:dyDescent="0.25">
      <c r="T327" s="49"/>
      <c r="U327" s="49"/>
      <c r="V327" s="49">
        <v>324</v>
      </c>
      <c r="W327" s="49">
        <f>((('Pump Design Summary'!$E$16-'Pump Design Summary'!$D$16)/1000)*V327)+'Pump Design Summary'!$D$16</f>
        <v>0</v>
      </c>
      <c r="X327" s="49">
        <f>IF(ISEVEN(V327),MAX('Pump Design Summary'!$D$29:$H$29)+50,0)</f>
        <v>50</v>
      </c>
      <c r="Y327" s="49"/>
    </row>
    <row r="328" spans="20:25" x14ac:dyDescent="0.25">
      <c r="T328" s="49"/>
      <c r="U328" s="49"/>
      <c r="V328" s="49">
        <v>325</v>
      </c>
      <c r="W328" s="49">
        <f>((('Pump Design Summary'!$E$16-'Pump Design Summary'!$D$16)/1000)*V328)+'Pump Design Summary'!$D$16</f>
        <v>0</v>
      </c>
      <c r="X328" s="49">
        <f>IF(ISEVEN(V328),MAX('Pump Design Summary'!$D$29:$H$29)+50,0)</f>
        <v>0</v>
      </c>
      <c r="Y328" s="49"/>
    </row>
    <row r="329" spans="20:25" x14ac:dyDescent="0.25">
      <c r="T329" s="49"/>
      <c r="U329" s="49"/>
      <c r="V329" s="49">
        <v>326</v>
      </c>
      <c r="W329" s="49">
        <f>((('Pump Design Summary'!$E$16-'Pump Design Summary'!$D$16)/1000)*V329)+'Pump Design Summary'!$D$16</f>
        <v>0</v>
      </c>
      <c r="X329" s="49">
        <f>IF(ISEVEN(V329),MAX('Pump Design Summary'!$D$29:$H$29)+50,0)</f>
        <v>50</v>
      </c>
      <c r="Y329" s="49"/>
    </row>
    <row r="330" spans="20:25" x14ac:dyDescent="0.25">
      <c r="T330" s="49"/>
      <c r="U330" s="49"/>
      <c r="V330" s="49">
        <v>327</v>
      </c>
      <c r="W330" s="49">
        <f>((('Pump Design Summary'!$E$16-'Pump Design Summary'!$D$16)/1000)*V330)+'Pump Design Summary'!$D$16</f>
        <v>0</v>
      </c>
      <c r="X330" s="49">
        <f>IF(ISEVEN(V330),MAX('Pump Design Summary'!$D$29:$H$29)+50,0)</f>
        <v>0</v>
      </c>
      <c r="Y330" s="49"/>
    </row>
    <row r="331" spans="20:25" x14ac:dyDescent="0.25">
      <c r="T331" s="49"/>
      <c r="U331" s="49"/>
      <c r="V331" s="49">
        <v>328</v>
      </c>
      <c r="W331" s="49">
        <f>((('Pump Design Summary'!$E$16-'Pump Design Summary'!$D$16)/1000)*V331)+'Pump Design Summary'!$D$16</f>
        <v>0</v>
      </c>
      <c r="X331" s="49">
        <f>IF(ISEVEN(V331),MAX('Pump Design Summary'!$D$29:$H$29)+50,0)</f>
        <v>50</v>
      </c>
      <c r="Y331" s="49"/>
    </row>
    <row r="332" spans="20:25" x14ac:dyDescent="0.25">
      <c r="T332" s="49"/>
      <c r="U332" s="49"/>
      <c r="V332" s="49">
        <v>329</v>
      </c>
      <c r="W332" s="49">
        <f>((('Pump Design Summary'!$E$16-'Pump Design Summary'!$D$16)/1000)*V332)+'Pump Design Summary'!$D$16</f>
        <v>0</v>
      </c>
      <c r="X332" s="49">
        <f>IF(ISEVEN(V332),MAX('Pump Design Summary'!$D$29:$H$29)+50,0)</f>
        <v>0</v>
      </c>
      <c r="Y332" s="49"/>
    </row>
    <row r="333" spans="20:25" x14ac:dyDescent="0.25">
      <c r="T333" s="49"/>
      <c r="U333" s="49"/>
      <c r="V333" s="49">
        <v>330</v>
      </c>
      <c r="W333" s="49">
        <f>((('Pump Design Summary'!$E$16-'Pump Design Summary'!$D$16)/1000)*V333)+'Pump Design Summary'!$D$16</f>
        <v>0</v>
      </c>
      <c r="X333" s="49">
        <f>IF(ISEVEN(V333),MAX('Pump Design Summary'!$D$29:$H$29)+50,0)</f>
        <v>50</v>
      </c>
      <c r="Y333" s="49"/>
    </row>
    <row r="334" spans="20:25" x14ac:dyDescent="0.25">
      <c r="T334" s="49"/>
      <c r="U334" s="49"/>
      <c r="V334" s="49">
        <v>331</v>
      </c>
      <c r="W334" s="49">
        <f>((('Pump Design Summary'!$E$16-'Pump Design Summary'!$D$16)/1000)*V334)+'Pump Design Summary'!$D$16</f>
        <v>0</v>
      </c>
      <c r="X334" s="49">
        <f>IF(ISEVEN(V334),MAX('Pump Design Summary'!$D$29:$H$29)+50,0)</f>
        <v>0</v>
      </c>
      <c r="Y334" s="49"/>
    </row>
    <row r="335" spans="20:25" x14ac:dyDescent="0.25">
      <c r="T335" s="49"/>
      <c r="U335" s="49"/>
      <c r="V335" s="49">
        <v>332</v>
      </c>
      <c r="W335" s="49">
        <f>((('Pump Design Summary'!$E$16-'Pump Design Summary'!$D$16)/1000)*V335)+'Pump Design Summary'!$D$16</f>
        <v>0</v>
      </c>
      <c r="X335" s="49">
        <f>IF(ISEVEN(V335),MAX('Pump Design Summary'!$D$29:$H$29)+50,0)</f>
        <v>50</v>
      </c>
      <c r="Y335" s="49"/>
    </row>
    <row r="336" spans="20:25" x14ac:dyDescent="0.25">
      <c r="T336" s="49"/>
      <c r="U336" s="49"/>
      <c r="V336" s="49">
        <v>333</v>
      </c>
      <c r="W336" s="49">
        <f>((('Pump Design Summary'!$E$16-'Pump Design Summary'!$D$16)/1000)*V336)+'Pump Design Summary'!$D$16</f>
        <v>0</v>
      </c>
      <c r="X336" s="49">
        <f>IF(ISEVEN(V336),MAX('Pump Design Summary'!$D$29:$H$29)+50,0)</f>
        <v>0</v>
      </c>
      <c r="Y336" s="49"/>
    </row>
    <row r="337" spans="20:25" x14ac:dyDescent="0.25">
      <c r="T337" s="49"/>
      <c r="U337" s="49"/>
      <c r="V337" s="49">
        <v>334</v>
      </c>
      <c r="W337" s="49">
        <f>((('Pump Design Summary'!$E$16-'Pump Design Summary'!$D$16)/1000)*V337)+'Pump Design Summary'!$D$16</f>
        <v>0</v>
      </c>
      <c r="X337" s="49">
        <f>IF(ISEVEN(V337),MAX('Pump Design Summary'!$D$29:$H$29)+50,0)</f>
        <v>50</v>
      </c>
      <c r="Y337" s="49"/>
    </row>
    <row r="338" spans="20:25" x14ac:dyDescent="0.25">
      <c r="T338" s="49"/>
      <c r="U338" s="49"/>
      <c r="V338" s="49">
        <v>335</v>
      </c>
      <c r="W338" s="49">
        <f>((('Pump Design Summary'!$E$16-'Pump Design Summary'!$D$16)/1000)*V338)+'Pump Design Summary'!$D$16</f>
        <v>0</v>
      </c>
      <c r="X338" s="49">
        <f>IF(ISEVEN(V338),MAX('Pump Design Summary'!$D$29:$H$29)+50,0)</f>
        <v>0</v>
      </c>
      <c r="Y338" s="49"/>
    </row>
    <row r="339" spans="20:25" x14ac:dyDescent="0.25">
      <c r="T339" s="49"/>
      <c r="U339" s="49"/>
      <c r="V339" s="49">
        <v>336</v>
      </c>
      <c r="W339" s="49">
        <f>((('Pump Design Summary'!$E$16-'Pump Design Summary'!$D$16)/1000)*V339)+'Pump Design Summary'!$D$16</f>
        <v>0</v>
      </c>
      <c r="X339" s="49">
        <f>IF(ISEVEN(V339),MAX('Pump Design Summary'!$D$29:$H$29)+50,0)</f>
        <v>50</v>
      </c>
      <c r="Y339" s="49"/>
    </row>
    <row r="340" spans="20:25" x14ac:dyDescent="0.25">
      <c r="T340" s="49"/>
      <c r="U340" s="49"/>
      <c r="V340" s="49">
        <v>337</v>
      </c>
      <c r="W340" s="49">
        <f>((('Pump Design Summary'!$E$16-'Pump Design Summary'!$D$16)/1000)*V340)+'Pump Design Summary'!$D$16</f>
        <v>0</v>
      </c>
      <c r="X340" s="49">
        <f>IF(ISEVEN(V340),MAX('Pump Design Summary'!$D$29:$H$29)+50,0)</f>
        <v>0</v>
      </c>
      <c r="Y340" s="49"/>
    </row>
    <row r="341" spans="20:25" x14ac:dyDescent="0.25">
      <c r="T341" s="49"/>
      <c r="U341" s="49"/>
      <c r="V341" s="49">
        <v>338</v>
      </c>
      <c r="W341" s="49">
        <f>((('Pump Design Summary'!$E$16-'Pump Design Summary'!$D$16)/1000)*V341)+'Pump Design Summary'!$D$16</f>
        <v>0</v>
      </c>
      <c r="X341" s="49">
        <f>IF(ISEVEN(V341),MAX('Pump Design Summary'!$D$29:$H$29)+50,0)</f>
        <v>50</v>
      </c>
      <c r="Y341" s="49"/>
    </row>
    <row r="342" spans="20:25" x14ac:dyDescent="0.25">
      <c r="T342" s="49"/>
      <c r="U342" s="49"/>
      <c r="V342" s="49">
        <v>339</v>
      </c>
      <c r="W342" s="49">
        <f>((('Pump Design Summary'!$E$16-'Pump Design Summary'!$D$16)/1000)*V342)+'Pump Design Summary'!$D$16</f>
        <v>0</v>
      </c>
      <c r="X342" s="49">
        <f>IF(ISEVEN(V342),MAX('Pump Design Summary'!$D$29:$H$29)+50,0)</f>
        <v>0</v>
      </c>
      <c r="Y342" s="49"/>
    </row>
    <row r="343" spans="20:25" x14ac:dyDescent="0.25">
      <c r="T343" s="49"/>
      <c r="U343" s="49"/>
      <c r="V343" s="49">
        <v>340</v>
      </c>
      <c r="W343" s="49">
        <f>((('Pump Design Summary'!$E$16-'Pump Design Summary'!$D$16)/1000)*V343)+'Pump Design Summary'!$D$16</f>
        <v>0</v>
      </c>
      <c r="X343" s="49">
        <f>IF(ISEVEN(V343),MAX('Pump Design Summary'!$D$29:$H$29)+50,0)</f>
        <v>50</v>
      </c>
      <c r="Y343" s="49"/>
    </row>
    <row r="344" spans="20:25" x14ac:dyDescent="0.25">
      <c r="T344" s="49"/>
      <c r="U344" s="49"/>
      <c r="V344" s="49">
        <v>341</v>
      </c>
      <c r="W344" s="49">
        <f>((('Pump Design Summary'!$E$16-'Pump Design Summary'!$D$16)/1000)*V344)+'Pump Design Summary'!$D$16</f>
        <v>0</v>
      </c>
      <c r="X344" s="49">
        <f>IF(ISEVEN(V344),MAX('Pump Design Summary'!$D$29:$H$29)+50,0)</f>
        <v>0</v>
      </c>
      <c r="Y344" s="49"/>
    </row>
    <row r="345" spans="20:25" x14ac:dyDescent="0.25">
      <c r="T345" s="49"/>
      <c r="U345" s="49"/>
      <c r="V345" s="49">
        <v>342</v>
      </c>
      <c r="W345" s="49">
        <f>((('Pump Design Summary'!$E$16-'Pump Design Summary'!$D$16)/1000)*V345)+'Pump Design Summary'!$D$16</f>
        <v>0</v>
      </c>
      <c r="X345" s="49">
        <f>IF(ISEVEN(V345),MAX('Pump Design Summary'!$D$29:$H$29)+50,0)</f>
        <v>50</v>
      </c>
      <c r="Y345" s="49"/>
    </row>
    <row r="346" spans="20:25" x14ac:dyDescent="0.25">
      <c r="T346" s="49"/>
      <c r="U346" s="49"/>
      <c r="V346" s="49">
        <v>343</v>
      </c>
      <c r="W346" s="49">
        <f>((('Pump Design Summary'!$E$16-'Pump Design Summary'!$D$16)/1000)*V346)+'Pump Design Summary'!$D$16</f>
        <v>0</v>
      </c>
      <c r="X346" s="49">
        <f>IF(ISEVEN(V346),MAX('Pump Design Summary'!$D$29:$H$29)+50,0)</f>
        <v>0</v>
      </c>
      <c r="Y346" s="49"/>
    </row>
    <row r="347" spans="20:25" x14ac:dyDescent="0.25">
      <c r="T347" s="49"/>
      <c r="U347" s="49"/>
      <c r="V347" s="49">
        <v>344</v>
      </c>
      <c r="W347" s="49">
        <f>((('Pump Design Summary'!$E$16-'Pump Design Summary'!$D$16)/1000)*V347)+'Pump Design Summary'!$D$16</f>
        <v>0</v>
      </c>
      <c r="X347" s="49">
        <f>IF(ISEVEN(V347),MAX('Pump Design Summary'!$D$29:$H$29)+50,0)</f>
        <v>50</v>
      </c>
      <c r="Y347" s="49"/>
    </row>
    <row r="348" spans="20:25" x14ac:dyDescent="0.25">
      <c r="T348" s="49"/>
      <c r="U348" s="49"/>
      <c r="V348" s="49">
        <v>345</v>
      </c>
      <c r="W348" s="49">
        <f>((('Pump Design Summary'!$E$16-'Pump Design Summary'!$D$16)/1000)*V348)+'Pump Design Summary'!$D$16</f>
        <v>0</v>
      </c>
      <c r="X348" s="49">
        <f>IF(ISEVEN(V348),MAX('Pump Design Summary'!$D$29:$H$29)+50,0)</f>
        <v>0</v>
      </c>
      <c r="Y348" s="49"/>
    </row>
    <row r="349" spans="20:25" x14ac:dyDescent="0.25">
      <c r="T349" s="49"/>
      <c r="U349" s="49"/>
      <c r="V349" s="49">
        <v>346</v>
      </c>
      <c r="W349" s="49">
        <f>((('Pump Design Summary'!$E$16-'Pump Design Summary'!$D$16)/1000)*V349)+'Pump Design Summary'!$D$16</f>
        <v>0</v>
      </c>
      <c r="X349" s="49">
        <f>IF(ISEVEN(V349),MAX('Pump Design Summary'!$D$29:$H$29)+50,0)</f>
        <v>50</v>
      </c>
      <c r="Y349" s="49"/>
    </row>
    <row r="350" spans="20:25" x14ac:dyDescent="0.25">
      <c r="T350" s="49"/>
      <c r="U350" s="49"/>
      <c r="V350" s="49">
        <v>347</v>
      </c>
      <c r="W350" s="49">
        <f>((('Pump Design Summary'!$E$16-'Pump Design Summary'!$D$16)/1000)*V350)+'Pump Design Summary'!$D$16</f>
        <v>0</v>
      </c>
      <c r="X350" s="49">
        <f>IF(ISEVEN(V350),MAX('Pump Design Summary'!$D$29:$H$29)+50,0)</f>
        <v>0</v>
      </c>
      <c r="Y350" s="49"/>
    </row>
    <row r="351" spans="20:25" x14ac:dyDescent="0.25">
      <c r="T351" s="49"/>
      <c r="U351" s="49"/>
      <c r="V351" s="49">
        <v>348</v>
      </c>
      <c r="W351" s="49">
        <f>((('Pump Design Summary'!$E$16-'Pump Design Summary'!$D$16)/1000)*V351)+'Pump Design Summary'!$D$16</f>
        <v>0</v>
      </c>
      <c r="X351" s="49">
        <f>IF(ISEVEN(V351),MAX('Pump Design Summary'!$D$29:$H$29)+50,0)</f>
        <v>50</v>
      </c>
      <c r="Y351" s="49"/>
    </row>
    <row r="352" spans="20:25" x14ac:dyDescent="0.25">
      <c r="T352" s="49"/>
      <c r="U352" s="49"/>
      <c r="V352" s="49">
        <v>349</v>
      </c>
      <c r="W352" s="49">
        <f>((('Pump Design Summary'!$E$16-'Pump Design Summary'!$D$16)/1000)*V352)+'Pump Design Summary'!$D$16</f>
        <v>0</v>
      </c>
      <c r="X352" s="49">
        <f>IF(ISEVEN(V352),MAX('Pump Design Summary'!$D$29:$H$29)+50,0)</f>
        <v>0</v>
      </c>
      <c r="Y352" s="49"/>
    </row>
    <row r="353" spans="20:25" x14ac:dyDescent="0.25">
      <c r="T353" s="49"/>
      <c r="U353" s="49"/>
      <c r="V353" s="49">
        <v>350</v>
      </c>
      <c r="W353" s="49">
        <f>((('Pump Design Summary'!$E$16-'Pump Design Summary'!$D$16)/1000)*V353)+'Pump Design Summary'!$D$16</f>
        <v>0</v>
      </c>
      <c r="X353" s="49">
        <f>IF(ISEVEN(V353),MAX('Pump Design Summary'!$D$29:$H$29)+50,0)</f>
        <v>50</v>
      </c>
      <c r="Y353" s="49"/>
    </row>
    <row r="354" spans="20:25" x14ac:dyDescent="0.25">
      <c r="T354" s="49"/>
      <c r="U354" s="49"/>
      <c r="V354" s="49">
        <v>351</v>
      </c>
      <c r="W354" s="49">
        <f>((('Pump Design Summary'!$E$16-'Pump Design Summary'!$D$16)/1000)*V354)+'Pump Design Summary'!$D$16</f>
        <v>0</v>
      </c>
      <c r="X354" s="49">
        <f>IF(ISEVEN(V354),MAX('Pump Design Summary'!$D$29:$H$29)+50,0)</f>
        <v>0</v>
      </c>
      <c r="Y354" s="49"/>
    </row>
    <row r="355" spans="20:25" x14ac:dyDescent="0.25">
      <c r="T355" s="49"/>
      <c r="U355" s="49"/>
      <c r="V355" s="49">
        <v>352</v>
      </c>
      <c r="W355" s="49">
        <f>((('Pump Design Summary'!$E$16-'Pump Design Summary'!$D$16)/1000)*V355)+'Pump Design Summary'!$D$16</f>
        <v>0</v>
      </c>
      <c r="X355" s="49">
        <f>IF(ISEVEN(V355),MAX('Pump Design Summary'!$D$29:$H$29)+50,0)</f>
        <v>50</v>
      </c>
      <c r="Y355" s="49"/>
    </row>
    <row r="356" spans="20:25" x14ac:dyDescent="0.25">
      <c r="T356" s="49"/>
      <c r="U356" s="49"/>
      <c r="V356" s="49">
        <v>353</v>
      </c>
      <c r="W356" s="49">
        <f>((('Pump Design Summary'!$E$16-'Pump Design Summary'!$D$16)/1000)*V356)+'Pump Design Summary'!$D$16</f>
        <v>0</v>
      </c>
      <c r="X356" s="49">
        <f>IF(ISEVEN(V356),MAX('Pump Design Summary'!$D$29:$H$29)+50,0)</f>
        <v>0</v>
      </c>
      <c r="Y356" s="49"/>
    </row>
    <row r="357" spans="20:25" x14ac:dyDescent="0.25">
      <c r="T357" s="49"/>
      <c r="U357" s="49"/>
      <c r="V357" s="49">
        <v>354</v>
      </c>
      <c r="W357" s="49">
        <f>((('Pump Design Summary'!$E$16-'Pump Design Summary'!$D$16)/1000)*V357)+'Pump Design Summary'!$D$16</f>
        <v>0</v>
      </c>
      <c r="X357" s="49">
        <f>IF(ISEVEN(V357),MAX('Pump Design Summary'!$D$29:$H$29)+50,0)</f>
        <v>50</v>
      </c>
      <c r="Y357" s="49"/>
    </row>
    <row r="358" spans="20:25" x14ac:dyDescent="0.25">
      <c r="T358" s="49"/>
      <c r="U358" s="49"/>
      <c r="V358" s="49">
        <v>355</v>
      </c>
      <c r="W358" s="49">
        <f>((('Pump Design Summary'!$E$16-'Pump Design Summary'!$D$16)/1000)*V358)+'Pump Design Summary'!$D$16</f>
        <v>0</v>
      </c>
      <c r="X358" s="49">
        <f>IF(ISEVEN(V358),MAX('Pump Design Summary'!$D$29:$H$29)+50,0)</f>
        <v>0</v>
      </c>
      <c r="Y358" s="49"/>
    </row>
    <row r="359" spans="20:25" x14ac:dyDescent="0.25">
      <c r="T359" s="49"/>
      <c r="U359" s="49"/>
      <c r="V359" s="49">
        <v>356</v>
      </c>
      <c r="W359" s="49">
        <f>((('Pump Design Summary'!$E$16-'Pump Design Summary'!$D$16)/1000)*V359)+'Pump Design Summary'!$D$16</f>
        <v>0</v>
      </c>
      <c r="X359" s="49">
        <f>IF(ISEVEN(V359),MAX('Pump Design Summary'!$D$29:$H$29)+50,0)</f>
        <v>50</v>
      </c>
      <c r="Y359" s="49"/>
    </row>
    <row r="360" spans="20:25" x14ac:dyDescent="0.25">
      <c r="T360" s="49"/>
      <c r="U360" s="49"/>
      <c r="V360" s="49">
        <v>357</v>
      </c>
      <c r="W360" s="49">
        <f>((('Pump Design Summary'!$E$16-'Pump Design Summary'!$D$16)/1000)*V360)+'Pump Design Summary'!$D$16</f>
        <v>0</v>
      </c>
      <c r="X360" s="49">
        <f>IF(ISEVEN(V360),MAX('Pump Design Summary'!$D$29:$H$29)+50,0)</f>
        <v>0</v>
      </c>
      <c r="Y360" s="49"/>
    </row>
    <row r="361" spans="20:25" x14ac:dyDescent="0.25">
      <c r="T361" s="49"/>
      <c r="U361" s="49"/>
      <c r="V361" s="49">
        <v>358</v>
      </c>
      <c r="W361" s="49">
        <f>((('Pump Design Summary'!$E$16-'Pump Design Summary'!$D$16)/1000)*V361)+'Pump Design Summary'!$D$16</f>
        <v>0</v>
      </c>
      <c r="X361" s="49">
        <f>IF(ISEVEN(V361),MAX('Pump Design Summary'!$D$29:$H$29)+50,0)</f>
        <v>50</v>
      </c>
      <c r="Y361" s="49"/>
    </row>
    <row r="362" spans="20:25" x14ac:dyDescent="0.25">
      <c r="T362" s="49"/>
      <c r="U362" s="49"/>
      <c r="V362" s="49">
        <v>359</v>
      </c>
      <c r="W362" s="49">
        <f>((('Pump Design Summary'!$E$16-'Pump Design Summary'!$D$16)/1000)*V362)+'Pump Design Summary'!$D$16</f>
        <v>0</v>
      </c>
      <c r="X362" s="49">
        <f>IF(ISEVEN(V362),MAX('Pump Design Summary'!$D$29:$H$29)+50,0)</f>
        <v>0</v>
      </c>
      <c r="Y362" s="49"/>
    </row>
    <row r="363" spans="20:25" x14ac:dyDescent="0.25">
      <c r="T363" s="49"/>
      <c r="U363" s="49"/>
      <c r="V363" s="49">
        <v>360</v>
      </c>
      <c r="W363" s="49">
        <f>((('Pump Design Summary'!$E$16-'Pump Design Summary'!$D$16)/1000)*V363)+'Pump Design Summary'!$D$16</f>
        <v>0</v>
      </c>
      <c r="X363" s="49">
        <f>IF(ISEVEN(V363),MAX('Pump Design Summary'!$D$29:$H$29)+50,0)</f>
        <v>50</v>
      </c>
      <c r="Y363" s="49"/>
    </row>
    <row r="364" spans="20:25" x14ac:dyDescent="0.25">
      <c r="T364" s="49"/>
      <c r="U364" s="49"/>
      <c r="V364" s="49">
        <v>361</v>
      </c>
      <c r="W364" s="49">
        <f>((('Pump Design Summary'!$E$16-'Pump Design Summary'!$D$16)/1000)*V364)+'Pump Design Summary'!$D$16</f>
        <v>0</v>
      </c>
      <c r="X364" s="49">
        <f>IF(ISEVEN(V364),MAX('Pump Design Summary'!$D$29:$H$29)+50,0)</f>
        <v>0</v>
      </c>
      <c r="Y364" s="49"/>
    </row>
    <row r="365" spans="20:25" x14ac:dyDescent="0.25">
      <c r="T365" s="49"/>
      <c r="U365" s="49"/>
      <c r="V365" s="49">
        <v>362</v>
      </c>
      <c r="W365" s="49">
        <f>((('Pump Design Summary'!$E$16-'Pump Design Summary'!$D$16)/1000)*V365)+'Pump Design Summary'!$D$16</f>
        <v>0</v>
      </c>
      <c r="X365" s="49">
        <f>IF(ISEVEN(V365),MAX('Pump Design Summary'!$D$29:$H$29)+50,0)</f>
        <v>50</v>
      </c>
      <c r="Y365" s="49"/>
    </row>
    <row r="366" spans="20:25" x14ac:dyDescent="0.25">
      <c r="T366" s="49"/>
      <c r="U366" s="49"/>
      <c r="V366" s="49">
        <v>363</v>
      </c>
      <c r="W366" s="49">
        <f>((('Pump Design Summary'!$E$16-'Pump Design Summary'!$D$16)/1000)*V366)+'Pump Design Summary'!$D$16</f>
        <v>0</v>
      </c>
      <c r="X366" s="49">
        <f>IF(ISEVEN(V366),MAX('Pump Design Summary'!$D$29:$H$29)+50,0)</f>
        <v>0</v>
      </c>
      <c r="Y366" s="49"/>
    </row>
    <row r="367" spans="20:25" x14ac:dyDescent="0.25">
      <c r="T367" s="49"/>
      <c r="U367" s="49"/>
      <c r="V367" s="49">
        <v>364</v>
      </c>
      <c r="W367" s="49">
        <f>((('Pump Design Summary'!$E$16-'Pump Design Summary'!$D$16)/1000)*V367)+'Pump Design Summary'!$D$16</f>
        <v>0</v>
      </c>
      <c r="X367" s="49">
        <f>IF(ISEVEN(V367),MAX('Pump Design Summary'!$D$29:$H$29)+50,0)</f>
        <v>50</v>
      </c>
      <c r="Y367" s="49"/>
    </row>
    <row r="368" spans="20:25" x14ac:dyDescent="0.25">
      <c r="T368" s="49"/>
      <c r="U368" s="49"/>
      <c r="V368" s="49">
        <v>365</v>
      </c>
      <c r="W368" s="49">
        <f>((('Pump Design Summary'!$E$16-'Pump Design Summary'!$D$16)/1000)*V368)+'Pump Design Summary'!$D$16</f>
        <v>0</v>
      </c>
      <c r="X368" s="49">
        <f>IF(ISEVEN(V368),MAX('Pump Design Summary'!$D$29:$H$29)+50,0)</f>
        <v>0</v>
      </c>
      <c r="Y368" s="49"/>
    </row>
    <row r="369" spans="20:25" x14ac:dyDescent="0.25">
      <c r="T369" s="49"/>
      <c r="U369" s="49"/>
      <c r="V369" s="49">
        <v>366</v>
      </c>
      <c r="W369" s="49">
        <f>((('Pump Design Summary'!$E$16-'Pump Design Summary'!$D$16)/1000)*V369)+'Pump Design Summary'!$D$16</f>
        <v>0</v>
      </c>
      <c r="X369" s="49">
        <f>IF(ISEVEN(V369),MAX('Pump Design Summary'!$D$29:$H$29)+50,0)</f>
        <v>50</v>
      </c>
      <c r="Y369" s="49"/>
    </row>
    <row r="370" spans="20:25" x14ac:dyDescent="0.25">
      <c r="T370" s="49"/>
      <c r="U370" s="49"/>
      <c r="V370" s="49">
        <v>367</v>
      </c>
      <c r="W370" s="49">
        <f>((('Pump Design Summary'!$E$16-'Pump Design Summary'!$D$16)/1000)*V370)+'Pump Design Summary'!$D$16</f>
        <v>0</v>
      </c>
      <c r="X370" s="49">
        <f>IF(ISEVEN(V370),MAX('Pump Design Summary'!$D$29:$H$29)+50,0)</f>
        <v>0</v>
      </c>
      <c r="Y370" s="49"/>
    </row>
    <row r="371" spans="20:25" x14ac:dyDescent="0.25">
      <c r="T371" s="49"/>
      <c r="U371" s="49"/>
      <c r="V371" s="49">
        <v>368</v>
      </c>
      <c r="W371" s="49">
        <f>((('Pump Design Summary'!$E$16-'Pump Design Summary'!$D$16)/1000)*V371)+'Pump Design Summary'!$D$16</f>
        <v>0</v>
      </c>
      <c r="X371" s="49">
        <f>IF(ISEVEN(V371),MAX('Pump Design Summary'!$D$29:$H$29)+50,0)</f>
        <v>50</v>
      </c>
      <c r="Y371" s="49"/>
    </row>
    <row r="372" spans="20:25" x14ac:dyDescent="0.25">
      <c r="T372" s="49"/>
      <c r="U372" s="49"/>
      <c r="V372" s="49">
        <v>369</v>
      </c>
      <c r="W372" s="49">
        <f>((('Pump Design Summary'!$E$16-'Pump Design Summary'!$D$16)/1000)*V372)+'Pump Design Summary'!$D$16</f>
        <v>0</v>
      </c>
      <c r="X372" s="49">
        <f>IF(ISEVEN(V372),MAX('Pump Design Summary'!$D$29:$H$29)+50,0)</f>
        <v>0</v>
      </c>
      <c r="Y372" s="49"/>
    </row>
    <row r="373" spans="20:25" x14ac:dyDescent="0.25">
      <c r="T373" s="49"/>
      <c r="U373" s="49"/>
      <c r="V373" s="49">
        <v>370</v>
      </c>
      <c r="W373" s="49">
        <f>((('Pump Design Summary'!$E$16-'Pump Design Summary'!$D$16)/1000)*V373)+'Pump Design Summary'!$D$16</f>
        <v>0</v>
      </c>
      <c r="X373" s="49">
        <f>IF(ISEVEN(V373),MAX('Pump Design Summary'!$D$29:$H$29)+50,0)</f>
        <v>50</v>
      </c>
      <c r="Y373" s="49"/>
    </row>
    <row r="374" spans="20:25" x14ac:dyDescent="0.25">
      <c r="T374" s="49"/>
      <c r="U374" s="49"/>
      <c r="V374" s="49">
        <v>371</v>
      </c>
      <c r="W374" s="49">
        <f>((('Pump Design Summary'!$E$16-'Pump Design Summary'!$D$16)/1000)*V374)+'Pump Design Summary'!$D$16</f>
        <v>0</v>
      </c>
      <c r="X374" s="49">
        <f>IF(ISEVEN(V374),MAX('Pump Design Summary'!$D$29:$H$29)+50,0)</f>
        <v>0</v>
      </c>
      <c r="Y374" s="49"/>
    </row>
    <row r="375" spans="20:25" x14ac:dyDescent="0.25">
      <c r="T375" s="49"/>
      <c r="U375" s="49"/>
      <c r="V375" s="49">
        <v>372</v>
      </c>
      <c r="W375" s="49">
        <f>((('Pump Design Summary'!$E$16-'Pump Design Summary'!$D$16)/1000)*V375)+'Pump Design Summary'!$D$16</f>
        <v>0</v>
      </c>
      <c r="X375" s="49">
        <f>IF(ISEVEN(V375),MAX('Pump Design Summary'!$D$29:$H$29)+50,0)</f>
        <v>50</v>
      </c>
      <c r="Y375" s="49"/>
    </row>
    <row r="376" spans="20:25" x14ac:dyDescent="0.25">
      <c r="T376" s="49"/>
      <c r="U376" s="49"/>
      <c r="V376" s="49">
        <v>373</v>
      </c>
      <c r="W376" s="49">
        <f>((('Pump Design Summary'!$E$16-'Pump Design Summary'!$D$16)/1000)*V376)+'Pump Design Summary'!$D$16</f>
        <v>0</v>
      </c>
      <c r="X376" s="49">
        <f>IF(ISEVEN(V376),MAX('Pump Design Summary'!$D$29:$H$29)+50,0)</f>
        <v>0</v>
      </c>
      <c r="Y376" s="49"/>
    </row>
    <row r="377" spans="20:25" x14ac:dyDescent="0.25">
      <c r="T377" s="49"/>
      <c r="U377" s="49"/>
      <c r="V377" s="49">
        <v>374</v>
      </c>
      <c r="W377" s="49">
        <f>((('Pump Design Summary'!$E$16-'Pump Design Summary'!$D$16)/1000)*V377)+'Pump Design Summary'!$D$16</f>
        <v>0</v>
      </c>
      <c r="X377" s="49">
        <f>IF(ISEVEN(V377),MAX('Pump Design Summary'!$D$29:$H$29)+50,0)</f>
        <v>50</v>
      </c>
      <c r="Y377" s="49"/>
    </row>
    <row r="378" spans="20:25" x14ac:dyDescent="0.25">
      <c r="T378" s="49"/>
      <c r="U378" s="49"/>
      <c r="V378" s="49">
        <v>375</v>
      </c>
      <c r="W378" s="49">
        <f>((('Pump Design Summary'!$E$16-'Pump Design Summary'!$D$16)/1000)*V378)+'Pump Design Summary'!$D$16</f>
        <v>0</v>
      </c>
      <c r="X378" s="49">
        <f>IF(ISEVEN(V378),MAX('Pump Design Summary'!$D$29:$H$29)+50,0)</f>
        <v>0</v>
      </c>
      <c r="Y378" s="49"/>
    </row>
    <row r="379" spans="20:25" x14ac:dyDescent="0.25">
      <c r="T379" s="49"/>
      <c r="U379" s="49"/>
      <c r="V379" s="49">
        <v>376</v>
      </c>
      <c r="W379" s="49">
        <f>((('Pump Design Summary'!$E$16-'Pump Design Summary'!$D$16)/1000)*V379)+'Pump Design Summary'!$D$16</f>
        <v>0</v>
      </c>
      <c r="X379" s="49">
        <f>IF(ISEVEN(V379),MAX('Pump Design Summary'!$D$29:$H$29)+50,0)</f>
        <v>50</v>
      </c>
      <c r="Y379" s="49"/>
    </row>
    <row r="380" spans="20:25" x14ac:dyDescent="0.25">
      <c r="T380" s="49"/>
      <c r="U380" s="49"/>
      <c r="V380" s="49">
        <v>377</v>
      </c>
      <c r="W380" s="49">
        <f>((('Pump Design Summary'!$E$16-'Pump Design Summary'!$D$16)/1000)*V380)+'Pump Design Summary'!$D$16</f>
        <v>0</v>
      </c>
      <c r="X380" s="49">
        <f>IF(ISEVEN(V380),MAX('Pump Design Summary'!$D$29:$H$29)+50,0)</f>
        <v>0</v>
      </c>
      <c r="Y380" s="49"/>
    </row>
    <row r="381" spans="20:25" x14ac:dyDescent="0.25">
      <c r="T381" s="49"/>
      <c r="U381" s="49"/>
      <c r="V381" s="49">
        <v>378</v>
      </c>
      <c r="W381" s="49">
        <f>((('Pump Design Summary'!$E$16-'Pump Design Summary'!$D$16)/1000)*V381)+'Pump Design Summary'!$D$16</f>
        <v>0</v>
      </c>
      <c r="X381" s="49">
        <f>IF(ISEVEN(V381),MAX('Pump Design Summary'!$D$29:$H$29)+50,0)</f>
        <v>50</v>
      </c>
      <c r="Y381" s="49"/>
    </row>
    <row r="382" spans="20:25" x14ac:dyDescent="0.25">
      <c r="T382" s="49"/>
      <c r="U382" s="49"/>
      <c r="V382" s="49">
        <v>379</v>
      </c>
      <c r="W382" s="49">
        <f>((('Pump Design Summary'!$E$16-'Pump Design Summary'!$D$16)/1000)*V382)+'Pump Design Summary'!$D$16</f>
        <v>0</v>
      </c>
      <c r="X382" s="49">
        <f>IF(ISEVEN(V382),MAX('Pump Design Summary'!$D$29:$H$29)+50,0)</f>
        <v>0</v>
      </c>
      <c r="Y382" s="49"/>
    </row>
    <row r="383" spans="20:25" x14ac:dyDescent="0.25">
      <c r="T383" s="49"/>
      <c r="U383" s="49"/>
      <c r="V383" s="49">
        <v>380</v>
      </c>
      <c r="W383" s="49">
        <f>((('Pump Design Summary'!$E$16-'Pump Design Summary'!$D$16)/1000)*V383)+'Pump Design Summary'!$D$16</f>
        <v>0</v>
      </c>
      <c r="X383" s="49">
        <f>IF(ISEVEN(V383),MAX('Pump Design Summary'!$D$29:$H$29)+50,0)</f>
        <v>50</v>
      </c>
      <c r="Y383" s="49"/>
    </row>
    <row r="384" spans="20:25" x14ac:dyDescent="0.25">
      <c r="T384" s="49"/>
      <c r="U384" s="49"/>
      <c r="V384" s="49">
        <v>381</v>
      </c>
      <c r="W384" s="49">
        <f>((('Pump Design Summary'!$E$16-'Pump Design Summary'!$D$16)/1000)*V384)+'Pump Design Summary'!$D$16</f>
        <v>0</v>
      </c>
      <c r="X384" s="49">
        <f>IF(ISEVEN(V384),MAX('Pump Design Summary'!$D$29:$H$29)+50,0)</f>
        <v>0</v>
      </c>
      <c r="Y384" s="49"/>
    </row>
    <row r="385" spans="20:25" x14ac:dyDescent="0.25">
      <c r="T385" s="49"/>
      <c r="U385" s="49"/>
      <c r="V385" s="49">
        <v>382</v>
      </c>
      <c r="W385" s="49">
        <f>((('Pump Design Summary'!$E$16-'Pump Design Summary'!$D$16)/1000)*V385)+'Pump Design Summary'!$D$16</f>
        <v>0</v>
      </c>
      <c r="X385" s="49">
        <f>IF(ISEVEN(V385),MAX('Pump Design Summary'!$D$29:$H$29)+50,0)</f>
        <v>50</v>
      </c>
      <c r="Y385" s="49"/>
    </row>
    <row r="386" spans="20:25" x14ac:dyDescent="0.25">
      <c r="T386" s="49"/>
      <c r="U386" s="49"/>
      <c r="V386" s="49">
        <v>383</v>
      </c>
      <c r="W386" s="49">
        <f>((('Pump Design Summary'!$E$16-'Pump Design Summary'!$D$16)/1000)*V386)+'Pump Design Summary'!$D$16</f>
        <v>0</v>
      </c>
      <c r="X386" s="49">
        <f>IF(ISEVEN(V386),MAX('Pump Design Summary'!$D$29:$H$29)+50,0)</f>
        <v>0</v>
      </c>
      <c r="Y386" s="49"/>
    </row>
    <row r="387" spans="20:25" x14ac:dyDescent="0.25">
      <c r="T387" s="49"/>
      <c r="U387" s="49"/>
      <c r="V387" s="49">
        <v>384</v>
      </c>
      <c r="W387" s="49">
        <f>((('Pump Design Summary'!$E$16-'Pump Design Summary'!$D$16)/1000)*V387)+'Pump Design Summary'!$D$16</f>
        <v>0</v>
      </c>
      <c r="X387" s="49">
        <f>IF(ISEVEN(V387),MAX('Pump Design Summary'!$D$29:$H$29)+50,0)</f>
        <v>50</v>
      </c>
      <c r="Y387" s="49"/>
    </row>
    <row r="388" spans="20:25" x14ac:dyDescent="0.25">
      <c r="T388" s="49"/>
      <c r="U388" s="49"/>
      <c r="V388" s="49">
        <v>385</v>
      </c>
      <c r="W388" s="49">
        <f>((('Pump Design Summary'!$E$16-'Pump Design Summary'!$D$16)/1000)*V388)+'Pump Design Summary'!$D$16</f>
        <v>0</v>
      </c>
      <c r="X388" s="49">
        <f>IF(ISEVEN(V388),MAX('Pump Design Summary'!$D$29:$H$29)+50,0)</f>
        <v>0</v>
      </c>
      <c r="Y388" s="49"/>
    </row>
    <row r="389" spans="20:25" x14ac:dyDescent="0.25">
      <c r="T389" s="49"/>
      <c r="U389" s="49"/>
      <c r="V389" s="49">
        <v>386</v>
      </c>
      <c r="W389" s="49">
        <f>((('Pump Design Summary'!$E$16-'Pump Design Summary'!$D$16)/1000)*V389)+'Pump Design Summary'!$D$16</f>
        <v>0</v>
      </c>
      <c r="X389" s="49">
        <f>IF(ISEVEN(V389),MAX('Pump Design Summary'!$D$29:$H$29)+50,0)</f>
        <v>50</v>
      </c>
      <c r="Y389" s="49"/>
    </row>
    <row r="390" spans="20:25" x14ac:dyDescent="0.25">
      <c r="T390" s="49"/>
      <c r="U390" s="49"/>
      <c r="V390" s="49">
        <v>387</v>
      </c>
      <c r="W390" s="49">
        <f>((('Pump Design Summary'!$E$16-'Pump Design Summary'!$D$16)/1000)*V390)+'Pump Design Summary'!$D$16</f>
        <v>0</v>
      </c>
      <c r="X390" s="49">
        <f>IF(ISEVEN(V390),MAX('Pump Design Summary'!$D$29:$H$29)+50,0)</f>
        <v>0</v>
      </c>
      <c r="Y390" s="49"/>
    </row>
    <row r="391" spans="20:25" x14ac:dyDescent="0.25">
      <c r="T391" s="49"/>
      <c r="U391" s="49"/>
      <c r="V391" s="49">
        <v>388</v>
      </c>
      <c r="W391" s="49">
        <f>((('Pump Design Summary'!$E$16-'Pump Design Summary'!$D$16)/1000)*V391)+'Pump Design Summary'!$D$16</f>
        <v>0</v>
      </c>
      <c r="X391" s="49">
        <f>IF(ISEVEN(V391),MAX('Pump Design Summary'!$D$29:$H$29)+50,0)</f>
        <v>50</v>
      </c>
      <c r="Y391" s="49"/>
    </row>
    <row r="392" spans="20:25" x14ac:dyDescent="0.25">
      <c r="T392" s="49"/>
      <c r="U392" s="49"/>
      <c r="V392" s="49">
        <v>389</v>
      </c>
      <c r="W392" s="49">
        <f>((('Pump Design Summary'!$E$16-'Pump Design Summary'!$D$16)/1000)*V392)+'Pump Design Summary'!$D$16</f>
        <v>0</v>
      </c>
      <c r="X392" s="49">
        <f>IF(ISEVEN(V392),MAX('Pump Design Summary'!$D$29:$H$29)+50,0)</f>
        <v>0</v>
      </c>
      <c r="Y392" s="49"/>
    </row>
    <row r="393" spans="20:25" x14ac:dyDescent="0.25">
      <c r="T393" s="49"/>
      <c r="U393" s="49"/>
      <c r="V393" s="49">
        <v>390</v>
      </c>
      <c r="W393" s="49">
        <f>((('Pump Design Summary'!$E$16-'Pump Design Summary'!$D$16)/1000)*V393)+'Pump Design Summary'!$D$16</f>
        <v>0</v>
      </c>
      <c r="X393" s="49">
        <f>IF(ISEVEN(V393),MAX('Pump Design Summary'!$D$29:$H$29)+50,0)</f>
        <v>50</v>
      </c>
      <c r="Y393" s="49"/>
    </row>
    <row r="394" spans="20:25" x14ac:dyDescent="0.25">
      <c r="T394" s="49"/>
      <c r="U394" s="49"/>
      <c r="V394" s="49">
        <v>391</v>
      </c>
      <c r="W394" s="49">
        <f>((('Pump Design Summary'!$E$16-'Pump Design Summary'!$D$16)/1000)*V394)+'Pump Design Summary'!$D$16</f>
        <v>0</v>
      </c>
      <c r="X394" s="49">
        <f>IF(ISEVEN(V394),MAX('Pump Design Summary'!$D$29:$H$29)+50,0)</f>
        <v>0</v>
      </c>
      <c r="Y394" s="49"/>
    </row>
    <row r="395" spans="20:25" x14ac:dyDescent="0.25">
      <c r="T395" s="49"/>
      <c r="U395" s="49"/>
      <c r="V395" s="49">
        <v>392</v>
      </c>
      <c r="W395" s="49">
        <f>((('Pump Design Summary'!$E$16-'Pump Design Summary'!$D$16)/1000)*V395)+'Pump Design Summary'!$D$16</f>
        <v>0</v>
      </c>
      <c r="X395" s="49">
        <f>IF(ISEVEN(V395),MAX('Pump Design Summary'!$D$29:$H$29)+50,0)</f>
        <v>50</v>
      </c>
      <c r="Y395" s="49"/>
    </row>
    <row r="396" spans="20:25" x14ac:dyDescent="0.25">
      <c r="T396" s="49"/>
      <c r="U396" s="49"/>
      <c r="V396" s="49">
        <v>393</v>
      </c>
      <c r="W396" s="49">
        <f>((('Pump Design Summary'!$E$16-'Pump Design Summary'!$D$16)/1000)*V396)+'Pump Design Summary'!$D$16</f>
        <v>0</v>
      </c>
      <c r="X396" s="49">
        <f>IF(ISEVEN(V396),MAX('Pump Design Summary'!$D$29:$H$29)+50,0)</f>
        <v>0</v>
      </c>
      <c r="Y396" s="49"/>
    </row>
    <row r="397" spans="20:25" x14ac:dyDescent="0.25">
      <c r="T397" s="49"/>
      <c r="U397" s="49"/>
      <c r="V397" s="49">
        <v>394</v>
      </c>
      <c r="W397" s="49">
        <f>((('Pump Design Summary'!$E$16-'Pump Design Summary'!$D$16)/1000)*V397)+'Pump Design Summary'!$D$16</f>
        <v>0</v>
      </c>
      <c r="X397" s="49">
        <f>IF(ISEVEN(V397),MAX('Pump Design Summary'!$D$29:$H$29)+50,0)</f>
        <v>50</v>
      </c>
      <c r="Y397" s="49"/>
    </row>
    <row r="398" spans="20:25" x14ac:dyDescent="0.25">
      <c r="T398" s="49"/>
      <c r="U398" s="49"/>
      <c r="V398" s="49">
        <v>395</v>
      </c>
      <c r="W398" s="49">
        <f>((('Pump Design Summary'!$E$16-'Pump Design Summary'!$D$16)/1000)*V398)+'Pump Design Summary'!$D$16</f>
        <v>0</v>
      </c>
      <c r="X398" s="49">
        <f>IF(ISEVEN(V398),MAX('Pump Design Summary'!$D$29:$H$29)+50,0)</f>
        <v>0</v>
      </c>
      <c r="Y398" s="49"/>
    </row>
    <row r="399" spans="20:25" x14ac:dyDescent="0.25">
      <c r="T399" s="49"/>
      <c r="U399" s="49"/>
      <c r="V399" s="49">
        <v>396</v>
      </c>
      <c r="W399" s="49">
        <f>((('Pump Design Summary'!$E$16-'Pump Design Summary'!$D$16)/1000)*V399)+'Pump Design Summary'!$D$16</f>
        <v>0</v>
      </c>
      <c r="X399" s="49">
        <f>IF(ISEVEN(V399),MAX('Pump Design Summary'!$D$29:$H$29)+50,0)</f>
        <v>50</v>
      </c>
      <c r="Y399" s="49"/>
    </row>
    <row r="400" spans="20:25" x14ac:dyDescent="0.25">
      <c r="T400" s="49"/>
      <c r="U400" s="49"/>
      <c r="V400" s="49">
        <v>397</v>
      </c>
      <c r="W400" s="49">
        <f>((('Pump Design Summary'!$E$16-'Pump Design Summary'!$D$16)/1000)*V400)+'Pump Design Summary'!$D$16</f>
        <v>0</v>
      </c>
      <c r="X400" s="49">
        <f>IF(ISEVEN(V400),MAX('Pump Design Summary'!$D$29:$H$29)+50,0)</f>
        <v>0</v>
      </c>
      <c r="Y400" s="49"/>
    </row>
    <row r="401" spans="20:25" x14ac:dyDescent="0.25">
      <c r="T401" s="49"/>
      <c r="U401" s="49"/>
      <c r="V401" s="49">
        <v>398</v>
      </c>
      <c r="W401" s="49">
        <f>((('Pump Design Summary'!$E$16-'Pump Design Summary'!$D$16)/1000)*V401)+'Pump Design Summary'!$D$16</f>
        <v>0</v>
      </c>
      <c r="X401" s="49">
        <f>IF(ISEVEN(V401),MAX('Pump Design Summary'!$D$29:$H$29)+50,0)</f>
        <v>50</v>
      </c>
      <c r="Y401" s="49"/>
    </row>
    <row r="402" spans="20:25" x14ac:dyDescent="0.25">
      <c r="T402" s="49"/>
      <c r="U402" s="49"/>
      <c r="V402" s="49">
        <v>399</v>
      </c>
      <c r="W402" s="49">
        <f>((('Pump Design Summary'!$E$16-'Pump Design Summary'!$D$16)/1000)*V402)+'Pump Design Summary'!$D$16</f>
        <v>0</v>
      </c>
      <c r="X402" s="49">
        <f>IF(ISEVEN(V402),MAX('Pump Design Summary'!$D$29:$H$29)+50,0)</f>
        <v>0</v>
      </c>
      <c r="Y402" s="49"/>
    </row>
    <row r="403" spans="20:25" x14ac:dyDescent="0.25">
      <c r="T403" s="49"/>
      <c r="U403" s="49"/>
      <c r="V403" s="49">
        <v>400</v>
      </c>
      <c r="W403" s="49">
        <f>((('Pump Design Summary'!$E$16-'Pump Design Summary'!$D$16)/1000)*V403)+'Pump Design Summary'!$D$16</f>
        <v>0</v>
      </c>
      <c r="X403" s="49">
        <f>IF(ISEVEN(V403),MAX('Pump Design Summary'!$D$29:$H$29)+50,0)</f>
        <v>50</v>
      </c>
      <c r="Y403" s="49"/>
    </row>
    <row r="404" spans="20:25" x14ac:dyDescent="0.25">
      <c r="T404" s="49"/>
      <c r="U404" s="49"/>
      <c r="V404" s="49">
        <v>401</v>
      </c>
      <c r="W404" s="49">
        <f>((('Pump Design Summary'!$E$16-'Pump Design Summary'!$D$16)/1000)*V404)+'Pump Design Summary'!$D$16</f>
        <v>0</v>
      </c>
      <c r="X404" s="49">
        <f>IF(ISEVEN(V404),MAX('Pump Design Summary'!$D$29:$H$29)+50,0)</f>
        <v>0</v>
      </c>
      <c r="Y404" s="49"/>
    </row>
    <row r="405" spans="20:25" x14ac:dyDescent="0.25">
      <c r="T405" s="49"/>
      <c r="U405" s="49"/>
      <c r="V405" s="49">
        <v>402</v>
      </c>
      <c r="W405" s="49">
        <f>((('Pump Design Summary'!$E$16-'Pump Design Summary'!$D$16)/1000)*V405)+'Pump Design Summary'!$D$16</f>
        <v>0</v>
      </c>
      <c r="X405" s="49">
        <f>IF(ISEVEN(V405),MAX('Pump Design Summary'!$D$29:$H$29)+50,0)</f>
        <v>50</v>
      </c>
      <c r="Y405" s="49"/>
    </row>
    <row r="406" spans="20:25" x14ac:dyDescent="0.25">
      <c r="T406" s="49"/>
      <c r="U406" s="49"/>
      <c r="V406" s="49">
        <v>403</v>
      </c>
      <c r="W406" s="49">
        <f>((('Pump Design Summary'!$E$16-'Pump Design Summary'!$D$16)/1000)*V406)+'Pump Design Summary'!$D$16</f>
        <v>0</v>
      </c>
      <c r="X406" s="49">
        <f>IF(ISEVEN(V406),MAX('Pump Design Summary'!$D$29:$H$29)+50,0)</f>
        <v>0</v>
      </c>
      <c r="Y406" s="49"/>
    </row>
    <row r="407" spans="20:25" x14ac:dyDescent="0.25">
      <c r="T407" s="49"/>
      <c r="U407" s="49"/>
      <c r="V407" s="49">
        <v>404</v>
      </c>
      <c r="W407" s="49">
        <f>((('Pump Design Summary'!$E$16-'Pump Design Summary'!$D$16)/1000)*V407)+'Pump Design Summary'!$D$16</f>
        <v>0</v>
      </c>
      <c r="X407" s="49">
        <f>IF(ISEVEN(V407),MAX('Pump Design Summary'!$D$29:$H$29)+50,0)</f>
        <v>50</v>
      </c>
      <c r="Y407" s="49"/>
    </row>
    <row r="408" spans="20:25" x14ac:dyDescent="0.25">
      <c r="T408" s="49"/>
      <c r="U408" s="49"/>
      <c r="V408" s="49">
        <v>405</v>
      </c>
      <c r="W408" s="49">
        <f>((('Pump Design Summary'!$E$16-'Pump Design Summary'!$D$16)/1000)*V408)+'Pump Design Summary'!$D$16</f>
        <v>0</v>
      </c>
      <c r="X408" s="49">
        <f>IF(ISEVEN(V408),MAX('Pump Design Summary'!$D$29:$H$29)+50,0)</f>
        <v>0</v>
      </c>
      <c r="Y408" s="49"/>
    </row>
    <row r="409" spans="20:25" x14ac:dyDescent="0.25">
      <c r="T409" s="49"/>
      <c r="U409" s="49"/>
      <c r="V409" s="49">
        <v>406</v>
      </c>
      <c r="W409" s="49">
        <f>((('Pump Design Summary'!$E$16-'Pump Design Summary'!$D$16)/1000)*V409)+'Pump Design Summary'!$D$16</f>
        <v>0</v>
      </c>
      <c r="X409" s="49">
        <f>IF(ISEVEN(V409),MAX('Pump Design Summary'!$D$29:$H$29)+50,0)</f>
        <v>50</v>
      </c>
      <c r="Y409" s="49"/>
    </row>
    <row r="410" spans="20:25" x14ac:dyDescent="0.25">
      <c r="T410" s="49"/>
      <c r="U410" s="49"/>
      <c r="V410" s="49">
        <v>407</v>
      </c>
      <c r="W410" s="49">
        <f>((('Pump Design Summary'!$E$16-'Pump Design Summary'!$D$16)/1000)*V410)+'Pump Design Summary'!$D$16</f>
        <v>0</v>
      </c>
      <c r="X410" s="49">
        <f>IF(ISEVEN(V410),MAX('Pump Design Summary'!$D$29:$H$29)+50,0)</f>
        <v>0</v>
      </c>
      <c r="Y410" s="49"/>
    </row>
    <row r="411" spans="20:25" x14ac:dyDescent="0.25">
      <c r="T411" s="49"/>
      <c r="U411" s="49"/>
      <c r="V411" s="49">
        <v>408</v>
      </c>
      <c r="W411" s="49">
        <f>((('Pump Design Summary'!$E$16-'Pump Design Summary'!$D$16)/1000)*V411)+'Pump Design Summary'!$D$16</f>
        <v>0</v>
      </c>
      <c r="X411" s="49">
        <f>IF(ISEVEN(V411),MAX('Pump Design Summary'!$D$29:$H$29)+50,0)</f>
        <v>50</v>
      </c>
      <c r="Y411" s="49"/>
    </row>
    <row r="412" spans="20:25" x14ac:dyDescent="0.25">
      <c r="T412" s="49"/>
      <c r="U412" s="49"/>
      <c r="V412" s="49">
        <v>409</v>
      </c>
      <c r="W412" s="49">
        <f>((('Pump Design Summary'!$E$16-'Pump Design Summary'!$D$16)/1000)*V412)+'Pump Design Summary'!$D$16</f>
        <v>0</v>
      </c>
      <c r="X412" s="49">
        <f>IF(ISEVEN(V412),MAX('Pump Design Summary'!$D$29:$H$29)+50,0)</f>
        <v>0</v>
      </c>
      <c r="Y412" s="49"/>
    </row>
    <row r="413" spans="20:25" x14ac:dyDescent="0.25">
      <c r="T413" s="49"/>
      <c r="U413" s="49"/>
      <c r="V413" s="49">
        <v>410</v>
      </c>
      <c r="W413" s="49">
        <f>((('Pump Design Summary'!$E$16-'Pump Design Summary'!$D$16)/1000)*V413)+'Pump Design Summary'!$D$16</f>
        <v>0</v>
      </c>
      <c r="X413" s="49">
        <f>IF(ISEVEN(V413),MAX('Pump Design Summary'!$D$29:$H$29)+50,0)</f>
        <v>50</v>
      </c>
      <c r="Y413" s="49"/>
    </row>
    <row r="414" spans="20:25" x14ac:dyDescent="0.25">
      <c r="T414" s="49"/>
      <c r="U414" s="49"/>
      <c r="V414" s="49">
        <v>411</v>
      </c>
      <c r="W414" s="49">
        <f>((('Pump Design Summary'!$E$16-'Pump Design Summary'!$D$16)/1000)*V414)+'Pump Design Summary'!$D$16</f>
        <v>0</v>
      </c>
      <c r="X414" s="49">
        <f>IF(ISEVEN(V414),MAX('Pump Design Summary'!$D$29:$H$29)+50,0)</f>
        <v>0</v>
      </c>
      <c r="Y414" s="49"/>
    </row>
    <row r="415" spans="20:25" x14ac:dyDescent="0.25">
      <c r="T415" s="49"/>
      <c r="U415" s="49"/>
      <c r="V415" s="49">
        <v>412</v>
      </c>
      <c r="W415" s="49">
        <f>((('Pump Design Summary'!$E$16-'Pump Design Summary'!$D$16)/1000)*V415)+'Pump Design Summary'!$D$16</f>
        <v>0</v>
      </c>
      <c r="X415" s="49">
        <f>IF(ISEVEN(V415),MAX('Pump Design Summary'!$D$29:$H$29)+50,0)</f>
        <v>50</v>
      </c>
      <c r="Y415" s="49"/>
    </row>
    <row r="416" spans="20:25" x14ac:dyDescent="0.25">
      <c r="T416" s="49"/>
      <c r="U416" s="49"/>
      <c r="V416" s="49">
        <v>413</v>
      </c>
      <c r="W416" s="49">
        <f>((('Pump Design Summary'!$E$16-'Pump Design Summary'!$D$16)/1000)*V416)+'Pump Design Summary'!$D$16</f>
        <v>0</v>
      </c>
      <c r="X416" s="49">
        <f>IF(ISEVEN(V416),MAX('Pump Design Summary'!$D$29:$H$29)+50,0)</f>
        <v>0</v>
      </c>
      <c r="Y416" s="49"/>
    </row>
    <row r="417" spans="20:25" x14ac:dyDescent="0.25">
      <c r="T417" s="49"/>
      <c r="U417" s="49"/>
      <c r="V417" s="49">
        <v>414</v>
      </c>
      <c r="W417" s="49">
        <f>((('Pump Design Summary'!$E$16-'Pump Design Summary'!$D$16)/1000)*V417)+'Pump Design Summary'!$D$16</f>
        <v>0</v>
      </c>
      <c r="X417" s="49">
        <f>IF(ISEVEN(V417),MAX('Pump Design Summary'!$D$29:$H$29)+50,0)</f>
        <v>50</v>
      </c>
      <c r="Y417" s="49"/>
    </row>
    <row r="418" spans="20:25" x14ac:dyDescent="0.25">
      <c r="T418" s="49"/>
      <c r="U418" s="49"/>
      <c r="V418" s="49">
        <v>415</v>
      </c>
      <c r="W418" s="49">
        <f>((('Pump Design Summary'!$E$16-'Pump Design Summary'!$D$16)/1000)*V418)+'Pump Design Summary'!$D$16</f>
        <v>0</v>
      </c>
      <c r="X418" s="49">
        <f>IF(ISEVEN(V418),MAX('Pump Design Summary'!$D$29:$H$29)+50,0)</f>
        <v>0</v>
      </c>
      <c r="Y418" s="49"/>
    </row>
    <row r="419" spans="20:25" x14ac:dyDescent="0.25">
      <c r="T419" s="49"/>
      <c r="U419" s="49"/>
      <c r="V419" s="49">
        <v>416</v>
      </c>
      <c r="W419" s="49">
        <f>((('Pump Design Summary'!$E$16-'Pump Design Summary'!$D$16)/1000)*V419)+'Pump Design Summary'!$D$16</f>
        <v>0</v>
      </c>
      <c r="X419" s="49">
        <f>IF(ISEVEN(V419),MAX('Pump Design Summary'!$D$29:$H$29)+50,0)</f>
        <v>50</v>
      </c>
      <c r="Y419" s="49"/>
    </row>
    <row r="420" spans="20:25" x14ac:dyDescent="0.25">
      <c r="T420" s="49"/>
      <c r="U420" s="49"/>
      <c r="V420" s="49">
        <v>417</v>
      </c>
      <c r="W420" s="49">
        <f>((('Pump Design Summary'!$E$16-'Pump Design Summary'!$D$16)/1000)*V420)+'Pump Design Summary'!$D$16</f>
        <v>0</v>
      </c>
      <c r="X420" s="49">
        <f>IF(ISEVEN(V420),MAX('Pump Design Summary'!$D$29:$H$29)+50,0)</f>
        <v>0</v>
      </c>
      <c r="Y420" s="49"/>
    </row>
    <row r="421" spans="20:25" x14ac:dyDescent="0.25">
      <c r="T421" s="49"/>
      <c r="U421" s="49"/>
      <c r="V421" s="49">
        <v>418</v>
      </c>
      <c r="W421" s="49">
        <f>((('Pump Design Summary'!$E$16-'Pump Design Summary'!$D$16)/1000)*V421)+'Pump Design Summary'!$D$16</f>
        <v>0</v>
      </c>
      <c r="X421" s="49">
        <f>IF(ISEVEN(V421),MAX('Pump Design Summary'!$D$29:$H$29)+50,0)</f>
        <v>50</v>
      </c>
      <c r="Y421" s="49"/>
    </row>
    <row r="422" spans="20:25" x14ac:dyDescent="0.25">
      <c r="T422" s="49"/>
      <c r="U422" s="49"/>
      <c r="V422" s="49">
        <v>419</v>
      </c>
      <c r="W422" s="49">
        <f>((('Pump Design Summary'!$E$16-'Pump Design Summary'!$D$16)/1000)*V422)+'Pump Design Summary'!$D$16</f>
        <v>0</v>
      </c>
      <c r="X422" s="49">
        <f>IF(ISEVEN(V422),MAX('Pump Design Summary'!$D$29:$H$29)+50,0)</f>
        <v>0</v>
      </c>
      <c r="Y422" s="49"/>
    </row>
    <row r="423" spans="20:25" x14ac:dyDescent="0.25">
      <c r="T423" s="49"/>
      <c r="U423" s="49"/>
      <c r="V423" s="49">
        <v>420</v>
      </c>
      <c r="W423" s="49">
        <f>((('Pump Design Summary'!$E$16-'Pump Design Summary'!$D$16)/1000)*V423)+'Pump Design Summary'!$D$16</f>
        <v>0</v>
      </c>
      <c r="X423" s="49">
        <f>IF(ISEVEN(V423),MAX('Pump Design Summary'!$D$29:$H$29)+50,0)</f>
        <v>50</v>
      </c>
      <c r="Y423" s="49"/>
    </row>
    <row r="424" spans="20:25" x14ac:dyDescent="0.25">
      <c r="T424" s="49"/>
      <c r="U424" s="49"/>
      <c r="V424" s="49">
        <v>421</v>
      </c>
      <c r="W424" s="49">
        <f>((('Pump Design Summary'!$E$16-'Pump Design Summary'!$D$16)/1000)*V424)+'Pump Design Summary'!$D$16</f>
        <v>0</v>
      </c>
      <c r="X424" s="49">
        <f>IF(ISEVEN(V424),MAX('Pump Design Summary'!$D$29:$H$29)+50,0)</f>
        <v>0</v>
      </c>
      <c r="Y424" s="49"/>
    </row>
    <row r="425" spans="20:25" x14ac:dyDescent="0.25">
      <c r="T425" s="49"/>
      <c r="U425" s="49"/>
      <c r="V425" s="49">
        <v>422</v>
      </c>
      <c r="W425" s="49">
        <f>((('Pump Design Summary'!$E$16-'Pump Design Summary'!$D$16)/1000)*V425)+'Pump Design Summary'!$D$16</f>
        <v>0</v>
      </c>
      <c r="X425" s="49">
        <f>IF(ISEVEN(V425),MAX('Pump Design Summary'!$D$29:$H$29)+50,0)</f>
        <v>50</v>
      </c>
      <c r="Y425" s="49"/>
    </row>
    <row r="426" spans="20:25" x14ac:dyDescent="0.25">
      <c r="T426" s="49"/>
      <c r="U426" s="49"/>
      <c r="V426" s="49">
        <v>423</v>
      </c>
      <c r="W426" s="49">
        <f>((('Pump Design Summary'!$E$16-'Pump Design Summary'!$D$16)/1000)*V426)+'Pump Design Summary'!$D$16</f>
        <v>0</v>
      </c>
      <c r="X426" s="49">
        <f>IF(ISEVEN(V426),MAX('Pump Design Summary'!$D$29:$H$29)+50,0)</f>
        <v>0</v>
      </c>
      <c r="Y426" s="49"/>
    </row>
    <row r="427" spans="20:25" x14ac:dyDescent="0.25">
      <c r="T427" s="49"/>
      <c r="U427" s="49"/>
      <c r="V427" s="49">
        <v>424</v>
      </c>
      <c r="W427" s="49">
        <f>((('Pump Design Summary'!$E$16-'Pump Design Summary'!$D$16)/1000)*V427)+'Pump Design Summary'!$D$16</f>
        <v>0</v>
      </c>
      <c r="X427" s="49">
        <f>IF(ISEVEN(V427),MAX('Pump Design Summary'!$D$29:$H$29)+50,0)</f>
        <v>50</v>
      </c>
      <c r="Y427" s="49"/>
    </row>
    <row r="428" spans="20:25" x14ac:dyDescent="0.25">
      <c r="T428" s="49"/>
      <c r="U428" s="49"/>
      <c r="V428" s="49">
        <v>425</v>
      </c>
      <c r="W428" s="49">
        <f>((('Pump Design Summary'!$E$16-'Pump Design Summary'!$D$16)/1000)*V428)+'Pump Design Summary'!$D$16</f>
        <v>0</v>
      </c>
      <c r="X428" s="49">
        <f>IF(ISEVEN(V428),MAX('Pump Design Summary'!$D$29:$H$29)+50,0)</f>
        <v>0</v>
      </c>
      <c r="Y428" s="49"/>
    </row>
    <row r="429" spans="20:25" x14ac:dyDescent="0.25">
      <c r="T429" s="49"/>
      <c r="U429" s="49"/>
      <c r="V429" s="49">
        <v>426</v>
      </c>
      <c r="W429" s="49">
        <f>((('Pump Design Summary'!$E$16-'Pump Design Summary'!$D$16)/1000)*V429)+'Pump Design Summary'!$D$16</f>
        <v>0</v>
      </c>
      <c r="X429" s="49">
        <f>IF(ISEVEN(V429),MAX('Pump Design Summary'!$D$29:$H$29)+50,0)</f>
        <v>50</v>
      </c>
      <c r="Y429" s="49"/>
    </row>
    <row r="430" spans="20:25" x14ac:dyDescent="0.25">
      <c r="T430" s="49"/>
      <c r="U430" s="49"/>
      <c r="V430" s="49">
        <v>427</v>
      </c>
      <c r="W430" s="49">
        <f>((('Pump Design Summary'!$E$16-'Pump Design Summary'!$D$16)/1000)*V430)+'Pump Design Summary'!$D$16</f>
        <v>0</v>
      </c>
      <c r="X430" s="49">
        <f>IF(ISEVEN(V430),MAX('Pump Design Summary'!$D$29:$H$29)+50,0)</f>
        <v>0</v>
      </c>
      <c r="Y430" s="49"/>
    </row>
    <row r="431" spans="20:25" x14ac:dyDescent="0.25">
      <c r="T431" s="49"/>
      <c r="U431" s="49"/>
      <c r="V431" s="49">
        <v>428</v>
      </c>
      <c r="W431" s="49">
        <f>((('Pump Design Summary'!$E$16-'Pump Design Summary'!$D$16)/1000)*V431)+'Pump Design Summary'!$D$16</f>
        <v>0</v>
      </c>
      <c r="X431" s="49">
        <f>IF(ISEVEN(V431),MAX('Pump Design Summary'!$D$29:$H$29)+50,0)</f>
        <v>50</v>
      </c>
      <c r="Y431" s="49"/>
    </row>
    <row r="432" spans="20:25" x14ac:dyDescent="0.25">
      <c r="T432" s="49"/>
      <c r="U432" s="49"/>
      <c r="V432" s="49">
        <v>429</v>
      </c>
      <c r="W432" s="49">
        <f>((('Pump Design Summary'!$E$16-'Pump Design Summary'!$D$16)/1000)*V432)+'Pump Design Summary'!$D$16</f>
        <v>0</v>
      </c>
      <c r="X432" s="49">
        <f>IF(ISEVEN(V432),MAX('Pump Design Summary'!$D$29:$H$29)+50,0)</f>
        <v>0</v>
      </c>
      <c r="Y432" s="49"/>
    </row>
    <row r="433" spans="20:25" x14ac:dyDescent="0.25">
      <c r="T433" s="49"/>
      <c r="U433" s="49"/>
      <c r="V433" s="49">
        <v>430</v>
      </c>
      <c r="W433" s="49">
        <f>((('Pump Design Summary'!$E$16-'Pump Design Summary'!$D$16)/1000)*V433)+'Pump Design Summary'!$D$16</f>
        <v>0</v>
      </c>
      <c r="X433" s="49">
        <f>IF(ISEVEN(V433),MAX('Pump Design Summary'!$D$29:$H$29)+50,0)</f>
        <v>50</v>
      </c>
      <c r="Y433" s="49"/>
    </row>
    <row r="434" spans="20:25" x14ac:dyDescent="0.25">
      <c r="T434" s="49"/>
      <c r="U434" s="49"/>
      <c r="V434" s="49">
        <v>431</v>
      </c>
      <c r="W434" s="49">
        <f>((('Pump Design Summary'!$E$16-'Pump Design Summary'!$D$16)/1000)*V434)+'Pump Design Summary'!$D$16</f>
        <v>0</v>
      </c>
      <c r="X434" s="49">
        <f>IF(ISEVEN(V434),MAX('Pump Design Summary'!$D$29:$H$29)+50,0)</f>
        <v>0</v>
      </c>
      <c r="Y434" s="49"/>
    </row>
    <row r="435" spans="20:25" x14ac:dyDescent="0.25">
      <c r="T435" s="49"/>
      <c r="U435" s="49"/>
      <c r="V435" s="49">
        <v>432</v>
      </c>
      <c r="W435" s="49">
        <f>((('Pump Design Summary'!$E$16-'Pump Design Summary'!$D$16)/1000)*V435)+'Pump Design Summary'!$D$16</f>
        <v>0</v>
      </c>
      <c r="X435" s="49">
        <f>IF(ISEVEN(V435),MAX('Pump Design Summary'!$D$29:$H$29)+50,0)</f>
        <v>50</v>
      </c>
      <c r="Y435" s="49"/>
    </row>
    <row r="436" spans="20:25" x14ac:dyDescent="0.25">
      <c r="T436" s="49"/>
      <c r="U436" s="49"/>
      <c r="V436" s="49">
        <v>433</v>
      </c>
      <c r="W436" s="49">
        <f>((('Pump Design Summary'!$E$16-'Pump Design Summary'!$D$16)/1000)*V436)+'Pump Design Summary'!$D$16</f>
        <v>0</v>
      </c>
      <c r="X436" s="49">
        <f>IF(ISEVEN(V436),MAX('Pump Design Summary'!$D$29:$H$29)+50,0)</f>
        <v>0</v>
      </c>
      <c r="Y436" s="49"/>
    </row>
    <row r="437" spans="20:25" x14ac:dyDescent="0.25">
      <c r="T437" s="49"/>
      <c r="U437" s="49"/>
      <c r="V437" s="49">
        <v>434</v>
      </c>
      <c r="W437" s="49">
        <f>((('Pump Design Summary'!$E$16-'Pump Design Summary'!$D$16)/1000)*V437)+'Pump Design Summary'!$D$16</f>
        <v>0</v>
      </c>
      <c r="X437" s="49">
        <f>IF(ISEVEN(V437),MAX('Pump Design Summary'!$D$29:$H$29)+50,0)</f>
        <v>50</v>
      </c>
      <c r="Y437" s="49"/>
    </row>
    <row r="438" spans="20:25" x14ac:dyDescent="0.25">
      <c r="T438" s="49"/>
      <c r="U438" s="49"/>
      <c r="V438" s="49">
        <v>435</v>
      </c>
      <c r="W438" s="49">
        <f>((('Pump Design Summary'!$E$16-'Pump Design Summary'!$D$16)/1000)*V438)+'Pump Design Summary'!$D$16</f>
        <v>0</v>
      </c>
      <c r="X438" s="49">
        <f>IF(ISEVEN(V438),MAX('Pump Design Summary'!$D$29:$H$29)+50,0)</f>
        <v>0</v>
      </c>
      <c r="Y438" s="49"/>
    </row>
    <row r="439" spans="20:25" x14ac:dyDescent="0.25">
      <c r="T439" s="49"/>
      <c r="U439" s="49"/>
      <c r="V439" s="49">
        <v>436</v>
      </c>
      <c r="W439" s="49">
        <f>((('Pump Design Summary'!$E$16-'Pump Design Summary'!$D$16)/1000)*V439)+'Pump Design Summary'!$D$16</f>
        <v>0</v>
      </c>
      <c r="X439" s="49">
        <f>IF(ISEVEN(V439),MAX('Pump Design Summary'!$D$29:$H$29)+50,0)</f>
        <v>50</v>
      </c>
      <c r="Y439" s="49"/>
    </row>
    <row r="440" spans="20:25" x14ac:dyDescent="0.25">
      <c r="T440" s="49"/>
      <c r="U440" s="49"/>
      <c r="V440" s="49">
        <v>437</v>
      </c>
      <c r="W440" s="49">
        <f>((('Pump Design Summary'!$E$16-'Pump Design Summary'!$D$16)/1000)*V440)+'Pump Design Summary'!$D$16</f>
        <v>0</v>
      </c>
      <c r="X440" s="49">
        <f>IF(ISEVEN(V440),MAX('Pump Design Summary'!$D$29:$H$29)+50,0)</f>
        <v>0</v>
      </c>
      <c r="Y440" s="49"/>
    </row>
    <row r="441" spans="20:25" x14ac:dyDescent="0.25">
      <c r="T441" s="49"/>
      <c r="U441" s="49"/>
      <c r="V441" s="49">
        <v>438</v>
      </c>
      <c r="W441" s="49">
        <f>((('Pump Design Summary'!$E$16-'Pump Design Summary'!$D$16)/1000)*V441)+'Pump Design Summary'!$D$16</f>
        <v>0</v>
      </c>
      <c r="X441" s="49">
        <f>IF(ISEVEN(V441),MAX('Pump Design Summary'!$D$29:$H$29)+50,0)</f>
        <v>50</v>
      </c>
      <c r="Y441" s="49"/>
    </row>
    <row r="442" spans="20:25" x14ac:dyDescent="0.25">
      <c r="T442" s="49"/>
      <c r="U442" s="49"/>
      <c r="V442" s="49">
        <v>439</v>
      </c>
      <c r="W442" s="49">
        <f>((('Pump Design Summary'!$E$16-'Pump Design Summary'!$D$16)/1000)*V442)+'Pump Design Summary'!$D$16</f>
        <v>0</v>
      </c>
      <c r="X442" s="49">
        <f>IF(ISEVEN(V442),MAX('Pump Design Summary'!$D$29:$H$29)+50,0)</f>
        <v>0</v>
      </c>
      <c r="Y442" s="49"/>
    </row>
    <row r="443" spans="20:25" x14ac:dyDescent="0.25">
      <c r="T443" s="49"/>
      <c r="U443" s="49"/>
      <c r="V443" s="49">
        <v>440</v>
      </c>
      <c r="W443" s="49">
        <f>((('Pump Design Summary'!$E$16-'Pump Design Summary'!$D$16)/1000)*V443)+'Pump Design Summary'!$D$16</f>
        <v>0</v>
      </c>
      <c r="X443" s="49">
        <f>IF(ISEVEN(V443),MAX('Pump Design Summary'!$D$29:$H$29)+50,0)</f>
        <v>50</v>
      </c>
      <c r="Y443" s="49"/>
    </row>
    <row r="444" spans="20:25" x14ac:dyDescent="0.25">
      <c r="T444" s="49"/>
      <c r="U444" s="49"/>
      <c r="V444" s="49">
        <v>441</v>
      </c>
      <c r="W444" s="49">
        <f>((('Pump Design Summary'!$E$16-'Pump Design Summary'!$D$16)/1000)*V444)+'Pump Design Summary'!$D$16</f>
        <v>0</v>
      </c>
      <c r="X444" s="49">
        <f>IF(ISEVEN(V444),MAX('Pump Design Summary'!$D$29:$H$29)+50,0)</f>
        <v>0</v>
      </c>
      <c r="Y444" s="49"/>
    </row>
    <row r="445" spans="20:25" x14ac:dyDescent="0.25">
      <c r="T445" s="49"/>
      <c r="U445" s="49"/>
      <c r="V445" s="49">
        <v>442</v>
      </c>
      <c r="W445" s="49">
        <f>((('Pump Design Summary'!$E$16-'Pump Design Summary'!$D$16)/1000)*V445)+'Pump Design Summary'!$D$16</f>
        <v>0</v>
      </c>
      <c r="X445" s="49">
        <f>IF(ISEVEN(V445),MAX('Pump Design Summary'!$D$29:$H$29)+50,0)</f>
        <v>50</v>
      </c>
      <c r="Y445" s="49"/>
    </row>
    <row r="446" spans="20:25" x14ac:dyDescent="0.25">
      <c r="T446" s="49"/>
      <c r="U446" s="49"/>
      <c r="V446" s="49">
        <v>443</v>
      </c>
      <c r="W446" s="49">
        <f>((('Pump Design Summary'!$E$16-'Pump Design Summary'!$D$16)/1000)*V446)+'Pump Design Summary'!$D$16</f>
        <v>0</v>
      </c>
      <c r="X446" s="49">
        <f>IF(ISEVEN(V446),MAX('Pump Design Summary'!$D$29:$H$29)+50,0)</f>
        <v>0</v>
      </c>
      <c r="Y446" s="49"/>
    </row>
    <row r="447" spans="20:25" x14ac:dyDescent="0.25">
      <c r="T447" s="49"/>
      <c r="U447" s="49"/>
      <c r="V447" s="49">
        <v>444</v>
      </c>
      <c r="W447" s="49">
        <f>((('Pump Design Summary'!$E$16-'Pump Design Summary'!$D$16)/1000)*V447)+'Pump Design Summary'!$D$16</f>
        <v>0</v>
      </c>
      <c r="X447" s="49">
        <f>IF(ISEVEN(V447),MAX('Pump Design Summary'!$D$29:$H$29)+50,0)</f>
        <v>50</v>
      </c>
      <c r="Y447" s="49"/>
    </row>
    <row r="448" spans="20:25" x14ac:dyDescent="0.25">
      <c r="T448" s="49"/>
      <c r="U448" s="49"/>
      <c r="V448" s="49">
        <v>445</v>
      </c>
      <c r="W448" s="49">
        <f>((('Pump Design Summary'!$E$16-'Pump Design Summary'!$D$16)/1000)*V448)+'Pump Design Summary'!$D$16</f>
        <v>0</v>
      </c>
      <c r="X448" s="49">
        <f>IF(ISEVEN(V448),MAX('Pump Design Summary'!$D$29:$H$29)+50,0)</f>
        <v>0</v>
      </c>
      <c r="Y448" s="49"/>
    </row>
    <row r="449" spans="20:25" x14ac:dyDescent="0.25">
      <c r="T449" s="49"/>
      <c r="U449" s="49"/>
      <c r="V449" s="49">
        <v>446</v>
      </c>
      <c r="W449" s="49">
        <f>((('Pump Design Summary'!$E$16-'Pump Design Summary'!$D$16)/1000)*V449)+'Pump Design Summary'!$D$16</f>
        <v>0</v>
      </c>
      <c r="X449" s="49">
        <f>IF(ISEVEN(V449),MAX('Pump Design Summary'!$D$29:$H$29)+50,0)</f>
        <v>50</v>
      </c>
      <c r="Y449" s="49"/>
    </row>
    <row r="450" spans="20:25" x14ac:dyDescent="0.25">
      <c r="T450" s="49"/>
      <c r="U450" s="49"/>
      <c r="V450" s="49">
        <v>447</v>
      </c>
      <c r="W450" s="49">
        <f>((('Pump Design Summary'!$E$16-'Pump Design Summary'!$D$16)/1000)*V450)+'Pump Design Summary'!$D$16</f>
        <v>0</v>
      </c>
      <c r="X450" s="49">
        <f>IF(ISEVEN(V450),MAX('Pump Design Summary'!$D$29:$H$29)+50,0)</f>
        <v>0</v>
      </c>
      <c r="Y450" s="49"/>
    </row>
    <row r="451" spans="20:25" x14ac:dyDescent="0.25">
      <c r="T451" s="49"/>
      <c r="U451" s="49"/>
      <c r="V451" s="49">
        <v>448</v>
      </c>
      <c r="W451" s="49">
        <f>((('Pump Design Summary'!$E$16-'Pump Design Summary'!$D$16)/1000)*V451)+'Pump Design Summary'!$D$16</f>
        <v>0</v>
      </c>
      <c r="X451" s="49">
        <f>IF(ISEVEN(V451),MAX('Pump Design Summary'!$D$29:$H$29)+50,0)</f>
        <v>50</v>
      </c>
      <c r="Y451" s="49"/>
    </row>
    <row r="452" spans="20:25" x14ac:dyDescent="0.25">
      <c r="T452" s="49"/>
      <c r="U452" s="49"/>
      <c r="V452" s="49">
        <v>449</v>
      </c>
      <c r="W452" s="49">
        <f>((('Pump Design Summary'!$E$16-'Pump Design Summary'!$D$16)/1000)*V452)+'Pump Design Summary'!$D$16</f>
        <v>0</v>
      </c>
      <c r="X452" s="49">
        <f>IF(ISEVEN(V452),MAX('Pump Design Summary'!$D$29:$H$29)+50,0)</f>
        <v>0</v>
      </c>
      <c r="Y452" s="49"/>
    </row>
    <row r="453" spans="20:25" x14ac:dyDescent="0.25">
      <c r="T453" s="49"/>
      <c r="U453" s="49"/>
      <c r="V453" s="49">
        <v>450</v>
      </c>
      <c r="W453" s="49">
        <f>((('Pump Design Summary'!$E$16-'Pump Design Summary'!$D$16)/1000)*V453)+'Pump Design Summary'!$D$16</f>
        <v>0</v>
      </c>
      <c r="X453" s="49">
        <f>IF(ISEVEN(V453),MAX('Pump Design Summary'!$D$29:$H$29)+50,0)</f>
        <v>50</v>
      </c>
      <c r="Y453" s="49"/>
    </row>
    <row r="454" spans="20:25" x14ac:dyDescent="0.25">
      <c r="T454" s="49"/>
      <c r="U454" s="49"/>
      <c r="V454" s="49">
        <v>451</v>
      </c>
      <c r="W454" s="49">
        <f>((('Pump Design Summary'!$E$16-'Pump Design Summary'!$D$16)/1000)*V454)+'Pump Design Summary'!$D$16</f>
        <v>0</v>
      </c>
      <c r="X454" s="49">
        <f>IF(ISEVEN(V454),MAX('Pump Design Summary'!$D$29:$H$29)+50,0)</f>
        <v>0</v>
      </c>
      <c r="Y454" s="49"/>
    </row>
    <row r="455" spans="20:25" x14ac:dyDescent="0.25">
      <c r="T455" s="49"/>
      <c r="U455" s="49"/>
      <c r="V455" s="49">
        <v>452</v>
      </c>
      <c r="W455" s="49">
        <f>((('Pump Design Summary'!$E$16-'Pump Design Summary'!$D$16)/1000)*V455)+'Pump Design Summary'!$D$16</f>
        <v>0</v>
      </c>
      <c r="X455" s="49">
        <f>IF(ISEVEN(V455),MAX('Pump Design Summary'!$D$29:$H$29)+50,0)</f>
        <v>50</v>
      </c>
      <c r="Y455" s="49"/>
    </row>
    <row r="456" spans="20:25" x14ac:dyDescent="0.25">
      <c r="T456" s="49"/>
      <c r="U456" s="49"/>
      <c r="V456" s="49">
        <v>453</v>
      </c>
      <c r="W456" s="49">
        <f>((('Pump Design Summary'!$E$16-'Pump Design Summary'!$D$16)/1000)*V456)+'Pump Design Summary'!$D$16</f>
        <v>0</v>
      </c>
      <c r="X456" s="49">
        <f>IF(ISEVEN(V456),MAX('Pump Design Summary'!$D$29:$H$29)+50,0)</f>
        <v>0</v>
      </c>
      <c r="Y456" s="49"/>
    </row>
    <row r="457" spans="20:25" x14ac:dyDescent="0.25">
      <c r="T457" s="49"/>
      <c r="U457" s="49"/>
      <c r="V457" s="49">
        <v>454</v>
      </c>
      <c r="W457" s="49">
        <f>((('Pump Design Summary'!$E$16-'Pump Design Summary'!$D$16)/1000)*V457)+'Pump Design Summary'!$D$16</f>
        <v>0</v>
      </c>
      <c r="X457" s="49">
        <f>IF(ISEVEN(V457),MAX('Pump Design Summary'!$D$29:$H$29)+50,0)</f>
        <v>50</v>
      </c>
      <c r="Y457" s="49"/>
    </row>
    <row r="458" spans="20:25" x14ac:dyDescent="0.25">
      <c r="T458" s="49"/>
      <c r="U458" s="49"/>
      <c r="V458" s="49">
        <v>455</v>
      </c>
      <c r="W458" s="49">
        <f>((('Pump Design Summary'!$E$16-'Pump Design Summary'!$D$16)/1000)*V458)+'Pump Design Summary'!$D$16</f>
        <v>0</v>
      </c>
      <c r="X458" s="49">
        <f>IF(ISEVEN(V458),MAX('Pump Design Summary'!$D$29:$H$29)+50,0)</f>
        <v>0</v>
      </c>
      <c r="Y458" s="49"/>
    </row>
    <row r="459" spans="20:25" x14ac:dyDescent="0.25">
      <c r="T459" s="49"/>
      <c r="U459" s="49"/>
      <c r="V459" s="49">
        <v>456</v>
      </c>
      <c r="W459" s="49">
        <f>((('Pump Design Summary'!$E$16-'Pump Design Summary'!$D$16)/1000)*V459)+'Pump Design Summary'!$D$16</f>
        <v>0</v>
      </c>
      <c r="X459" s="49">
        <f>IF(ISEVEN(V459),MAX('Pump Design Summary'!$D$29:$H$29)+50,0)</f>
        <v>50</v>
      </c>
      <c r="Y459" s="49"/>
    </row>
    <row r="460" spans="20:25" x14ac:dyDescent="0.25">
      <c r="T460" s="49"/>
      <c r="U460" s="49"/>
      <c r="V460" s="49">
        <v>457</v>
      </c>
      <c r="W460" s="49">
        <f>((('Pump Design Summary'!$E$16-'Pump Design Summary'!$D$16)/1000)*V460)+'Pump Design Summary'!$D$16</f>
        <v>0</v>
      </c>
      <c r="X460" s="49">
        <f>IF(ISEVEN(V460),MAX('Pump Design Summary'!$D$29:$H$29)+50,0)</f>
        <v>0</v>
      </c>
      <c r="Y460" s="49"/>
    </row>
    <row r="461" spans="20:25" x14ac:dyDescent="0.25">
      <c r="T461" s="49"/>
      <c r="U461" s="49"/>
      <c r="V461" s="49">
        <v>458</v>
      </c>
      <c r="W461" s="49">
        <f>((('Pump Design Summary'!$E$16-'Pump Design Summary'!$D$16)/1000)*V461)+'Pump Design Summary'!$D$16</f>
        <v>0</v>
      </c>
      <c r="X461" s="49">
        <f>IF(ISEVEN(V461),MAX('Pump Design Summary'!$D$29:$H$29)+50,0)</f>
        <v>50</v>
      </c>
      <c r="Y461" s="49"/>
    </row>
    <row r="462" spans="20:25" x14ac:dyDescent="0.25">
      <c r="T462" s="49"/>
      <c r="U462" s="49"/>
      <c r="V462" s="49">
        <v>459</v>
      </c>
      <c r="W462" s="49">
        <f>((('Pump Design Summary'!$E$16-'Pump Design Summary'!$D$16)/1000)*V462)+'Pump Design Summary'!$D$16</f>
        <v>0</v>
      </c>
      <c r="X462" s="49">
        <f>IF(ISEVEN(V462),MAX('Pump Design Summary'!$D$29:$H$29)+50,0)</f>
        <v>0</v>
      </c>
      <c r="Y462" s="49"/>
    </row>
    <row r="463" spans="20:25" x14ac:dyDescent="0.25">
      <c r="T463" s="49"/>
      <c r="U463" s="49"/>
      <c r="V463" s="49">
        <v>460</v>
      </c>
      <c r="W463" s="49">
        <f>((('Pump Design Summary'!$E$16-'Pump Design Summary'!$D$16)/1000)*V463)+'Pump Design Summary'!$D$16</f>
        <v>0</v>
      </c>
      <c r="X463" s="49">
        <f>IF(ISEVEN(V463),MAX('Pump Design Summary'!$D$29:$H$29)+50,0)</f>
        <v>50</v>
      </c>
      <c r="Y463" s="49"/>
    </row>
    <row r="464" spans="20:25" x14ac:dyDescent="0.25">
      <c r="T464" s="49"/>
      <c r="U464" s="49"/>
      <c r="V464" s="49">
        <v>461</v>
      </c>
      <c r="W464" s="49">
        <f>((('Pump Design Summary'!$E$16-'Pump Design Summary'!$D$16)/1000)*V464)+'Pump Design Summary'!$D$16</f>
        <v>0</v>
      </c>
      <c r="X464" s="49">
        <f>IF(ISEVEN(V464),MAX('Pump Design Summary'!$D$29:$H$29)+50,0)</f>
        <v>0</v>
      </c>
      <c r="Y464" s="49"/>
    </row>
    <row r="465" spans="20:25" x14ac:dyDescent="0.25">
      <c r="T465" s="49"/>
      <c r="U465" s="49"/>
      <c r="V465" s="49">
        <v>462</v>
      </c>
      <c r="W465" s="49">
        <f>((('Pump Design Summary'!$E$16-'Pump Design Summary'!$D$16)/1000)*V465)+'Pump Design Summary'!$D$16</f>
        <v>0</v>
      </c>
      <c r="X465" s="49">
        <f>IF(ISEVEN(V465),MAX('Pump Design Summary'!$D$29:$H$29)+50,0)</f>
        <v>50</v>
      </c>
      <c r="Y465" s="49"/>
    </row>
    <row r="466" spans="20:25" x14ac:dyDescent="0.25">
      <c r="T466" s="49"/>
      <c r="U466" s="49"/>
      <c r="V466" s="49">
        <v>463</v>
      </c>
      <c r="W466" s="49">
        <f>((('Pump Design Summary'!$E$16-'Pump Design Summary'!$D$16)/1000)*V466)+'Pump Design Summary'!$D$16</f>
        <v>0</v>
      </c>
      <c r="X466" s="49">
        <f>IF(ISEVEN(V466),MAX('Pump Design Summary'!$D$29:$H$29)+50,0)</f>
        <v>0</v>
      </c>
      <c r="Y466" s="49"/>
    </row>
    <row r="467" spans="20:25" x14ac:dyDescent="0.25">
      <c r="T467" s="49"/>
      <c r="U467" s="49"/>
      <c r="V467" s="49">
        <v>464</v>
      </c>
      <c r="W467" s="49">
        <f>((('Pump Design Summary'!$E$16-'Pump Design Summary'!$D$16)/1000)*V467)+'Pump Design Summary'!$D$16</f>
        <v>0</v>
      </c>
      <c r="X467" s="49">
        <f>IF(ISEVEN(V467),MAX('Pump Design Summary'!$D$29:$H$29)+50,0)</f>
        <v>50</v>
      </c>
      <c r="Y467" s="49"/>
    </row>
    <row r="468" spans="20:25" x14ac:dyDescent="0.25">
      <c r="T468" s="49"/>
      <c r="U468" s="49"/>
      <c r="V468" s="49">
        <v>465</v>
      </c>
      <c r="W468" s="49">
        <f>((('Pump Design Summary'!$E$16-'Pump Design Summary'!$D$16)/1000)*V468)+'Pump Design Summary'!$D$16</f>
        <v>0</v>
      </c>
      <c r="X468" s="49">
        <f>IF(ISEVEN(V468),MAX('Pump Design Summary'!$D$29:$H$29)+50,0)</f>
        <v>0</v>
      </c>
      <c r="Y468" s="49"/>
    </row>
    <row r="469" spans="20:25" x14ac:dyDescent="0.25">
      <c r="T469" s="49"/>
      <c r="U469" s="49"/>
      <c r="V469" s="49">
        <v>466</v>
      </c>
      <c r="W469" s="49">
        <f>((('Pump Design Summary'!$E$16-'Pump Design Summary'!$D$16)/1000)*V469)+'Pump Design Summary'!$D$16</f>
        <v>0</v>
      </c>
      <c r="X469" s="49">
        <f>IF(ISEVEN(V469),MAX('Pump Design Summary'!$D$29:$H$29)+50,0)</f>
        <v>50</v>
      </c>
      <c r="Y469" s="49"/>
    </row>
    <row r="470" spans="20:25" x14ac:dyDescent="0.25">
      <c r="T470" s="49"/>
      <c r="U470" s="49"/>
      <c r="V470" s="49">
        <v>467</v>
      </c>
      <c r="W470" s="49">
        <f>((('Pump Design Summary'!$E$16-'Pump Design Summary'!$D$16)/1000)*V470)+'Pump Design Summary'!$D$16</f>
        <v>0</v>
      </c>
      <c r="X470" s="49">
        <f>IF(ISEVEN(V470),MAX('Pump Design Summary'!$D$29:$H$29)+50,0)</f>
        <v>0</v>
      </c>
      <c r="Y470" s="49"/>
    </row>
    <row r="471" spans="20:25" x14ac:dyDescent="0.25">
      <c r="T471" s="49"/>
      <c r="U471" s="49"/>
      <c r="V471" s="49">
        <v>468</v>
      </c>
      <c r="W471" s="49">
        <f>((('Pump Design Summary'!$E$16-'Pump Design Summary'!$D$16)/1000)*V471)+'Pump Design Summary'!$D$16</f>
        <v>0</v>
      </c>
      <c r="X471" s="49">
        <f>IF(ISEVEN(V471),MAX('Pump Design Summary'!$D$29:$H$29)+50,0)</f>
        <v>50</v>
      </c>
      <c r="Y471" s="49"/>
    </row>
    <row r="472" spans="20:25" x14ac:dyDescent="0.25">
      <c r="T472" s="49"/>
      <c r="U472" s="49"/>
      <c r="V472" s="49">
        <v>469</v>
      </c>
      <c r="W472" s="49">
        <f>((('Pump Design Summary'!$E$16-'Pump Design Summary'!$D$16)/1000)*V472)+'Pump Design Summary'!$D$16</f>
        <v>0</v>
      </c>
      <c r="X472" s="49">
        <f>IF(ISEVEN(V472),MAX('Pump Design Summary'!$D$29:$H$29)+50,0)</f>
        <v>0</v>
      </c>
      <c r="Y472" s="49"/>
    </row>
    <row r="473" spans="20:25" x14ac:dyDescent="0.25">
      <c r="T473" s="49"/>
      <c r="U473" s="49"/>
      <c r="V473" s="49">
        <v>470</v>
      </c>
      <c r="W473" s="49">
        <f>((('Pump Design Summary'!$E$16-'Pump Design Summary'!$D$16)/1000)*V473)+'Pump Design Summary'!$D$16</f>
        <v>0</v>
      </c>
      <c r="X473" s="49">
        <f>IF(ISEVEN(V473),MAX('Pump Design Summary'!$D$29:$H$29)+50,0)</f>
        <v>50</v>
      </c>
      <c r="Y473" s="49"/>
    </row>
    <row r="474" spans="20:25" x14ac:dyDescent="0.25">
      <c r="T474" s="49"/>
      <c r="U474" s="49"/>
      <c r="V474" s="49">
        <v>471</v>
      </c>
      <c r="W474" s="49">
        <f>((('Pump Design Summary'!$E$16-'Pump Design Summary'!$D$16)/1000)*V474)+'Pump Design Summary'!$D$16</f>
        <v>0</v>
      </c>
      <c r="X474" s="49">
        <f>IF(ISEVEN(V474),MAX('Pump Design Summary'!$D$29:$H$29)+50,0)</f>
        <v>0</v>
      </c>
      <c r="Y474" s="49"/>
    </row>
    <row r="475" spans="20:25" x14ac:dyDescent="0.25">
      <c r="T475" s="49"/>
      <c r="U475" s="49"/>
      <c r="V475" s="49">
        <v>472</v>
      </c>
      <c r="W475" s="49">
        <f>((('Pump Design Summary'!$E$16-'Pump Design Summary'!$D$16)/1000)*V475)+'Pump Design Summary'!$D$16</f>
        <v>0</v>
      </c>
      <c r="X475" s="49">
        <f>IF(ISEVEN(V475),MAX('Pump Design Summary'!$D$29:$H$29)+50,0)</f>
        <v>50</v>
      </c>
      <c r="Y475" s="49"/>
    </row>
    <row r="476" spans="20:25" x14ac:dyDescent="0.25">
      <c r="T476" s="49"/>
      <c r="U476" s="49"/>
      <c r="V476" s="49">
        <v>473</v>
      </c>
      <c r="W476" s="49">
        <f>((('Pump Design Summary'!$E$16-'Pump Design Summary'!$D$16)/1000)*V476)+'Pump Design Summary'!$D$16</f>
        <v>0</v>
      </c>
      <c r="X476" s="49">
        <f>IF(ISEVEN(V476),MAX('Pump Design Summary'!$D$29:$H$29)+50,0)</f>
        <v>0</v>
      </c>
      <c r="Y476" s="49"/>
    </row>
    <row r="477" spans="20:25" x14ac:dyDescent="0.25">
      <c r="T477" s="49"/>
      <c r="U477" s="49"/>
      <c r="V477" s="49">
        <v>474</v>
      </c>
      <c r="W477" s="49">
        <f>((('Pump Design Summary'!$E$16-'Pump Design Summary'!$D$16)/1000)*V477)+'Pump Design Summary'!$D$16</f>
        <v>0</v>
      </c>
      <c r="X477" s="49">
        <f>IF(ISEVEN(V477),MAX('Pump Design Summary'!$D$29:$H$29)+50,0)</f>
        <v>50</v>
      </c>
      <c r="Y477" s="49"/>
    </row>
    <row r="478" spans="20:25" x14ac:dyDescent="0.25">
      <c r="T478" s="49"/>
      <c r="U478" s="49"/>
      <c r="V478" s="49">
        <v>475</v>
      </c>
      <c r="W478" s="49">
        <f>((('Pump Design Summary'!$E$16-'Pump Design Summary'!$D$16)/1000)*V478)+'Pump Design Summary'!$D$16</f>
        <v>0</v>
      </c>
      <c r="X478" s="49">
        <f>IF(ISEVEN(V478),MAX('Pump Design Summary'!$D$29:$H$29)+50,0)</f>
        <v>0</v>
      </c>
      <c r="Y478" s="49"/>
    </row>
    <row r="479" spans="20:25" x14ac:dyDescent="0.25">
      <c r="T479" s="49"/>
      <c r="U479" s="49"/>
      <c r="V479" s="49">
        <v>476</v>
      </c>
      <c r="W479" s="49">
        <f>((('Pump Design Summary'!$E$16-'Pump Design Summary'!$D$16)/1000)*V479)+'Pump Design Summary'!$D$16</f>
        <v>0</v>
      </c>
      <c r="X479" s="49">
        <f>IF(ISEVEN(V479),MAX('Pump Design Summary'!$D$29:$H$29)+50,0)</f>
        <v>50</v>
      </c>
      <c r="Y479" s="49"/>
    </row>
    <row r="480" spans="20:25" x14ac:dyDescent="0.25">
      <c r="T480" s="49"/>
      <c r="U480" s="49"/>
      <c r="V480" s="49">
        <v>477</v>
      </c>
      <c r="W480" s="49">
        <f>((('Pump Design Summary'!$E$16-'Pump Design Summary'!$D$16)/1000)*V480)+'Pump Design Summary'!$D$16</f>
        <v>0</v>
      </c>
      <c r="X480" s="49">
        <f>IF(ISEVEN(V480),MAX('Pump Design Summary'!$D$29:$H$29)+50,0)</f>
        <v>0</v>
      </c>
      <c r="Y480" s="49"/>
    </row>
    <row r="481" spans="20:25" x14ac:dyDescent="0.25">
      <c r="T481" s="49"/>
      <c r="U481" s="49"/>
      <c r="V481" s="49">
        <v>478</v>
      </c>
      <c r="W481" s="49">
        <f>((('Pump Design Summary'!$E$16-'Pump Design Summary'!$D$16)/1000)*V481)+'Pump Design Summary'!$D$16</f>
        <v>0</v>
      </c>
      <c r="X481" s="49">
        <f>IF(ISEVEN(V481),MAX('Pump Design Summary'!$D$29:$H$29)+50,0)</f>
        <v>50</v>
      </c>
      <c r="Y481" s="49"/>
    </row>
    <row r="482" spans="20:25" x14ac:dyDescent="0.25">
      <c r="T482" s="49"/>
      <c r="U482" s="49"/>
      <c r="V482" s="49">
        <v>479</v>
      </c>
      <c r="W482" s="49">
        <f>((('Pump Design Summary'!$E$16-'Pump Design Summary'!$D$16)/1000)*V482)+'Pump Design Summary'!$D$16</f>
        <v>0</v>
      </c>
      <c r="X482" s="49">
        <f>IF(ISEVEN(V482),MAX('Pump Design Summary'!$D$29:$H$29)+50,0)</f>
        <v>0</v>
      </c>
      <c r="Y482" s="49"/>
    </row>
    <row r="483" spans="20:25" x14ac:dyDescent="0.25">
      <c r="T483" s="49"/>
      <c r="U483" s="49"/>
      <c r="V483" s="49">
        <v>480</v>
      </c>
      <c r="W483" s="49">
        <f>((('Pump Design Summary'!$E$16-'Pump Design Summary'!$D$16)/1000)*V483)+'Pump Design Summary'!$D$16</f>
        <v>0</v>
      </c>
      <c r="X483" s="49">
        <f>IF(ISEVEN(V483),MAX('Pump Design Summary'!$D$29:$H$29)+50,0)</f>
        <v>50</v>
      </c>
      <c r="Y483" s="49"/>
    </row>
    <row r="484" spans="20:25" x14ac:dyDescent="0.25">
      <c r="T484" s="49"/>
      <c r="U484" s="49"/>
      <c r="V484" s="49">
        <v>481</v>
      </c>
      <c r="W484" s="49">
        <f>((('Pump Design Summary'!$E$16-'Pump Design Summary'!$D$16)/1000)*V484)+'Pump Design Summary'!$D$16</f>
        <v>0</v>
      </c>
      <c r="X484" s="49">
        <f>IF(ISEVEN(V484),MAX('Pump Design Summary'!$D$29:$H$29)+50,0)</f>
        <v>0</v>
      </c>
      <c r="Y484" s="49"/>
    </row>
    <row r="485" spans="20:25" x14ac:dyDescent="0.25">
      <c r="T485" s="49"/>
      <c r="U485" s="49"/>
      <c r="V485" s="49">
        <v>482</v>
      </c>
      <c r="W485" s="49">
        <f>((('Pump Design Summary'!$E$16-'Pump Design Summary'!$D$16)/1000)*V485)+'Pump Design Summary'!$D$16</f>
        <v>0</v>
      </c>
      <c r="X485" s="49">
        <f>IF(ISEVEN(V485),MAX('Pump Design Summary'!$D$29:$H$29)+50,0)</f>
        <v>50</v>
      </c>
      <c r="Y485" s="49"/>
    </row>
    <row r="486" spans="20:25" x14ac:dyDescent="0.25">
      <c r="T486" s="49"/>
      <c r="U486" s="49"/>
      <c r="V486" s="49">
        <v>483</v>
      </c>
      <c r="W486" s="49">
        <f>((('Pump Design Summary'!$E$16-'Pump Design Summary'!$D$16)/1000)*V486)+'Pump Design Summary'!$D$16</f>
        <v>0</v>
      </c>
      <c r="X486" s="49">
        <f>IF(ISEVEN(V486),MAX('Pump Design Summary'!$D$29:$H$29)+50,0)</f>
        <v>0</v>
      </c>
      <c r="Y486" s="49"/>
    </row>
    <row r="487" spans="20:25" x14ac:dyDescent="0.25">
      <c r="T487" s="49"/>
      <c r="U487" s="49"/>
      <c r="V487" s="49">
        <v>484</v>
      </c>
      <c r="W487" s="49">
        <f>((('Pump Design Summary'!$E$16-'Pump Design Summary'!$D$16)/1000)*V487)+'Pump Design Summary'!$D$16</f>
        <v>0</v>
      </c>
      <c r="X487" s="49">
        <f>IF(ISEVEN(V487),MAX('Pump Design Summary'!$D$29:$H$29)+50,0)</f>
        <v>50</v>
      </c>
      <c r="Y487" s="49"/>
    </row>
    <row r="488" spans="20:25" x14ac:dyDescent="0.25">
      <c r="T488" s="49"/>
      <c r="U488" s="49"/>
      <c r="V488" s="49">
        <v>485</v>
      </c>
      <c r="W488" s="49">
        <f>((('Pump Design Summary'!$E$16-'Pump Design Summary'!$D$16)/1000)*V488)+'Pump Design Summary'!$D$16</f>
        <v>0</v>
      </c>
      <c r="X488" s="49">
        <f>IF(ISEVEN(V488),MAX('Pump Design Summary'!$D$29:$H$29)+50,0)</f>
        <v>0</v>
      </c>
      <c r="Y488" s="49"/>
    </row>
    <row r="489" spans="20:25" x14ac:dyDescent="0.25">
      <c r="T489" s="49"/>
      <c r="U489" s="49"/>
      <c r="V489" s="49">
        <v>486</v>
      </c>
      <c r="W489" s="49">
        <f>((('Pump Design Summary'!$E$16-'Pump Design Summary'!$D$16)/1000)*V489)+'Pump Design Summary'!$D$16</f>
        <v>0</v>
      </c>
      <c r="X489" s="49">
        <f>IF(ISEVEN(V489),MAX('Pump Design Summary'!$D$29:$H$29)+50,0)</f>
        <v>50</v>
      </c>
      <c r="Y489" s="49"/>
    </row>
    <row r="490" spans="20:25" x14ac:dyDescent="0.25">
      <c r="T490" s="49"/>
      <c r="U490" s="49"/>
      <c r="V490" s="49">
        <v>487</v>
      </c>
      <c r="W490" s="49">
        <f>((('Pump Design Summary'!$E$16-'Pump Design Summary'!$D$16)/1000)*V490)+'Pump Design Summary'!$D$16</f>
        <v>0</v>
      </c>
      <c r="X490" s="49">
        <f>IF(ISEVEN(V490),MAX('Pump Design Summary'!$D$29:$H$29)+50,0)</f>
        <v>0</v>
      </c>
      <c r="Y490" s="49"/>
    </row>
    <row r="491" spans="20:25" x14ac:dyDescent="0.25">
      <c r="T491" s="49"/>
      <c r="U491" s="49"/>
      <c r="V491" s="49">
        <v>488</v>
      </c>
      <c r="W491" s="49">
        <f>((('Pump Design Summary'!$E$16-'Pump Design Summary'!$D$16)/1000)*V491)+'Pump Design Summary'!$D$16</f>
        <v>0</v>
      </c>
      <c r="X491" s="49">
        <f>IF(ISEVEN(V491),MAX('Pump Design Summary'!$D$29:$H$29)+50,0)</f>
        <v>50</v>
      </c>
      <c r="Y491" s="49"/>
    </row>
    <row r="492" spans="20:25" x14ac:dyDescent="0.25">
      <c r="T492" s="49"/>
      <c r="U492" s="49"/>
      <c r="V492" s="49">
        <v>489</v>
      </c>
      <c r="W492" s="49">
        <f>((('Pump Design Summary'!$E$16-'Pump Design Summary'!$D$16)/1000)*V492)+'Pump Design Summary'!$D$16</f>
        <v>0</v>
      </c>
      <c r="X492" s="49">
        <f>IF(ISEVEN(V492),MAX('Pump Design Summary'!$D$29:$H$29)+50,0)</f>
        <v>0</v>
      </c>
      <c r="Y492" s="49"/>
    </row>
    <row r="493" spans="20:25" x14ac:dyDescent="0.25">
      <c r="T493" s="49"/>
      <c r="U493" s="49"/>
      <c r="V493" s="49">
        <v>490</v>
      </c>
      <c r="W493" s="49">
        <f>((('Pump Design Summary'!$E$16-'Pump Design Summary'!$D$16)/1000)*V493)+'Pump Design Summary'!$D$16</f>
        <v>0</v>
      </c>
      <c r="X493" s="49">
        <f>IF(ISEVEN(V493),MAX('Pump Design Summary'!$D$29:$H$29)+50,0)</f>
        <v>50</v>
      </c>
      <c r="Y493" s="49"/>
    </row>
    <row r="494" spans="20:25" x14ac:dyDescent="0.25">
      <c r="T494" s="49"/>
      <c r="U494" s="49"/>
      <c r="V494" s="49">
        <v>491</v>
      </c>
      <c r="W494" s="49">
        <f>((('Pump Design Summary'!$E$16-'Pump Design Summary'!$D$16)/1000)*V494)+'Pump Design Summary'!$D$16</f>
        <v>0</v>
      </c>
      <c r="X494" s="49">
        <f>IF(ISEVEN(V494),MAX('Pump Design Summary'!$D$29:$H$29)+50,0)</f>
        <v>0</v>
      </c>
      <c r="Y494" s="49"/>
    </row>
    <row r="495" spans="20:25" x14ac:dyDescent="0.25">
      <c r="T495" s="49"/>
      <c r="U495" s="49"/>
      <c r="V495" s="49">
        <v>492</v>
      </c>
      <c r="W495" s="49">
        <f>((('Pump Design Summary'!$E$16-'Pump Design Summary'!$D$16)/1000)*V495)+'Pump Design Summary'!$D$16</f>
        <v>0</v>
      </c>
      <c r="X495" s="49">
        <f>IF(ISEVEN(V495),MAX('Pump Design Summary'!$D$29:$H$29)+50,0)</f>
        <v>50</v>
      </c>
      <c r="Y495" s="49"/>
    </row>
    <row r="496" spans="20:25" x14ac:dyDescent="0.25">
      <c r="T496" s="49"/>
      <c r="U496" s="49"/>
      <c r="V496" s="49">
        <v>493</v>
      </c>
      <c r="W496" s="49">
        <f>((('Pump Design Summary'!$E$16-'Pump Design Summary'!$D$16)/1000)*V496)+'Pump Design Summary'!$D$16</f>
        <v>0</v>
      </c>
      <c r="X496" s="49">
        <f>IF(ISEVEN(V496),MAX('Pump Design Summary'!$D$29:$H$29)+50,0)</f>
        <v>0</v>
      </c>
      <c r="Y496" s="49"/>
    </row>
    <row r="497" spans="20:25" x14ac:dyDescent="0.25">
      <c r="T497" s="49"/>
      <c r="U497" s="49"/>
      <c r="V497" s="49">
        <v>494</v>
      </c>
      <c r="W497" s="49">
        <f>((('Pump Design Summary'!$E$16-'Pump Design Summary'!$D$16)/1000)*V497)+'Pump Design Summary'!$D$16</f>
        <v>0</v>
      </c>
      <c r="X497" s="49">
        <f>IF(ISEVEN(V497),MAX('Pump Design Summary'!$D$29:$H$29)+50,0)</f>
        <v>50</v>
      </c>
      <c r="Y497" s="49"/>
    </row>
    <row r="498" spans="20:25" x14ac:dyDescent="0.25">
      <c r="T498" s="49"/>
      <c r="U498" s="49"/>
      <c r="V498" s="49">
        <v>495</v>
      </c>
      <c r="W498" s="49">
        <f>((('Pump Design Summary'!$E$16-'Pump Design Summary'!$D$16)/1000)*V498)+'Pump Design Summary'!$D$16</f>
        <v>0</v>
      </c>
      <c r="X498" s="49">
        <f>IF(ISEVEN(V498),MAX('Pump Design Summary'!$D$29:$H$29)+50,0)</f>
        <v>0</v>
      </c>
      <c r="Y498" s="49"/>
    </row>
    <row r="499" spans="20:25" x14ac:dyDescent="0.25">
      <c r="T499" s="49"/>
      <c r="U499" s="49"/>
      <c r="V499" s="49">
        <v>496</v>
      </c>
      <c r="W499" s="49">
        <f>((('Pump Design Summary'!$E$16-'Pump Design Summary'!$D$16)/1000)*V499)+'Pump Design Summary'!$D$16</f>
        <v>0</v>
      </c>
      <c r="X499" s="49">
        <f>IF(ISEVEN(V499),MAX('Pump Design Summary'!$D$29:$H$29)+50,0)</f>
        <v>50</v>
      </c>
      <c r="Y499" s="49"/>
    </row>
    <row r="500" spans="20:25" x14ac:dyDescent="0.25">
      <c r="T500" s="49"/>
      <c r="U500" s="49"/>
      <c r="V500" s="49">
        <v>497</v>
      </c>
      <c r="W500" s="49">
        <f>((('Pump Design Summary'!$E$16-'Pump Design Summary'!$D$16)/1000)*V500)+'Pump Design Summary'!$D$16</f>
        <v>0</v>
      </c>
      <c r="X500" s="49">
        <f>IF(ISEVEN(V500),MAX('Pump Design Summary'!$D$29:$H$29)+50,0)</f>
        <v>0</v>
      </c>
      <c r="Y500" s="49"/>
    </row>
    <row r="501" spans="20:25" x14ac:dyDescent="0.25">
      <c r="T501" s="49"/>
      <c r="U501" s="49"/>
      <c r="V501" s="49">
        <v>498</v>
      </c>
      <c r="W501" s="49">
        <f>((('Pump Design Summary'!$E$16-'Pump Design Summary'!$D$16)/1000)*V501)+'Pump Design Summary'!$D$16</f>
        <v>0</v>
      </c>
      <c r="X501" s="49">
        <f>IF(ISEVEN(V501),MAX('Pump Design Summary'!$D$29:$H$29)+50,0)</f>
        <v>50</v>
      </c>
      <c r="Y501" s="49"/>
    </row>
    <row r="502" spans="20:25" x14ac:dyDescent="0.25">
      <c r="T502" s="49"/>
      <c r="U502" s="49"/>
      <c r="V502" s="49">
        <v>499</v>
      </c>
      <c r="W502" s="49">
        <f>((('Pump Design Summary'!$E$16-'Pump Design Summary'!$D$16)/1000)*V502)+'Pump Design Summary'!$D$16</f>
        <v>0</v>
      </c>
      <c r="X502" s="49">
        <f>IF(ISEVEN(V502),MAX('Pump Design Summary'!$D$29:$H$29)+50,0)</f>
        <v>0</v>
      </c>
      <c r="Y502" s="49"/>
    </row>
    <row r="503" spans="20:25" x14ac:dyDescent="0.25">
      <c r="T503" s="49"/>
      <c r="U503" s="49"/>
      <c r="V503" s="49">
        <v>500</v>
      </c>
      <c r="W503" s="49">
        <f>((('Pump Design Summary'!$E$16-'Pump Design Summary'!$D$16)/1000)*V503)+'Pump Design Summary'!$D$16</f>
        <v>0</v>
      </c>
      <c r="X503" s="49">
        <f>IF(ISEVEN(V503),MAX('Pump Design Summary'!$D$29:$H$29)+50,0)</f>
        <v>50</v>
      </c>
      <c r="Y503" s="49"/>
    </row>
    <row r="504" spans="20:25" x14ac:dyDescent="0.25">
      <c r="T504" s="49"/>
      <c r="U504" s="49"/>
      <c r="V504" s="49">
        <v>501</v>
      </c>
      <c r="W504" s="49">
        <f>((('Pump Design Summary'!$E$16-'Pump Design Summary'!$D$16)/1000)*V504)+'Pump Design Summary'!$D$16</f>
        <v>0</v>
      </c>
      <c r="X504" s="49">
        <f>IF(ISEVEN(V504),MAX('Pump Design Summary'!$D$29:$H$29)+50,0)</f>
        <v>0</v>
      </c>
      <c r="Y504" s="49"/>
    </row>
    <row r="505" spans="20:25" x14ac:dyDescent="0.25">
      <c r="T505" s="49"/>
      <c r="U505" s="49"/>
      <c r="V505" s="49">
        <v>502</v>
      </c>
      <c r="W505" s="49">
        <f>((('Pump Design Summary'!$E$16-'Pump Design Summary'!$D$16)/1000)*V505)+'Pump Design Summary'!$D$16</f>
        <v>0</v>
      </c>
      <c r="X505" s="49">
        <f>IF(ISEVEN(V505),MAX('Pump Design Summary'!$D$29:$H$29)+50,0)</f>
        <v>50</v>
      </c>
      <c r="Y505" s="49"/>
    </row>
    <row r="506" spans="20:25" x14ac:dyDescent="0.25">
      <c r="T506" s="49"/>
      <c r="U506" s="49"/>
      <c r="V506" s="49">
        <v>503</v>
      </c>
      <c r="W506" s="49">
        <f>((('Pump Design Summary'!$E$16-'Pump Design Summary'!$D$16)/1000)*V506)+'Pump Design Summary'!$D$16</f>
        <v>0</v>
      </c>
      <c r="X506" s="49">
        <f>IF(ISEVEN(V506),MAX('Pump Design Summary'!$D$29:$H$29)+50,0)</f>
        <v>0</v>
      </c>
      <c r="Y506" s="49"/>
    </row>
    <row r="507" spans="20:25" x14ac:dyDescent="0.25">
      <c r="T507" s="49"/>
      <c r="U507" s="49"/>
      <c r="V507" s="49">
        <v>504</v>
      </c>
      <c r="W507" s="49">
        <f>((('Pump Design Summary'!$E$16-'Pump Design Summary'!$D$16)/1000)*V507)+'Pump Design Summary'!$D$16</f>
        <v>0</v>
      </c>
      <c r="X507" s="49">
        <f>IF(ISEVEN(V507),MAX('Pump Design Summary'!$D$29:$H$29)+50,0)</f>
        <v>50</v>
      </c>
      <c r="Y507" s="49"/>
    </row>
    <row r="508" spans="20:25" x14ac:dyDescent="0.25">
      <c r="T508" s="49"/>
      <c r="U508" s="49"/>
      <c r="V508" s="49">
        <v>505</v>
      </c>
      <c r="W508" s="49">
        <f>((('Pump Design Summary'!$E$16-'Pump Design Summary'!$D$16)/1000)*V508)+'Pump Design Summary'!$D$16</f>
        <v>0</v>
      </c>
      <c r="X508" s="49">
        <f>IF(ISEVEN(V508),MAX('Pump Design Summary'!$D$29:$H$29)+50,0)</f>
        <v>0</v>
      </c>
      <c r="Y508" s="49"/>
    </row>
    <row r="509" spans="20:25" x14ac:dyDescent="0.25">
      <c r="T509" s="49"/>
      <c r="U509" s="49"/>
      <c r="V509" s="49">
        <v>506</v>
      </c>
      <c r="W509" s="49">
        <f>((('Pump Design Summary'!$E$16-'Pump Design Summary'!$D$16)/1000)*V509)+'Pump Design Summary'!$D$16</f>
        <v>0</v>
      </c>
      <c r="X509" s="49">
        <f>IF(ISEVEN(V509),MAX('Pump Design Summary'!$D$29:$H$29)+50,0)</f>
        <v>50</v>
      </c>
      <c r="Y509" s="49"/>
    </row>
    <row r="510" spans="20:25" x14ac:dyDescent="0.25">
      <c r="T510" s="49"/>
      <c r="U510" s="49"/>
      <c r="V510" s="49">
        <v>507</v>
      </c>
      <c r="W510" s="49">
        <f>((('Pump Design Summary'!$E$16-'Pump Design Summary'!$D$16)/1000)*V510)+'Pump Design Summary'!$D$16</f>
        <v>0</v>
      </c>
      <c r="X510" s="49">
        <f>IF(ISEVEN(V510),MAX('Pump Design Summary'!$D$29:$H$29)+50,0)</f>
        <v>0</v>
      </c>
      <c r="Y510" s="49"/>
    </row>
    <row r="511" spans="20:25" x14ac:dyDescent="0.25">
      <c r="T511" s="49"/>
      <c r="U511" s="49"/>
      <c r="V511" s="49">
        <v>508</v>
      </c>
      <c r="W511" s="49">
        <f>((('Pump Design Summary'!$E$16-'Pump Design Summary'!$D$16)/1000)*V511)+'Pump Design Summary'!$D$16</f>
        <v>0</v>
      </c>
      <c r="X511" s="49">
        <f>IF(ISEVEN(V511),MAX('Pump Design Summary'!$D$29:$H$29)+50,0)</f>
        <v>50</v>
      </c>
      <c r="Y511" s="49"/>
    </row>
    <row r="512" spans="20:25" x14ac:dyDescent="0.25">
      <c r="T512" s="49"/>
      <c r="U512" s="49"/>
      <c r="V512" s="49">
        <v>509</v>
      </c>
      <c r="W512" s="49">
        <f>((('Pump Design Summary'!$E$16-'Pump Design Summary'!$D$16)/1000)*V512)+'Pump Design Summary'!$D$16</f>
        <v>0</v>
      </c>
      <c r="X512" s="49">
        <f>IF(ISEVEN(V512),MAX('Pump Design Summary'!$D$29:$H$29)+50,0)</f>
        <v>0</v>
      </c>
      <c r="Y512" s="49"/>
    </row>
    <row r="513" spans="20:25" x14ac:dyDescent="0.25">
      <c r="T513" s="49"/>
      <c r="U513" s="49"/>
      <c r="V513" s="49">
        <v>510</v>
      </c>
      <c r="W513" s="49">
        <f>((('Pump Design Summary'!$E$16-'Pump Design Summary'!$D$16)/1000)*V513)+'Pump Design Summary'!$D$16</f>
        <v>0</v>
      </c>
      <c r="X513" s="49">
        <f>IF(ISEVEN(V513),MAX('Pump Design Summary'!$D$29:$H$29)+50,0)</f>
        <v>50</v>
      </c>
      <c r="Y513" s="49"/>
    </row>
    <row r="514" spans="20:25" x14ac:dyDescent="0.25">
      <c r="T514" s="49"/>
      <c r="U514" s="49"/>
      <c r="V514" s="49">
        <v>511</v>
      </c>
      <c r="W514" s="49">
        <f>((('Pump Design Summary'!$E$16-'Pump Design Summary'!$D$16)/1000)*V514)+'Pump Design Summary'!$D$16</f>
        <v>0</v>
      </c>
      <c r="X514" s="49">
        <f>IF(ISEVEN(V514),MAX('Pump Design Summary'!$D$29:$H$29)+50,0)</f>
        <v>0</v>
      </c>
      <c r="Y514" s="49"/>
    </row>
    <row r="515" spans="20:25" x14ac:dyDescent="0.25">
      <c r="T515" s="49"/>
      <c r="U515" s="49"/>
      <c r="V515" s="49">
        <v>512</v>
      </c>
      <c r="W515" s="49">
        <f>((('Pump Design Summary'!$E$16-'Pump Design Summary'!$D$16)/1000)*V515)+'Pump Design Summary'!$D$16</f>
        <v>0</v>
      </c>
      <c r="X515" s="49">
        <f>IF(ISEVEN(V515),MAX('Pump Design Summary'!$D$29:$H$29)+50,0)</f>
        <v>50</v>
      </c>
      <c r="Y515" s="49"/>
    </row>
    <row r="516" spans="20:25" x14ac:dyDescent="0.25">
      <c r="T516" s="49"/>
      <c r="U516" s="49"/>
      <c r="V516" s="49">
        <v>513</v>
      </c>
      <c r="W516" s="49">
        <f>((('Pump Design Summary'!$E$16-'Pump Design Summary'!$D$16)/1000)*V516)+'Pump Design Summary'!$D$16</f>
        <v>0</v>
      </c>
      <c r="X516" s="49">
        <f>IF(ISEVEN(V516),MAX('Pump Design Summary'!$D$29:$H$29)+50,0)</f>
        <v>0</v>
      </c>
      <c r="Y516" s="49"/>
    </row>
    <row r="517" spans="20:25" x14ac:dyDescent="0.25">
      <c r="T517" s="49"/>
      <c r="U517" s="49"/>
      <c r="V517" s="49">
        <v>514</v>
      </c>
      <c r="W517" s="49">
        <f>((('Pump Design Summary'!$E$16-'Pump Design Summary'!$D$16)/1000)*V517)+'Pump Design Summary'!$D$16</f>
        <v>0</v>
      </c>
      <c r="X517" s="49">
        <f>IF(ISEVEN(V517),MAX('Pump Design Summary'!$D$29:$H$29)+50,0)</f>
        <v>50</v>
      </c>
      <c r="Y517" s="49"/>
    </row>
    <row r="518" spans="20:25" x14ac:dyDescent="0.25">
      <c r="T518" s="49"/>
      <c r="U518" s="49"/>
      <c r="V518" s="49">
        <v>515</v>
      </c>
      <c r="W518" s="49">
        <f>((('Pump Design Summary'!$E$16-'Pump Design Summary'!$D$16)/1000)*V518)+'Pump Design Summary'!$D$16</f>
        <v>0</v>
      </c>
      <c r="X518" s="49">
        <f>IF(ISEVEN(V518),MAX('Pump Design Summary'!$D$29:$H$29)+50,0)</f>
        <v>0</v>
      </c>
      <c r="Y518" s="49"/>
    </row>
    <row r="519" spans="20:25" x14ac:dyDescent="0.25">
      <c r="T519" s="49"/>
      <c r="U519" s="49"/>
      <c r="V519" s="49">
        <v>516</v>
      </c>
      <c r="W519" s="49">
        <f>((('Pump Design Summary'!$E$16-'Pump Design Summary'!$D$16)/1000)*V519)+'Pump Design Summary'!$D$16</f>
        <v>0</v>
      </c>
      <c r="X519" s="49">
        <f>IF(ISEVEN(V519),MAX('Pump Design Summary'!$D$29:$H$29)+50,0)</f>
        <v>50</v>
      </c>
      <c r="Y519" s="49"/>
    </row>
    <row r="520" spans="20:25" x14ac:dyDescent="0.25">
      <c r="T520" s="49"/>
      <c r="U520" s="49"/>
      <c r="V520" s="49">
        <v>517</v>
      </c>
      <c r="W520" s="49">
        <f>((('Pump Design Summary'!$E$16-'Pump Design Summary'!$D$16)/1000)*V520)+'Pump Design Summary'!$D$16</f>
        <v>0</v>
      </c>
      <c r="X520" s="49">
        <f>IF(ISEVEN(V520),MAX('Pump Design Summary'!$D$29:$H$29)+50,0)</f>
        <v>0</v>
      </c>
      <c r="Y520" s="49"/>
    </row>
    <row r="521" spans="20:25" x14ac:dyDescent="0.25">
      <c r="T521" s="49"/>
      <c r="U521" s="49"/>
      <c r="V521" s="49">
        <v>518</v>
      </c>
      <c r="W521" s="49">
        <f>((('Pump Design Summary'!$E$16-'Pump Design Summary'!$D$16)/1000)*V521)+'Pump Design Summary'!$D$16</f>
        <v>0</v>
      </c>
      <c r="X521" s="49">
        <f>IF(ISEVEN(V521),MAX('Pump Design Summary'!$D$29:$H$29)+50,0)</f>
        <v>50</v>
      </c>
      <c r="Y521" s="49"/>
    </row>
    <row r="522" spans="20:25" x14ac:dyDescent="0.25">
      <c r="T522" s="49"/>
      <c r="U522" s="49"/>
      <c r="V522" s="49">
        <v>519</v>
      </c>
      <c r="W522" s="49">
        <f>((('Pump Design Summary'!$E$16-'Pump Design Summary'!$D$16)/1000)*V522)+'Pump Design Summary'!$D$16</f>
        <v>0</v>
      </c>
      <c r="X522" s="49">
        <f>IF(ISEVEN(V522),MAX('Pump Design Summary'!$D$29:$H$29)+50,0)</f>
        <v>0</v>
      </c>
      <c r="Y522" s="49"/>
    </row>
    <row r="523" spans="20:25" x14ac:dyDescent="0.25">
      <c r="T523" s="49"/>
      <c r="U523" s="49"/>
      <c r="V523" s="49">
        <v>520</v>
      </c>
      <c r="W523" s="49">
        <f>((('Pump Design Summary'!$E$16-'Pump Design Summary'!$D$16)/1000)*V523)+'Pump Design Summary'!$D$16</f>
        <v>0</v>
      </c>
      <c r="X523" s="49">
        <f>IF(ISEVEN(V523),MAX('Pump Design Summary'!$D$29:$H$29)+50,0)</f>
        <v>50</v>
      </c>
      <c r="Y523" s="49"/>
    </row>
    <row r="524" spans="20:25" x14ac:dyDescent="0.25">
      <c r="T524" s="49"/>
      <c r="U524" s="49"/>
      <c r="V524" s="49">
        <v>521</v>
      </c>
      <c r="W524" s="49">
        <f>((('Pump Design Summary'!$E$16-'Pump Design Summary'!$D$16)/1000)*V524)+'Pump Design Summary'!$D$16</f>
        <v>0</v>
      </c>
      <c r="X524" s="49">
        <f>IF(ISEVEN(V524),MAX('Pump Design Summary'!$D$29:$H$29)+50,0)</f>
        <v>0</v>
      </c>
      <c r="Y524" s="49"/>
    </row>
    <row r="525" spans="20:25" x14ac:dyDescent="0.25">
      <c r="T525" s="49"/>
      <c r="U525" s="49"/>
      <c r="V525" s="49">
        <v>522</v>
      </c>
      <c r="W525" s="49">
        <f>((('Pump Design Summary'!$E$16-'Pump Design Summary'!$D$16)/1000)*V525)+'Pump Design Summary'!$D$16</f>
        <v>0</v>
      </c>
      <c r="X525" s="49">
        <f>IF(ISEVEN(V525),MAX('Pump Design Summary'!$D$29:$H$29)+50,0)</f>
        <v>50</v>
      </c>
      <c r="Y525" s="49"/>
    </row>
    <row r="526" spans="20:25" x14ac:dyDescent="0.25">
      <c r="T526" s="49"/>
      <c r="U526" s="49"/>
      <c r="V526" s="49">
        <v>523</v>
      </c>
      <c r="W526" s="49">
        <f>((('Pump Design Summary'!$E$16-'Pump Design Summary'!$D$16)/1000)*V526)+'Pump Design Summary'!$D$16</f>
        <v>0</v>
      </c>
      <c r="X526" s="49">
        <f>IF(ISEVEN(V526),MAX('Pump Design Summary'!$D$29:$H$29)+50,0)</f>
        <v>0</v>
      </c>
      <c r="Y526" s="49"/>
    </row>
    <row r="527" spans="20:25" x14ac:dyDescent="0.25">
      <c r="T527" s="49"/>
      <c r="U527" s="49"/>
      <c r="V527" s="49">
        <v>524</v>
      </c>
      <c r="W527" s="49">
        <f>((('Pump Design Summary'!$E$16-'Pump Design Summary'!$D$16)/1000)*V527)+'Pump Design Summary'!$D$16</f>
        <v>0</v>
      </c>
      <c r="X527" s="49">
        <f>IF(ISEVEN(V527),MAX('Pump Design Summary'!$D$29:$H$29)+50,0)</f>
        <v>50</v>
      </c>
      <c r="Y527" s="49"/>
    </row>
    <row r="528" spans="20:25" x14ac:dyDescent="0.25">
      <c r="T528" s="49"/>
      <c r="U528" s="49"/>
      <c r="V528" s="49">
        <v>525</v>
      </c>
      <c r="W528" s="49">
        <f>((('Pump Design Summary'!$E$16-'Pump Design Summary'!$D$16)/1000)*V528)+'Pump Design Summary'!$D$16</f>
        <v>0</v>
      </c>
      <c r="X528" s="49">
        <f>IF(ISEVEN(V528),MAX('Pump Design Summary'!$D$29:$H$29)+50,0)</f>
        <v>0</v>
      </c>
      <c r="Y528" s="49"/>
    </row>
    <row r="529" spans="20:25" x14ac:dyDescent="0.25">
      <c r="T529" s="49"/>
      <c r="U529" s="49"/>
      <c r="V529" s="49">
        <v>526</v>
      </c>
      <c r="W529" s="49">
        <f>((('Pump Design Summary'!$E$16-'Pump Design Summary'!$D$16)/1000)*V529)+'Pump Design Summary'!$D$16</f>
        <v>0</v>
      </c>
      <c r="X529" s="49">
        <f>IF(ISEVEN(V529),MAX('Pump Design Summary'!$D$29:$H$29)+50,0)</f>
        <v>50</v>
      </c>
      <c r="Y529" s="49"/>
    </row>
    <row r="530" spans="20:25" x14ac:dyDescent="0.25">
      <c r="T530" s="49"/>
      <c r="U530" s="49"/>
      <c r="V530" s="49">
        <v>527</v>
      </c>
      <c r="W530" s="49">
        <f>((('Pump Design Summary'!$E$16-'Pump Design Summary'!$D$16)/1000)*V530)+'Pump Design Summary'!$D$16</f>
        <v>0</v>
      </c>
      <c r="X530" s="49">
        <f>IF(ISEVEN(V530),MAX('Pump Design Summary'!$D$29:$H$29)+50,0)</f>
        <v>0</v>
      </c>
      <c r="Y530" s="49"/>
    </row>
    <row r="531" spans="20:25" x14ac:dyDescent="0.25">
      <c r="T531" s="49"/>
      <c r="U531" s="49"/>
      <c r="V531" s="49">
        <v>528</v>
      </c>
      <c r="W531" s="49">
        <f>((('Pump Design Summary'!$E$16-'Pump Design Summary'!$D$16)/1000)*V531)+'Pump Design Summary'!$D$16</f>
        <v>0</v>
      </c>
      <c r="X531" s="49">
        <f>IF(ISEVEN(V531),MAX('Pump Design Summary'!$D$29:$H$29)+50,0)</f>
        <v>50</v>
      </c>
      <c r="Y531" s="49"/>
    </row>
    <row r="532" spans="20:25" x14ac:dyDescent="0.25">
      <c r="T532" s="49"/>
      <c r="U532" s="49"/>
      <c r="V532" s="49">
        <v>529</v>
      </c>
      <c r="W532" s="49">
        <f>((('Pump Design Summary'!$E$16-'Pump Design Summary'!$D$16)/1000)*V532)+'Pump Design Summary'!$D$16</f>
        <v>0</v>
      </c>
      <c r="X532" s="49">
        <f>IF(ISEVEN(V532),MAX('Pump Design Summary'!$D$29:$H$29)+50,0)</f>
        <v>0</v>
      </c>
      <c r="Y532" s="49"/>
    </row>
    <row r="533" spans="20:25" x14ac:dyDescent="0.25">
      <c r="T533" s="49"/>
      <c r="U533" s="49"/>
      <c r="V533" s="49">
        <v>530</v>
      </c>
      <c r="W533" s="49">
        <f>((('Pump Design Summary'!$E$16-'Pump Design Summary'!$D$16)/1000)*V533)+'Pump Design Summary'!$D$16</f>
        <v>0</v>
      </c>
      <c r="X533" s="49">
        <f>IF(ISEVEN(V533),MAX('Pump Design Summary'!$D$29:$H$29)+50,0)</f>
        <v>50</v>
      </c>
      <c r="Y533" s="49"/>
    </row>
    <row r="534" spans="20:25" x14ac:dyDescent="0.25">
      <c r="T534" s="49"/>
      <c r="U534" s="49"/>
      <c r="V534" s="49">
        <v>531</v>
      </c>
      <c r="W534" s="49">
        <f>((('Pump Design Summary'!$E$16-'Pump Design Summary'!$D$16)/1000)*V534)+'Pump Design Summary'!$D$16</f>
        <v>0</v>
      </c>
      <c r="X534" s="49">
        <f>IF(ISEVEN(V534),MAX('Pump Design Summary'!$D$29:$H$29)+50,0)</f>
        <v>0</v>
      </c>
      <c r="Y534" s="49"/>
    </row>
    <row r="535" spans="20:25" x14ac:dyDescent="0.25">
      <c r="T535" s="49"/>
      <c r="U535" s="49"/>
      <c r="V535" s="49">
        <v>532</v>
      </c>
      <c r="W535" s="49">
        <f>((('Pump Design Summary'!$E$16-'Pump Design Summary'!$D$16)/1000)*V535)+'Pump Design Summary'!$D$16</f>
        <v>0</v>
      </c>
      <c r="X535" s="49">
        <f>IF(ISEVEN(V535),MAX('Pump Design Summary'!$D$29:$H$29)+50,0)</f>
        <v>50</v>
      </c>
      <c r="Y535" s="49"/>
    </row>
    <row r="536" spans="20:25" x14ac:dyDescent="0.25">
      <c r="T536" s="49"/>
      <c r="U536" s="49"/>
      <c r="V536" s="49">
        <v>533</v>
      </c>
      <c r="W536" s="49">
        <f>((('Pump Design Summary'!$E$16-'Pump Design Summary'!$D$16)/1000)*V536)+'Pump Design Summary'!$D$16</f>
        <v>0</v>
      </c>
      <c r="X536" s="49">
        <f>IF(ISEVEN(V536),MAX('Pump Design Summary'!$D$29:$H$29)+50,0)</f>
        <v>0</v>
      </c>
      <c r="Y536" s="49"/>
    </row>
    <row r="537" spans="20:25" x14ac:dyDescent="0.25">
      <c r="T537" s="49"/>
      <c r="U537" s="49"/>
      <c r="V537" s="49">
        <v>534</v>
      </c>
      <c r="W537" s="49">
        <f>((('Pump Design Summary'!$E$16-'Pump Design Summary'!$D$16)/1000)*V537)+'Pump Design Summary'!$D$16</f>
        <v>0</v>
      </c>
      <c r="X537" s="49">
        <f>IF(ISEVEN(V537),MAX('Pump Design Summary'!$D$29:$H$29)+50,0)</f>
        <v>50</v>
      </c>
      <c r="Y537" s="49"/>
    </row>
    <row r="538" spans="20:25" x14ac:dyDescent="0.25">
      <c r="T538" s="49"/>
      <c r="U538" s="49"/>
      <c r="V538" s="49">
        <v>535</v>
      </c>
      <c r="W538" s="49">
        <f>((('Pump Design Summary'!$E$16-'Pump Design Summary'!$D$16)/1000)*V538)+'Pump Design Summary'!$D$16</f>
        <v>0</v>
      </c>
      <c r="X538" s="49">
        <f>IF(ISEVEN(V538),MAX('Pump Design Summary'!$D$29:$H$29)+50,0)</f>
        <v>0</v>
      </c>
      <c r="Y538" s="49"/>
    </row>
    <row r="539" spans="20:25" x14ac:dyDescent="0.25">
      <c r="T539" s="49"/>
      <c r="U539" s="49"/>
      <c r="V539" s="49">
        <v>536</v>
      </c>
      <c r="W539" s="49">
        <f>((('Pump Design Summary'!$E$16-'Pump Design Summary'!$D$16)/1000)*V539)+'Pump Design Summary'!$D$16</f>
        <v>0</v>
      </c>
      <c r="X539" s="49">
        <f>IF(ISEVEN(V539),MAX('Pump Design Summary'!$D$29:$H$29)+50,0)</f>
        <v>50</v>
      </c>
      <c r="Y539" s="49"/>
    </row>
    <row r="540" spans="20:25" x14ac:dyDescent="0.25">
      <c r="T540" s="49"/>
      <c r="U540" s="49"/>
      <c r="V540" s="49">
        <v>537</v>
      </c>
      <c r="W540" s="49">
        <f>((('Pump Design Summary'!$E$16-'Pump Design Summary'!$D$16)/1000)*V540)+'Pump Design Summary'!$D$16</f>
        <v>0</v>
      </c>
      <c r="X540" s="49">
        <f>IF(ISEVEN(V540),MAX('Pump Design Summary'!$D$29:$H$29)+50,0)</f>
        <v>0</v>
      </c>
      <c r="Y540" s="49"/>
    </row>
    <row r="541" spans="20:25" x14ac:dyDescent="0.25">
      <c r="T541" s="49"/>
      <c r="U541" s="49"/>
      <c r="V541" s="49">
        <v>538</v>
      </c>
      <c r="W541" s="49">
        <f>((('Pump Design Summary'!$E$16-'Pump Design Summary'!$D$16)/1000)*V541)+'Pump Design Summary'!$D$16</f>
        <v>0</v>
      </c>
      <c r="X541" s="49">
        <f>IF(ISEVEN(V541),MAX('Pump Design Summary'!$D$29:$H$29)+50,0)</f>
        <v>50</v>
      </c>
      <c r="Y541" s="49"/>
    </row>
    <row r="542" spans="20:25" x14ac:dyDescent="0.25">
      <c r="T542" s="49"/>
      <c r="U542" s="49"/>
      <c r="V542" s="49">
        <v>539</v>
      </c>
      <c r="W542" s="49">
        <f>((('Pump Design Summary'!$E$16-'Pump Design Summary'!$D$16)/1000)*V542)+'Pump Design Summary'!$D$16</f>
        <v>0</v>
      </c>
      <c r="X542" s="49">
        <f>IF(ISEVEN(V542),MAX('Pump Design Summary'!$D$29:$H$29)+50,0)</f>
        <v>0</v>
      </c>
      <c r="Y542" s="49"/>
    </row>
    <row r="543" spans="20:25" x14ac:dyDescent="0.25">
      <c r="T543" s="49"/>
      <c r="U543" s="49"/>
      <c r="V543" s="49">
        <v>540</v>
      </c>
      <c r="W543" s="49">
        <f>((('Pump Design Summary'!$E$16-'Pump Design Summary'!$D$16)/1000)*V543)+'Pump Design Summary'!$D$16</f>
        <v>0</v>
      </c>
      <c r="X543" s="49">
        <f>IF(ISEVEN(V543),MAX('Pump Design Summary'!$D$29:$H$29)+50,0)</f>
        <v>50</v>
      </c>
      <c r="Y543" s="49"/>
    </row>
    <row r="544" spans="20:25" x14ac:dyDescent="0.25">
      <c r="T544" s="49"/>
      <c r="U544" s="49"/>
      <c r="V544" s="49">
        <v>541</v>
      </c>
      <c r="W544" s="49">
        <f>((('Pump Design Summary'!$E$16-'Pump Design Summary'!$D$16)/1000)*V544)+'Pump Design Summary'!$D$16</f>
        <v>0</v>
      </c>
      <c r="X544" s="49">
        <f>IF(ISEVEN(V544),MAX('Pump Design Summary'!$D$29:$H$29)+50,0)</f>
        <v>0</v>
      </c>
      <c r="Y544" s="49"/>
    </row>
    <row r="545" spans="20:25" x14ac:dyDescent="0.25">
      <c r="T545" s="49"/>
      <c r="U545" s="49"/>
      <c r="V545" s="49">
        <v>542</v>
      </c>
      <c r="W545" s="49">
        <f>((('Pump Design Summary'!$E$16-'Pump Design Summary'!$D$16)/1000)*V545)+'Pump Design Summary'!$D$16</f>
        <v>0</v>
      </c>
      <c r="X545" s="49">
        <f>IF(ISEVEN(V545),MAX('Pump Design Summary'!$D$29:$H$29)+50,0)</f>
        <v>50</v>
      </c>
      <c r="Y545" s="49"/>
    </row>
    <row r="546" spans="20:25" x14ac:dyDescent="0.25">
      <c r="T546" s="49"/>
      <c r="U546" s="49"/>
      <c r="V546" s="49">
        <v>543</v>
      </c>
      <c r="W546" s="49">
        <f>((('Pump Design Summary'!$E$16-'Pump Design Summary'!$D$16)/1000)*V546)+'Pump Design Summary'!$D$16</f>
        <v>0</v>
      </c>
      <c r="X546" s="49">
        <f>IF(ISEVEN(V546),MAX('Pump Design Summary'!$D$29:$H$29)+50,0)</f>
        <v>0</v>
      </c>
      <c r="Y546" s="49"/>
    </row>
    <row r="547" spans="20:25" x14ac:dyDescent="0.25">
      <c r="T547" s="49"/>
      <c r="U547" s="49"/>
      <c r="V547" s="49">
        <v>544</v>
      </c>
      <c r="W547" s="49">
        <f>((('Pump Design Summary'!$E$16-'Pump Design Summary'!$D$16)/1000)*V547)+'Pump Design Summary'!$D$16</f>
        <v>0</v>
      </c>
      <c r="X547" s="49">
        <f>IF(ISEVEN(V547),MAX('Pump Design Summary'!$D$29:$H$29)+50,0)</f>
        <v>50</v>
      </c>
      <c r="Y547" s="49"/>
    </row>
    <row r="548" spans="20:25" x14ac:dyDescent="0.25">
      <c r="T548" s="49"/>
      <c r="U548" s="49"/>
      <c r="V548" s="49">
        <v>545</v>
      </c>
      <c r="W548" s="49">
        <f>((('Pump Design Summary'!$E$16-'Pump Design Summary'!$D$16)/1000)*V548)+'Pump Design Summary'!$D$16</f>
        <v>0</v>
      </c>
      <c r="X548" s="49">
        <f>IF(ISEVEN(V548),MAX('Pump Design Summary'!$D$29:$H$29)+50,0)</f>
        <v>0</v>
      </c>
      <c r="Y548" s="49"/>
    </row>
    <row r="549" spans="20:25" x14ac:dyDescent="0.25">
      <c r="T549" s="49"/>
      <c r="U549" s="49"/>
      <c r="V549" s="49">
        <v>546</v>
      </c>
      <c r="W549" s="49">
        <f>((('Pump Design Summary'!$E$16-'Pump Design Summary'!$D$16)/1000)*V549)+'Pump Design Summary'!$D$16</f>
        <v>0</v>
      </c>
      <c r="X549" s="49">
        <f>IF(ISEVEN(V549),MAX('Pump Design Summary'!$D$29:$H$29)+50,0)</f>
        <v>50</v>
      </c>
      <c r="Y549" s="49"/>
    </row>
    <row r="550" spans="20:25" x14ac:dyDescent="0.25">
      <c r="T550" s="49"/>
      <c r="U550" s="49"/>
      <c r="V550" s="49">
        <v>547</v>
      </c>
      <c r="W550" s="49">
        <f>((('Pump Design Summary'!$E$16-'Pump Design Summary'!$D$16)/1000)*V550)+'Pump Design Summary'!$D$16</f>
        <v>0</v>
      </c>
      <c r="X550" s="49">
        <f>IF(ISEVEN(V550),MAX('Pump Design Summary'!$D$29:$H$29)+50,0)</f>
        <v>0</v>
      </c>
      <c r="Y550" s="49"/>
    </row>
    <row r="551" spans="20:25" x14ac:dyDescent="0.25">
      <c r="T551" s="49"/>
      <c r="U551" s="49"/>
      <c r="V551" s="49">
        <v>548</v>
      </c>
      <c r="W551" s="49">
        <f>((('Pump Design Summary'!$E$16-'Pump Design Summary'!$D$16)/1000)*V551)+'Pump Design Summary'!$D$16</f>
        <v>0</v>
      </c>
      <c r="X551" s="49">
        <f>IF(ISEVEN(V551),MAX('Pump Design Summary'!$D$29:$H$29)+50,0)</f>
        <v>50</v>
      </c>
      <c r="Y551" s="49"/>
    </row>
    <row r="552" spans="20:25" x14ac:dyDescent="0.25">
      <c r="T552" s="49"/>
      <c r="U552" s="49"/>
      <c r="V552" s="49">
        <v>549</v>
      </c>
      <c r="W552" s="49">
        <f>((('Pump Design Summary'!$E$16-'Pump Design Summary'!$D$16)/1000)*V552)+'Pump Design Summary'!$D$16</f>
        <v>0</v>
      </c>
      <c r="X552" s="49">
        <f>IF(ISEVEN(V552),MAX('Pump Design Summary'!$D$29:$H$29)+50,0)</f>
        <v>0</v>
      </c>
      <c r="Y552" s="49"/>
    </row>
    <row r="553" spans="20:25" x14ac:dyDescent="0.25">
      <c r="T553" s="49"/>
      <c r="U553" s="49"/>
      <c r="V553" s="49">
        <v>550</v>
      </c>
      <c r="W553" s="49">
        <f>((('Pump Design Summary'!$E$16-'Pump Design Summary'!$D$16)/1000)*V553)+'Pump Design Summary'!$D$16</f>
        <v>0</v>
      </c>
      <c r="X553" s="49">
        <f>IF(ISEVEN(V553),MAX('Pump Design Summary'!$D$29:$H$29)+50,0)</f>
        <v>50</v>
      </c>
      <c r="Y553" s="49"/>
    </row>
    <row r="554" spans="20:25" x14ac:dyDescent="0.25">
      <c r="T554" s="49"/>
      <c r="U554" s="49"/>
      <c r="V554" s="49">
        <v>551</v>
      </c>
      <c r="W554" s="49">
        <f>((('Pump Design Summary'!$E$16-'Pump Design Summary'!$D$16)/1000)*V554)+'Pump Design Summary'!$D$16</f>
        <v>0</v>
      </c>
      <c r="X554" s="49">
        <f>IF(ISEVEN(V554),MAX('Pump Design Summary'!$D$29:$H$29)+50,0)</f>
        <v>0</v>
      </c>
      <c r="Y554" s="49"/>
    </row>
    <row r="555" spans="20:25" x14ac:dyDescent="0.25">
      <c r="T555" s="49"/>
      <c r="U555" s="49"/>
      <c r="V555" s="49">
        <v>552</v>
      </c>
      <c r="W555" s="49">
        <f>((('Pump Design Summary'!$E$16-'Pump Design Summary'!$D$16)/1000)*V555)+'Pump Design Summary'!$D$16</f>
        <v>0</v>
      </c>
      <c r="X555" s="49">
        <f>IF(ISEVEN(V555),MAX('Pump Design Summary'!$D$29:$H$29)+50,0)</f>
        <v>50</v>
      </c>
      <c r="Y555" s="49"/>
    </row>
    <row r="556" spans="20:25" x14ac:dyDescent="0.25">
      <c r="T556" s="49"/>
      <c r="U556" s="49"/>
      <c r="V556" s="49">
        <v>553</v>
      </c>
      <c r="W556" s="49">
        <f>((('Pump Design Summary'!$E$16-'Pump Design Summary'!$D$16)/1000)*V556)+'Pump Design Summary'!$D$16</f>
        <v>0</v>
      </c>
      <c r="X556" s="49">
        <f>IF(ISEVEN(V556),MAX('Pump Design Summary'!$D$29:$H$29)+50,0)</f>
        <v>0</v>
      </c>
      <c r="Y556" s="49"/>
    </row>
    <row r="557" spans="20:25" x14ac:dyDescent="0.25">
      <c r="T557" s="49"/>
      <c r="U557" s="49"/>
      <c r="V557" s="49">
        <v>554</v>
      </c>
      <c r="W557" s="49">
        <f>((('Pump Design Summary'!$E$16-'Pump Design Summary'!$D$16)/1000)*V557)+'Pump Design Summary'!$D$16</f>
        <v>0</v>
      </c>
      <c r="X557" s="49">
        <f>IF(ISEVEN(V557),MAX('Pump Design Summary'!$D$29:$H$29)+50,0)</f>
        <v>50</v>
      </c>
      <c r="Y557" s="49"/>
    </row>
    <row r="558" spans="20:25" x14ac:dyDescent="0.25">
      <c r="T558" s="49"/>
      <c r="U558" s="49"/>
      <c r="V558" s="49">
        <v>555</v>
      </c>
      <c r="W558" s="49">
        <f>((('Pump Design Summary'!$E$16-'Pump Design Summary'!$D$16)/1000)*V558)+'Pump Design Summary'!$D$16</f>
        <v>0</v>
      </c>
      <c r="X558" s="49">
        <f>IF(ISEVEN(V558),MAX('Pump Design Summary'!$D$29:$H$29)+50,0)</f>
        <v>0</v>
      </c>
      <c r="Y558" s="49"/>
    </row>
    <row r="559" spans="20:25" x14ac:dyDescent="0.25">
      <c r="T559" s="49"/>
      <c r="U559" s="49"/>
      <c r="V559" s="49">
        <v>556</v>
      </c>
      <c r="W559" s="49">
        <f>((('Pump Design Summary'!$E$16-'Pump Design Summary'!$D$16)/1000)*V559)+'Pump Design Summary'!$D$16</f>
        <v>0</v>
      </c>
      <c r="X559" s="49">
        <f>IF(ISEVEN(V559),MAX('Pump Design Summary'!$D$29:$H$29)+50,0)</f>
        <v>50</v>
      </c>
      <c r="Y559" s="49"/>
    </row>
    <row r="560" spans="20:25" x14ac:dyDescent="0.25">
      <c r="T560" s="49"/>
      <c r="U560" s="49"/>
      <c r="V560" s="49">
        <v>557</v>
      </c>
      <c r="W560" s="49">
        <f>((('Pump Design Summary'!$E$16-'Pump Design Summary'!$D$16)/1000)*V560)+'Pump Design Summary'!$D$16</f>
        <v>0</v>
      </c>
      <c r="X560" s="49">
        <f>IF(ISEVEN(V560),MAX('Pump Design Summary'!$D$29:$H$29)+50,0)</f>
        <v>0</v>
      </c>
      <c r="Y560" s="49"/>
    </row>
    <row r="561" spans="20:25" x14ac:dyDescent="0.25">
      <c r="T561" s="49"/>
      <c r="U561" s="49"/>
      <c r="V561" s="49">
        <v>558</v>
      </c>
      <c r="W561" s="49">
        <f>((('Pump Design Summary'!$E$16-'Pump Design Summary'!$D$16)/1000)*V561)+'Pump Design Summary'!$D$16</f>
        <v>0</v>
      </c>
      <c r="X561" s="49">
        <f>IF(ISEVEN(V561),MAX('Pump Design Summary'!$D$29:$H$29)+50,0)</f>
        <v>50</v>
      </c>
      <c r="Y561" s="49"/>
    </row>
    <row r="562" spans="20:25" x14ac:dyDescent="0.25">
      <c r="T562" s="49"/>
      <c r="U562" s="49"/>
      <c r="V562" s="49">
        <v>559</v>
      </c>
      <c r="W562" s="49">
        <f>((('Pump Design Summary'!$E$16-'Pump Design Summary'!$D$16)/1000)*V562)+'Pump Design Summary'!$D$16</f>
        <v>0</v>
      </c>
      <c r="X562" s="49">
        <f>IF(ISEVEN(V562),MAX('Pump Design Summary'!$D$29:$H$29)+50,0)</f>
        <v>0</v>
      </c>
      <c r="Y562" s="49"/>
    </row>
    <row r="563" spans="20:25" x14ac:dyDescent="0.25">
      <c r="T563" s="49"/>
      <c r="U563" s="49"/>
      <c r="V563" s="49">
        <v>560</v>
      </c>
      <c r="W563" s="49">
        <f>((('Pump Design Summary'!$E$16-'Pump Design Summary'!$D$16)/1000)*V563)+'Pump Design Summary'!$D$16</f>
        <v>0</v>
      </c>
      <c r="X563" s="49">
        <f>IF(ISEVEN(V563),MAX('Pump Design Summary'!$D$29:$H$29)+50,0)</f>
        <v>50</v>
      </c>
      <c r="Y563" s="49"/>
    </row>
    <row r="564" spans="20:25" x14ac:dyDescent="0.25">
      <c r="T564" s="49"/>
      <c r="U564" s="49"/>
      <c r="V564" s="49">
        <v>561</v>
      </c>
      <c r="W564" s="49">
        <f>((('Pump Design Summary'!$E$16-'Pump Design Summary'!$D$16)/1000)*V564)+'Pump Design Summary'!$D$16</f>
        <v>0</v>
      </c>
      <c r="X564" s="49">
        <f>IF(ISEVEN(V564),MAX('Pump Design Summary'!$D$29:$H$29)+50,0)</f>
        <v>0</v>
      </c>
      <c r="Y564" s="49"/>
    </row>
    <row r="565" spans="20:25" x14ac:dyDescent="0.25">
      <c r="T565" s="49"/>
      <c r="U565" s="49"/>
      <c r="V565" s="49">
        <v>562</v>
      </c>
      <c r="W565" s="49">
        <f>((('Pump Design Summary'!$E$16-'Pump Design Summary'!$D$16)/1000)*V565)+'Pump Design Summary'!$D$16</f>
        <v>0</v>
      </c>
      <c r="X565" s="49">
        <f>IF(ISEVEN(V565),MAX('Pump Design Summary'!$D$29:$H$29)+50,0)</f>
        <v>50</v>
      </c>
      <c r="Y565" s="49"/>
    </row>
    <row r="566" spans="20:25" x14ac:dyDescent="0.25">
      <c r="T566" s="49"/>
      <c r="U566" s="49"/>
      <c r="V566" s="49">
        <v>563</v>
      </c>
      <c r="W566" s="49">
        <f>((('Pump Design Summary'!$E$16-'Pump Design Summary'!$D$16)/1000)*V566)+'Pump Design Summary'!$D$16</f>
        <v>0</v>
      </c>
      <c r="X566" s="49">
        <f>IF(ISEVEN(V566),MAX('Pump Design Summary'!$D$29:$H$29)+50,0)</f>
        <v>0</v>
      </c>
      <c r="Y566" s="49"/>
    </row>
    <row r="567" spans="20:25" x14ac:dyDescent="0.25">
      <c r="T567" s="49"/>
      <c r="U567" s="49"/>
      <c r="V567" s="49">
        <v>564</v>
      </c>
      <c r="W567" s="49">
        <f>((('Pump Design Summary'!$E$16-'Pump Design Summary'!$D$16)/1000)*V567)+'Pump Design Summary'!$D$16</f>
        <v>0</v>
      </c>
      <c r="X567" s="49">
        <f>IF(ISEVEN(V567),MAX('Pump Design Summary'!$D$29:$H$29)+50,0)</f>
        <v>50</v>
      </c>
      <c r="Y567" s="49"/>
    </row>
    <row r="568" spans="20:25" x14ac:dyDescent="0.25">
      <c r="T568" s="49"/>
      <c r="U568" s="49"/>
      <c r="V568" s="49">
        <v>565</v>
      </c>
      <c r="W568" s="49">
        <f>((('Pump Design Summary'!$E$16-'Pump Design Summary'!$D$16)/1000)*V568)+'Pump Design Summary'!$D$16</f>
        <v>0</v>
      </c>
      <c r="X568" s="49">
        <f>IF(ISEVEN(V568),MAX('Pump Design Summary'!$D$29:$H$29)+50,0)</f>
        <v>0</v>
      </c>
      <c r="Y568" s="49"/>
    </row>
    <row r="569" spans="20:25" x14ac:dyDescent="0.25">
      <c r="T569" s="49"/>
      <c r="U569" s="49"/>
      <c r="V569" s="49">
        <v>566</v>
      </c>
      <c r="W569" s="49">
        <f>((('Pump Design Summary'!$E$16-'Pump Design Summary'!$D$16)/1000)*V569)+'Pump Design Summary'!$D$16</f>
        <v>0</v>
      </c>
      <c r="X569" s="49">
        <f>IF(ISEVEN(V569),MAX('Pump Design Summary'!$D$29:$H$29)+50,0)</f>
        <v>50</v>
      </c>
      <c r="Y569" s="49"/>
    </row>
    <row r="570" spans="20:25" x14ac:dyDescent="0.25">
      <c r="T570" s="49"/>
      <c r="U570" s="49"/>
      <c r="V570" s="49">
        <v>567</v>
      </c>
      <c r="W570" s="49">
        <f>((('Pump Design Summary'!$E$16-'Pump Design Summary'!$D$16)/1000)*V570)+'Pump Design Summary'!$D$16</f>
        <v>0</v>
      </c>
      <c r="X570" s="49">
        <f>IF(ISEVEN(V570),MAX('Pump Design Summary'!$D$29:$H$29)+50,0)</f>
        <v>0</v>
      </c>
      <c r="Y570" s="49"/>
    </row>
    <row r="571" spans="20:25" x14ac:dyDescent="0.25">
      <c r="T571" s="49"/>
      <c r="U571" s="49"/>
      <c r="V571" s="49">
        <v>568</v>
      </c>
      <c r="W571" s="49">
        <f>((('Pump Design Summary'!$E$16-'Pump Design Summary'!$D$16)/1000)*V571)+'Pump Design Summary'!$D$16</f>
        <v>0</v>
      </c>
      <c r="X571" s="49">
        <f>IF(ISEVEN(V571),MAX('Pump Design Summary'!$D$29:$H$29)+50,0)</f>
        <v>50</v>
      </c>
      <c r="Y571" s="49"/>
    </row>
    <row r="572" spans="20:25" x14ac:dyDescent="0.25">
      <c r="T572" s="49"/>
      <c r="U572" s="49"/>
      <c r="V572" s="49">
        <v>569</v>
      </c>
      <c r="W572" s="49">
        <f>((('Pump Design Summary'!$E$16-'Pump Design Summary'!$D$16)/1000)*V572)+'Pump Design Summary'!$D$16</f>
        <v>0</v>
      </c>
      <c r="X572" s="49">
        <f>IF(ISEVEN(V572),MAX('Pump Design Summary'!$D$29:$H$29)+50,0)</f>
        <v>0</v>
      </c>
      <c r="Y572" s="49"/>
    </row>
    <row r="573" spans="20:25" x14ac:dyDescent="0.25">
      <c r="T573" s="49"/>
      <c r="U573" s="49"/>
      <c r="V573" s="49">
        <v>570</v>
      </c>
      <c r="W573" s="49">
        <f>((('Pump Design Summary'!$E$16-'Pump Design Summary'!$D$16)/1000)*V573)+'Pump Design Summary'!$D$16</f>
        <v>0</v>
      </c>
      <c r="X573" s="49">
        <f>IF(ISEVEN(V573),MAX('Pump Design Summary'!$D$29:$H$29)+50,0)</f>
        <v>50</v>
      </c>
      <c r="Y573" s="49"/>
    </row>
    <row r="574" spans="20:25" x14ac:dyDescent="0.25">
      <c r="T574" s="49"/>
      <c r="U574" s="49"/>
      <c r="V574" s="49">
        <v>571</v>
      </c>
      <c r="W574" s="49">
        <f>((('Pump Design Summary'!$E$16-'Pump Design Summary'!$D$16)/1000)*V574)+'Pump Design Summary'!$D$16</f>
        <v>0</v>
      </c>
      <c r="X574" s="49">
        <f>IF(ISEVEN(V574),MAX('Pump Design Summary'!$D$29:$H$29)+50,0)</f>
        <v>0</v>
      </c>
      <c r="Y574" s="49"/>
    </row>
    <row r="575" spans="20:25" x14ac:dyDescent="0.25">
      <c r="T575" s="49"/>
      <c r="U575" s="49"/>
      <c r="V575" s="49">
        <v>572</v>
      </c>
      <c r="W575" s="49">
        <f>((('Pump Design Summary'!$E$16-'Pump Design Summary'!$D$16)/1000)*V575)+'Pump Design Summary'!$D$16</f>
        <v>0</v>
      </c>
      <c r="X575" s="49">
        <f>IF(ISEVEN(V575),MAX('Pump Design Summary'!$D$29:$H$29)+50,0)</f>
        <v>50</v>
      </c>
      <c r="Y575" s="49"/>
    </row>
    <row r="576" spans="20:25" x14ac:dyDescent="0.25">
      <c r="T576" s="49"/>
      <c r="U576" s="49"/>
      <c r="V576" s="49">
        <v>573</v>
      </c>
      <c r="W576" s="49">
        <f>((('Pump Design Summary'!$E$16-'Pump Design Summary'!$D$16)/1000)*V576)+'Pump Design Summary'!$D$16</f>
        <v>0</v>
      </c>
      <c r="X576" s="49">
        <f>IF(ISEVEN(V576),MAX('Pump Design Summary'!$D$29:$H$29)+50,0)</f>
        <v>0</v>
      </c>
      <c r="Y576" s="49"/>
    </row>
    <row r="577" spans="20:25" x14ac:dyDescent="0.25">
      <c r="T577" s="49"/>
      <c r="U577" s="49"/>
      <c r="V577" s="49">
        <v>574</v>
      </c>
      <c r="W577" s="49">
        <f>((('Pump Design Summary'!$E$16-'Pump Design Summary'!$D$16)/1000)*V577)+'Pump Design Summary'!$D$16</f>
        <v>0</v>
      </c>
      <c r="X577" s="49">
        <f>IF(ISEVEN(V577),MAX('Pump Design Summary'!$D$29:$H$29)+50,0)</f>
        <v>50</v>
      </c>
      <c r="Y577" s="49"/>
    </row>
    <row r="578" spans="20:25" x14ac:dyDescent="0.25">
      <c r="T578" s="49"/>
      <c r="U578" s="49"/>
      <c r="V578" s="49">
        <v>575</v>
      </c>
      <c r="W578" s="49">
        <f>((('Pump Design Summary'!$E$16-'Pump Design Summary'!$D$16)/1000)*V578)+'Pump Design Summary'!$D$16</f>
        <v>0</v>
      </c>
      <c r="X578" s="49">
        <f>IF(ISEVEN(V578),MAX('Pump Design Summary'!$D$29:$H$29)+50,0)</f>
        <v>0</v>
      </c>
      <c r="Y578" s="49"/>
    </row>
    <row r="579" spans="20:25" x14ac:dyDescent="0.25">
      <c r="T579" s="49"/>
      <c r="U579" s="49"/>
      <c r="V579" s="49">
        <v>576</v>
      </c>
      <c r="W579" s="49">
        <f>((('Pump Design Summary'!$E$16-'Pump Design Summary'!$D$16)/1000)*V579)+'Pump Design Summary'!$D$16</f>
        <v>0</v>
      </c>
      <c r="X579" s="49">
        <f>IF(ISEVEN(V579),MAX('Pump Design Summary'!$D$29:$H$29)+50,0)</f>
        <v>50</v>
      </c>
      <c r="Y579" s="49"/>
    </row>
    <row r="580" spans="20:25" x14ac:dyDescent="0.25">
      <c r="T580" s="49"/>
      <c r="U580" s="49"/>
      <c r="V580" s="49">
        <v>577</v>
      </c>
      <c r="W580" s="49">
        <f>((('Pump Design Summary'!$E$16-'Pump Design Summary'!$D$16)/1000)*V580)+'Pump Design Summary'!$D$16</f>
        <v>0</v>
      </c>
      <c r="X580" s="49">
        <f>IF(ISEVEN(V580),MAX('Pump Design Summary'!$D$29:$H$29)+50,0)</f>
        <v>0</v>
      </c>
      <c r="Y580" s="49"/>
    </row>
    <row r="581" spans="20:25" x14ac:dyDescent="0.25">
      <c r="T581" s="49"/>
      <c r="U581" s="49"/>
      <c r="V581" s="49">
        <v>578</v>
      </c>
      <c r="W581" s="49">
        <f>((('Pump Design Summary'!$E$16-'Pump Design Summary'!$D$16)/1000)*V581)+'Pump Design Summary'!$D$16</f>
        <v>0</v>
      </c>
      <c r="X581" s="49">
        <f>IF(ISEVEN(V581),MAX('Pump Design Summary'!$D$29:$H$29)+50,0)</f>
        <v>50</v>
      </c>
      <c r="Y581" s="49"/>
    </row>
    <row r="582" spans="20:25" x14ac:dyDescent="0.25">
      <c r="T582" s="49"/>
      <c r="U582" s="49"/>
      <c r="V582" s="49">
        <v>579</v>
      </c>
      <c r="W582" s="49">
        <f>((('Pump Design Summary'!$E$16-'Pump Design Summary'!$D$16)/1000)*V582)+'Pump Design Summary'!$D$16</f>
        <v>0</v>
      </c>
      <c r="X582" s="49">
        <f>IF(ISEVEN(V582),MAX('Pump Design Summary'!$D$29:$H$29)+50,0)</f>
        <v>0</v>
      </c>
      <c r="Y582" s="49"/>
    </row>
    <row r="583" spans="20:25" x14ac:dyDescent="0.25">
      <c r="T583" s="49"/>
      <c r="U583" s="49"/>
      <c r="V583" s="49">
        <v>580</v>
      </c>
      <c r="W583" s="49">
        <f>((('Pump Design Summary'!$E$16-'Pump Design Summary'!$D$16)/1000)*V583)+'Pump Design Summary'!$D$16</f>
        <v>0</v>
      </c>
      <c r="X583" s="49">
        <f>IF(ISEVEN(V583),MAX('Pump Design Summary'!$D$29:$H$29)+50,0)</f>
        <v>50</v>
      </c>
      <c r="Y583" s="49"/>
    </row>
    <row r="584" spans="20:25" x14ac:dyDescent="0.25">
      <c r="T584" s="49"/>
      <c r="U584" s="49"/>
      <c r="V584" s="49">
        <v>581</v>
      </c>
      <c r="W584" s="49">
        <f>((('Pump Design Summary'!$E$16-'Pump Design Summary'!$D$16)/1000)*V584)+'Pump Design Summary'!$D$16</f>
        <v>0</v>
      </c>
      <c r="X584" s="49">
        <f>IF(ISEVEN(V584),MAX('Pump Design Summary'!$D$29:$H$29)+50,0)</f>
        <v>0</v>
      </c>
      <c r="Y584" s="49"/>
    </row>
    <row r="585" spans="20:25" x14ac:dyDescent="0.25">
      <c r="T585" s="49"/>
      <c r="U585" s="49"/>
      <c r="V585" s="49">
        <v>582</v>
      </c>
      <c r="W585" s="49">
        <f>((('Pump Design Summary'!$E$16-'Pump Design Summary'!$D$16)/1000)*V585)+'Pump Design Summary'!$D$16</f>
        <v>0</v>
      </c>
      <c r="X585" s="49">
        <f>IF(ISEVEN(V585),MAX('Pump Design Summary'!$D$29:$H$29)+50,0)</f>
        <v>50</v>
      </c>
      <c r="Y585" s="49"/>
    </row>
    <row r="586" spans="20:25" x14ac:dyDescent="0.25">
      <c r="T586" s="49"/>
      <c r="U586" s="49"/>
      <c r="V586" s="49">
        <v>583</v>
      </c>
      <c r="W586" s="49">
        <f>((('Pump Design Summary'!$E$16-'Pump Design Summary'!$D$16)/1000)*V586)+'Pump Design Summary'!$D$16</f>
        <v>0</v>
      </c>
      <c r="X586" s="49">
        <f>IF(ISEVEN(V586),MAX('Pump Design Summary'!$D$29:$H$29)+50,0)</f>
        <v>0</v>
      </c>
      <c r="Y586" s="49"/>
    </row>
    <row r="587" spans="20:25" x14ac:dyDescent="0.25">
      <c r="T587" s="49"/>
      <c r="U587" s="49"/>
      <c r="V587" s="49">
        <v>584</v>
      </c>
      <c r="W587" s="49">
        <f>((('Pump Design Summary'!$E$16-'Pump Design Summary'!$D$16)/1000)*V587)+'Pump Design Summary'!$D$16</f>
        <v>0</v>
      </c>
      <c r="X587" s="49">
        <f>IF(ISEVEN(V587),MAX('Pump Design Summary'!$D$29:$H$29)+50,0)</f>
        <v>50</v>
      </c>
      <c r="Y587" s="49"/>
    </row>
    <row r="588" spans="20:25" x14ac:dyDescent="0.25">
      <c r="T588" s="49"/>
      <c r="U588" s="49"/>
      <c r="V588" s="49">
        <v>585</v>
      </c>
      <c r="W588" s="49">
        <f>((('Pump Design Summary'!$E$16-'Pump Design Summary'!$D$16)/1000)*V588)+'Pump Design Summary'!$D$16</f>
        <v>0</v>
      </c>
      <c r="X588" s="49">
        <f>IF(ISEVEN(V588),MAX('Pump Design Summary'!$D$29:$H$29)+50,0)</f>
        <v>0</v>
      </c>
      <c r="Y588" s="49"/>
    </row>
    <row r="589" spans="20:25" x14ac:dyDescent="0.25">
      <c r="T589" s="49"/>
      <c r="U589" s="49"/>
      <c r="V589" s="49">
        <v>586</v>
      </c>
      <c r="W589" s="49">
        <f>((('Pump Design Summary'!$E$16-'Pump Design Summary'!$D$16)/1000)*V589)+'Pump Design Summary'!$D$16</f>
        <v>0</v>
      </c>
      <c r="X589" s="49">
        <f>IF(ISEVEN(V589),MAX('Pump Design Summary'!$D$29:$H$29)+50,0)</f>
        <v>50</v>
      </c>
      <c r="Y589" s="49"/>
    </row>
    <row r="590" spans="20:25" x14ac:dyDescent="0.25">
      <c r="T590" s="49"/>
      <c r="U590" s="49"/>
      <c r="V590" s="49">
        <v>587</v>
      </c>
      <c r="W590" s="49">
        <f>((('Pump Design Summary'!$E$16-'Pump Design Summary'!$D$16)/1000)*V590)+'Pump Design Summary'!$D$16</f>
        <v>0</v>
      </c>
      <c r="X590" s="49">
        <f>IF(ISEVEN(V590),MAX('Pump Design Summary'!$D$29:$H$29)+50,0)</f>
        <v>0</v>
      </c>
      <c r="Y590" s="49"/>
    </row>
    <row r="591" spans="20:25" x14ac:dyDescent="0.25">
      <c r="T591" s="49"/>
      <c r="U591" s="49"/>
      <c r="V591" s="49">
        <v>588</v>
      </c>
      <c r="W591" s="49">
        <f>((('Pump Design Summary'!$E$16-'Pump Design Summary'!$D$16)/1000)*V591)+'Pump Design Summary'!$D$16</f>
        <v>0</v>
      </c>
      <c r="X591" s="49">
        <f>IF(ISEVEN(V591),MAX('Pump Design Summary'!$D$29:$H$29)+50,0)</f>
        <v>50</v>
      </c>
      <c r="Y591" s="49"/>
    </row>
    <row r="592" spans="20:25" x14ac:dyDescent="0.25">
      <c r="T592" s="49"/>
      <c r="U592" s="49"/>
      <c r="V592" s="49">
        <v>589</v>
      </c>
      <c r="W592" s="49">
        <f>((('Pump Design Summary'!$E$16-'Pump Design Summary'!$D$16)/1000)*V592)+'Pump Design Summary'!$D$16</f>
        <v>0</v>
      </c>
      <c r="X592" s="49">
        <f>IF(ISEVEN(V592),MAX('Pump Design Summary'!$D$29:$H$29)+50,0)</f>
        <v>0</v>
      </c>
      <c r="Y592" s="49"/>
    </row>
    <row r="593" spans="20:25" x14ac:dyDescent="0.25">
      <c r="T593" s="49"/>
      <c r="U593" s="49"/>
      <c r="V593" s="49">
        <v>590</v>
      </c>
      <c r="W593" s="49">
        <f>((('Pump Design Summary'!$E$16-'Pump Design Summary'!$D$16)/1000)*V593)+'Pump Design Summary'!$D$16</f>
        <v>0</v>
      </c>
      <c r="X593" s="49">
        <f>IF(ISEVEN(V593),MAX('Pump Design Summary'!$D$29:$H$29)+50,0)</f>
        <v>50</v>
      </c>
      <c r="Y593" s="49"/>
    </row>
    <row r="594" spans="20:25" x14ac:dyDescent="0.25">
      <c r="T594" s="49"/>
      <c r="U594" s="49"/>
      <c r="V594" s="49">
        <v>591</v>
      </c>
      <c r="W594" s="49">
        <f>((('Pump Design Summary'!$E$16-'Pump Design Summary'!$D$16)/1000)*V594)+'Pump Design Summary'!$D$16</f>
        <v>0</v>
      </c>
      <c r="X594" s="49">
        <f>IF(ISEVEN(V594),MAX('Pump Design Summary'!$D$29:$H$29)+50,0)</f>
        <v>0</v>
      </c>
      <c r="Y594" s="49"/>
    </row>
    <row r="595" spans="20:25" x14ac:dyDescent="0.25">
      <c r="T595" s="49"/>
      <c r="U595" s="49"/>
      <c r="V595" s="49">
        <v>592</v>
      </c>
      <c r="W595" s="49">
        <f>((('Pump Design Summary'!$E$16-'Pump Design Summary'!$D$16)/1000)*V595)+'Pump Design Summary'!$D$16</f>
        <v>0</v>
      </c>
      <c r="X595" s="49">
        <f>IF(ISEVEN(V595),MAX('Pump Design Summary'!$D$29:$H$29)+50,0)</f>
        <v>50</v>
      </c>
      <c r="Y595" s="49"/>
    </row>
    <row r="596" spans="20:25" x14ac:dyDescent="0.25">
      <c r="T596" s="49"/>
      <c r="U596" s="49"/>
      <c r="V596" s="49">
        <v>593</v>
      </c>
      <c r="W596" s="49">
        <f>((('Pump Design Summary'!$E$16-'Pump Design Summary'!$D$16)/1000)*V596)+'Pump Design Summary'!$D$16</f>
        <v>0</v>
      </c>
      <c r="X596" s="49">
        <f>IF(ISEVEN(V596),MAX('Pump Design Summary'!$D$29:$H$29)+50,0)</f>
        <v>0</v>
      </c>
      <c r="Y596" s="49"/>
    </row>
    <row r="597" spans="20:25" x14ac:dyDescent="0.25">
      <c r="T597" s="49"/>
      <c r="U597" s="49"/>
      <c r="V597" s="49">
        <v>594</v>
      </c>
      <c r="W597" s="49">
        <f>((('Pump Design Summary'!$E$16-'Pump Design Summary'!$D$16)/1000)*V597)+'Pump Design Summary'!$D$16</f>
        <v>0</v>
      </c>
      <c r="X597" s="49">
        <f>IF(ISEVEN(V597),MAX('Pump Design Summary'!$D$29:$H$29)+50,0)</f>
        <v>50</v>
      </c>
      <c r="Y597" s="49"/>
    </row>
    <row r="598" spans="20:25" x14ac:dyDescent="0.25">
      <c r="T598" s="49"/>
      <c r="U598" s="49"/>
      <c r="V598" s="49">
        <v>595</v>
      </c>
      <c r="W598" s="49">
        <f>((('Pump Design Summary'!$E$16-'Pump Design Summary'!$D$16)/1000)*V598)+'Pump Design Summary'!$D$16</f>
        <v>0</v>
      </c>
      <c r="X598" s="49">
        <f>IF(ISEVEN(V598),MAX('Pump Design Summary'!$D$29:$H$29)+50,0)</f>
        <v>0</v>
      </c>
      <c r="Y598" s="49"/>
    </row>
    <row r="599" spans="20:25" x14ac:dyDescent="0.25">
      <c r="T599" s="49"/>
      <c r="U599" s="49"/>
      <c r="V599" s="49">
        <v>596</v>
      </c>
      <c r="W599" s="49">
        <f>((('Pump Design Summary'!$E$16-'Pump Design Summary'!$D$16)/1000)*V599)+'Pump Design Summary'!$D$16</f>
        <v>0</v>
      </c>
      <c r="X599" s="49">
        <f>IF(ISEVEN(V599),MAX('Pump Design Summary'!$D$29:$H$29)+50,0)</f>
        <v>50</v>
      </c>
      <c r="Y599" s="49"/>
    </row>
    <row r="600" spans="20:25" x14ac:dyDescent="0.25">
      <c r="T600" s="49"/>
      <c r="U600" s="49"/>
      <c r="V600" s="49">
        <v>597</v>
      </c>
      <c r="W600" s="49">
        <f>((('Pump Design Summary'!$E$16-'Pump Design Summary'!$D$16)/1000)*V600)+'Pump Design Summary'!$D$16</f>
        <v>0</v>
      </c>
      <c r="X600" s="49">
        <f>IF(ISEVEN(V600),MAX('Pump Design Summary'!$D$29:$H$29)+50,0)</f>
        <v>0</v>
      </c>
      <c r="Y600" s="49"/>
    </row>
    <row r="601" spans="20:25" x14ac:dyDescent="0.25">
      <c r="T601" s="49"/>
      <c r="U601" s="49"/>
      <c r="V601" s="49">
        <v>598</v>
      </c>
      <c r="W601" s="49">
        <f>((('Pump Design Summary'!$E$16-'Pump Design Summary'!$D$16)/1000)*V601)+'Pump Design Summary'!$D$16</f>
        <v>0</v>
      </c>
      <c r="X601" s="49">
        <f>IF(ISEVEN(V601),MAX('Pump Design Summary'!$D$29:$H$29)+50,0)</f>
        <v>50</v>
      </c>
      <c r="Y601" s="49"/>
    </row>
    <row r="602" spans="20:25" x14ac:dyDescent="0.25">
      <c r="T602" s="49"/>
      <c r="U602" s="49"/>
      <c r="V602" s="49">
        <v>599</v>
      </c>
      <c r="W602" s="49">
        <f>((('Pump Design Summary'!$E$16-'Pump Design Summary'!$D$16)/1000)*V602)+'Pump Design Summary'!$D$16</f>
        <v>0</v>
      </c>
      <c r="X602" s="49">
        <f>IF(ISEVEN(V602),MAX('Pump Design Summary'!$D$29:$H$29)+50,0)</f>
        <v>0</v>
      </c>
      <c r="Y602" s="49"/>
    </row>
    <row r="603" spans="20:25" x14ac:dyDescent="0.25">
      <c r="T603" s="49"/>
      <c r="U603" s="49"/>
      <c r="V603" s="49">
        <v>600</v>
      </c>
      <c r="W603" s="49">
        <f>((('Pump Design Summary'!$E$16-'Pump Design Summary'!$D$16)/1000)*V603)+'Pump Design Summary'!$D$16</f>
        <v>0</v>
      </c>
      <c r="X603" s="49">
        <f>IF(ISEVEN(V603),MAX('Pump Design Summary'!$D$29:$H$29)+50,0)</f>
        <v>50</v>
      </c>
      <c r="Y603" s="49"/>
    </row>
    <row r="604" spans="20:25" x14ac:dyDescent="0.25">
      <c r="T604" s="49"/>
      <c r="U604" s="49"/>
      <c r="V604" s="49">
        <v>601</v>
      </c>
      <c r="W604" s="49">
        <f>((('Pump Design Summary'!$E$16-'Pump Design Summary'!$D$16)/1000)*V604)+'Pump Design Summary'!$D$16</f>
        <v>0</v>
      </c>
      <c r="X604" s="49">
        <f>IF(ISEVEN(V604),MAX('Pump Design Summary'!$D$29:$H$29)+50,0)</f>
        <v>0</v>
      </c>
      <c r="Y604" s="49"/>
    </row>
    <row r="605" spans="20:25" x14ac:dyDescent="0.25">
      <c r="T605" s="49"/>
      <c r="U605" s="49"/>
      <c r="V605" s="49">
        <v>602</v>
      </c>
      <c r="W605" s="49">
        <f>((('Pump Design Summary'!$E$16-'Pump Design Summary'!$D$16)/1000)*V605)+'Pump Design Summary'!$D$16</f>
        <v>0</v>
      </c>
      <c r="X605" s="49">
        <f>IF(ISEVEN(V605),MAX('Pump Design Summary'!$D$29:$H$29)+50,0)</f>
        <v>50</v>
      </c>
      <c r="Y605" s="49"/>
    </row>
    <row r="606" spans="20:25" x14ac:dyDescent="0.25">
      <c r="T606" s="49"/>
      <c r="U606" s="49"/>
      <c r="V606" s="49">
        <v>603</v>
      </c>
      <c r="W606" s="49">
        <f>((('Pump Design Summary'!$E$16-'Pump Design Summary'!$D$16)/1000)*V606)+'Pump Design Summary'!$D$16</f>
        <v>0</v>
      </c>
      <c r="X606" s="49">
        <f>IF(ISEVEN(V606),MAX('Pump Design Summary'!$D$29:$H$29)+50,0)</f>
        <v>0</v>
      </c>
      <c r="Y606" s="49"/>
    </row>
    <row r="607" spans="20:25" x14ac:dyDescent="0.25">
      <c r="T607" s="49"/>
      <c r="U607" s="49"/>
      <c r="V607" s="49">
        <v>604</v>
      </c>
      <c r="W607" s="49">
        <f>((('Pump Design Summary'!$E$16-'Pump Design Summary'!$D$16)/1000)*V607)+'Pump Design Summary'!$D$16</f>
        <v>0</v>
      </c>
      <c r="X607" s="49">
        <f>IF(ISEVEN(V607),MAX('Pump Design Summary'!$D$29:$H$29)+50,0)</f>
        <v>50</v>
      </c>
      <c r="Y607" s="49"/>
    </row>
    <row r="608" spans="20:25" x14ac:dyDescent="0.25">
      <c r="T608" s="49"/>
      <c r="U608" s="49"/>
      <c r="V608" s="49">
        <v>605</v>
      </c>
      <c r="W608" s="49">
        <f>((('Pump Design Summary'!$E$16-'Pump Design Summary'!$D$16)/1000)*V608)+'Pump Design Summary'!$D$16</f>
        <v>0</v>
      </c>
      <c r="X608" s="49">
        <f>IF(ISEVEN(V608),MAX('Pump Design Summary'!$D$29:$H$29)+50,0)</f>
        <v>0</v>
      </c>
      <c r="Y608" s="49"/>
    </row>
    <row r="609" spans="20:25" x14ac:dyDescent="0.25">
      <c r="T609" s="49"/>
      <c r="U609" s="49"/>
      <c r="V609" s="49">
        <v>606</v>
      </c>
      <c r="W609" s="49">
        <f>((('Pump Design Summary'!$E$16-'Pump Design Summary'!$D$16)/1000)*V609)+'Pump Design Summary'!$D$16</f>
        <v>0</v>
      </c>
      <c r="X609" s="49">
        <f>IF(ISEVEN(V609),MAX('Pump Design Summary'!$D$29:$H$29)+50,0)</f>
        <v>50</v>
      </c>
      <c r="Y609" s="49"/>
    </row>
    <row r="610" spans="20:25" x14ac:dyDescent="0.25">
      <c r="T610" s="49"/>
      <c r="U610" s="49"/>
      <c r="V610" s="49">
        <v>607</v>
      </c>
      <c r="W610" s="49">
        <f>((('Pump Design Summary'!$E$16-'Pump Design Summary'!$D$16)/1000)*V610)+'Pump Design Summary'!$D$16</f>
        <v>0</v>
      </c>
      <c r="X610" s="49">
        <f>IF(ISEVEN(V610),MAX('Pump Design Summary'!$D$29:$H$29)+50,0)</f>
        <v>0</v>
      </c>
      <c r="Y610" s="49"/>
    </row>
    <row r="611" spans="20:25" x14ac:dyDescent="0.25">
      <c r="T611" s="49"/>
      <c r="U611" s="49"/>
      <c r="V611" s="49">
        <v>608</v>
      </c>
      <c r="W611" s="49">
        <f>((('Pump Design Summary'!$E$16-'Pump Design Summary'!$D$16)/1000)*V611)+'Pump Design Summary'!$D$16</f>
        <v>0</v>
      </c>
      <c r="X611" s="49">
        <f>IF(ISEVEN(V611),MAX('Pump Design Summary'!$D$29:$H$29)+50,0)</f>
        <v>50</v>
      </c>
      <c r="Y611" s="49"/>
    </row>
    <row r="612" spans="20:25" x14ac:dyDescent="0.25">
      <c r="T612" s="49"/>
      <c r="U612" s="49"/>
      <c r="V612" s="49">
        <v>609</v>
      </c>
      <c r="W612" s="49">
        <f>((('Pump Design Summary'!$E$16-'Pump Design Summary'!$D$16)/1000)*V612)+'Pump Design Summary'!$D$16</f>
        <v>0</v>
      </c>
      <c r="X612" s="49">
        <f>IF(ISEVEN(V612),MAX('Pump Design Summary'!$D$29:$H$29)+50,0)</f>
        <v>0</v>
      </c>
      <c r="Y612" s="49"/>
    </row>
    <row r="613" spans="20:25" x14ac:dyDescent="0.25">
      <c r="T613" s="49"/>
      <c r="U613" s="49"/>
      <c r="V613" s="49">
        <v>610</v>
      </c>
      <c r="W613" s="49">
        <f>((('Pump Design Summary'!$E$16-'Pump Design Summary'!$D$16)/1000)*V613)+'Pump Design Summary'!$D$16</f>
        <v>0</v>
      </c>
      <c r="X613" s="49">
        <f>IF(ISEVEN(V613),MAX('Pump Design Summary'!$D$29:$H$29)+50,0)</f>
        <v>50</v>
      </c>
      <c r="Y613" s="49"/>
    </row>
    <row r="614" spans="20:25" x14ac:dyDescent="0.25">
      <c r="T614" s="49"/>
      <c r="U614" s="49"/>
      <c r="V614" s="49">
        <v>611</v>
      </c>
      <c r="W614" s="49">
        <f>((('Pump Design Summary'!$E$16-'Pump Design Summary'!$D$16)/1000)*V614)+'Pump Design Summary'!$D$16</f>
        <v>0</v>
      </c>
      <c r="X614" s="49">
        <f>IF(ISEVEN(V614),MAX('Pump Design Summary'!$D$29:$H$29)+50,0)</f>
        <v>0</v>
      </c>
      <c r="Y614" s="49"/>
    </row>
    <row r="615" spans="20:25" x14ac:dyDescent="0.25">
      <c r="T615" s="49"/>
      <c r="U615" s="49"/>
      <c r="V615" s="49">
        <v>612</v>
      </c>
      <c r="W615" s="49">
        <f>((('Pump Design Summary'!$E$16-'Pump Design Summary'!$D$16)/1000)*V615)+'Pump Design Summary'!$D$16</f>
        <v>0</v>
      </c>
      <c r="X615" s="49">
        <f>IF(ISEVEN(V615),MAX('Pump Design Summary'!$D$29:$H$29)+50,0)</f>
        <v>50</v>
      </c>
      <c r="Y615" s="49"/>
    </row>
    <row r="616" spans="20:25" x14ac:dyDescent="0.25">
      <c r="T616" s="49"/>
      <c r="U616" s="49"/>
      <c r="V616" s="49">
        <v>613</v>
      </c>
      <c r="W616" s="49">
        <f>((('Pump Design Summary'!$E$16-'Pump Design Summary'!$D$16)/1000)*V616)+'Pump Design Summary'!$D$16</f>
        <v>0</v>
      </c>
      <c r="X616" s="49">
        <f>IF(ISEVEN(V616),MAX('Pump Design Summary'!$D$29:$H$29)+50,0)</f>
        <v>0</v>
      </c>
      <c r="Y616" s="49"/>
    </row>
    <row r="617" spans="20:25" x14ac:dyDescent="0.25">
      <c r="T617" s="49"/>
      <c r="U617" s="49"/>
      <c r="V617" s="49">
        <v>614</v>
      </c>
      <c r="W617" s="49">
        <f>((('Pump Design Summary'!$E$16-'Pump Design Summary'!$D$16)/1000)*V617)+'Pump Design Summary'!$D$16</f>
        <v>0</v>
      </c>
      <c r="X617" s="49">
        <f>IF(ISEVEN(V617),MAX('Pump Design Summary'!$D$29:$H$29)+50,0)</f>
        <v>50</v>
      </c>
      <c r="Y617" s="49"/>
    </row>
    <row r="618" spans="20:25" x14ac:dyDescent="0.25">
      <c r="T618" s="49"/>
      <c r="U618" s="49"/>
      <c r="V618" s="49">
        <v>615</v>
      </c>
      <c r="W618" s="49">
        <f>((('Pump Design Summary'!$E$16-'Pump Design Summary'!$D$16)/1000)*V618)+'Pump Design Summary'!$D$16</f>
        <v>0</v>
      </c>
      <c r="X618" s="49">
        <f>IF(ISEVEN(V618),MAX('Pump Design Summary'!$D$29:$H$29)+50,0)</f>
        <v>0</v>
      </c>
      <c r="Y618" s="49"/>
    </row>
    <row r="619" spans="20:25" x14ac:dyDescent="0.25">
      <c r="T619" s="49"/>
      <c r="U619" s="49"/>
      <c r="V619" s="49">
        <v>616</v>
      </c>
      <c r="W619" s="49">
        <f>((('Pump Design Summary'!$E$16-'Pump Design Summary'!$D$16)/1000)*V619)+'Pump Design Summary'!$D$16</f>
        <v>0</v>
      </c>
      <c r="X619" s="49">
        <f>IF(ISEVEN(V619),MAX('Pump Design Summary'!$D$29:$H$29)+50,0)</f>
        <v>50</v>
      </c>
      <c r="Y619" s="49"/>
    </row>
    <row r="620" spans="20:25" x14ac:dyDescent="0.25">
      <c r="T620" s="49"/>
      <c r="U620" s="49"/>
      <c r="V620" s="49">
        <v>617</v>
      </c>
      <c r="W620" s="49">
        <f>((('Pump Design Summary'!$E$16-'Pump Design Summary'!$D$16)/1000)*V620)+'Pump Design Summary'!$D$16</f>
        <v>0</v>
      </c>
      <c r="X620" s="49">
        <f>IF(ISEVEN(V620),MAX('Pump Design Summary'!$D$29:$H$29)+50,0)</f>
        <v>0</v>
      </c>
      <c r="Y620" s="49"/>
    </row>
    <row r="621" spans="20:25" x14ac:dyDescent="0.25">
      <c r="T621" s="49"/>
      <c r="U621" s="49"/>
      <c r="V621" s="49">
        <v>618</v>
      </c>
      <c r="W621" s="49">
        <f>((('Pump Design Summary'!$E$16-'Pump Design Summary'!$D$16)/1000)*V621)+'Pump Design Summary'!$D$16</f>
        <v>0</v>
      </c>
      <c r="X621" s="49">
        <f>IF(ISEVEN(V621),MAX('Pump Design Summary'!$D$29:$H$29)+50,0)</f>
        <v>50</v>
      </c>
      <c r="Y621" s="49"/>
    </row>
    <row r="622" spans="20:25" x14ac:dyDescent="0.25">
      <c r="T622" s="49"/>
      <c r="U622" s="49"/>
      <c r="V622" s="49">
        <v>619</v>
      </c>
      <c r="W622" s="49">
        <f>((('Pump Design Summary'!$E$16-'Pump Design Summary'!$D$16)/1000)*V622)+'Pump Design Summary'!$D$16</f>
        <v>0</v>
      </c>
      <c r="X622" s="49">
        <f>IF(ISEVEN(V622),MAX('Pump Design Summary'!$D$29:$H$29)+50,0)</f>
        <v>0</v>
      </c>
      <c r="Y622" s="49"/>
    </row>
    <row r="623" spans="20:25" x14ac:dyDescent="0.25">
      <c r="T623" s="49"/>
      <c r="U623" s="49"/>
      <c r="V623" s="49">
        <v>620</v>
      </c>
      <c r="W623" s="49">
        <f>((('Pump Design Summary'!$E$16-'Pump Design Summary'!$D$16)/1000)*V623)+'Pump Design Summary'!$D$16</f>
        <v>0</v>
      </c>
      <c r="X623" s="49">
        <f>IF(ISEVEN(V623),MAX('Pump Design Summary'!$D$29:$H$29)+50,0)</f>
        <v>50</v>
      </c>
      <c r="Y623" s="49"/>
    </row>
    <row r="624" spans="20:25" x14ac:dyDescent="0.25">
      <c r="T624" s="49"/>
      <c r="U624" s="49"/>
      <c r="V624" s="49">
        <v>621</v>
      </c>
      <c r="W624" s="49">
        <f>((('Pump Design Summary'!$E$16-'Pump Design Summary'!$D$16)/1000)*V624)+'Pump Design Summary'!$D$16</f>
        <v>0</v>
      </c>
      <c r="X624" s="49">
        <f>IF(ISEVEN(V624),MAX('Pump Design Summary'!$D$29:$H$29)+50,0)</f>
        <v>0</v>
      </c>
      <c r="Y624" s="49"/>
    </row>
    <row r="625" spans="20:25" x14ac:dyDescent="0.25">
      <c r="T625" s="49"/>
      <c r="U625" s="49"/>
      <c r="V625" s="49">
        <v>622</v>
      </c>
      <c r="W625" s="49">
        <f>((('Pump Design Summary'!$E$16-'Pump Design Summary'!$D$16)/1000)*V625)+'Pump Design Summary'!$D$16</f>
        <v>0</v>
      </c>
      <c r="X625" s="49">
        <f>IF(ISEVEN(V625),MAX('Pump Design Summary'!$D$29:$H$29)+50,0)</f>
        <v>50</v>
      </c>
      <c r="Y625" s="49"/>
    </row>
    <row r="626" spans="20:25" x14ac:dyDescent="0.25">
      <c r="T626" s="49"/>
      <c r="U626" s="49"/>
      <c r="V626" s="49">
        <v>623</v>
      </c>
      <c r="W626" s="49">
        <f>((('Pump Design Summary'!$E$16-'Pump Design Summary'!$D$16)/1000)*V626)+'Pump Design Summary'!$D$16</f>
        <v>0</v>
      </c>
      <c r="X626" s="49">
        <f>IF(ISEVEN(V626),MAX('Pump Design Summary'!$D$29:$H$29)+50,0)</f>
        <v>0</v>
      </c>
      <c r="Y626" s="49"/>
    </row>
    <row r="627" spans="20:25" x14ac:dyDescent="0.25">
      <c r="T627" s="49"/>
      <c r="U627" s="49"/>
      <c r="V627" s="49">
        <v>624</v>
      </c>
      <c r="W627" s="49">
        <f>((('Pump Design Summary'!$E$16-'Pump Design Summary'!$D$16)/1000)*V627)+'Pump Design Summary'!$D$16</f>
        <v>0</v>
      </c>
      <c r="X627" s="49">
        <f>IF(ISEVEN(V627),MAX('Pump Design Summary'!$D$29:$H$29)+50,0)</f>
        <v>50</v>
      </c>
      <c r="Y627" s="49"/>
    </row>
    <row r="628" spans="20:25" x14ac:dyDescent="0.25">
      <c r="T628" s="49"/>
      <c r="U628" s="49"/>
      <c r="V628" s="49">
        <v>625</v>
      </c>
      <c r="W628" s="49">
        <f>((('Pump Design Summary'!$E$16-'Pump Design Summary'!$D$16)/1000)*V628)+'Pump Design Summary'!$D$16</f>
        <v>0</v>
      </c>
      <c r="X628" s="49">
        <f>IF(ISEVEN(V628),MAX('Pump Design Summary'!$D$29:$H$29)+50,0)</f>
        <v>0</v>
      </c>
      <c r="Y628" s="49"/>
    </row>
    <row r="629" spans="20:25" x14ac:dyDescent="0.25">
      <c r="T629" s="49"/>
      <c r="U629" s="49"/>
      <c r="V629" s="49">
        <v>626</v>
      </c>
      <c r="W629" s="49">
        <f>((('Pump Design Summary'!$E$16-'Pump Design Summary'!$D$16)/1000)*V629)+'Pump Design Summary'!$D$16</f>
        <v>0</v>
      </c>
      <c r="X629" s="49">
        <f>IF(ISEVEN(V629),MAX('Pump Design Summary'!$D$29:$H$29)+50,0)</f>
        <v>50</v>
      </c>
      <c r="Y629" s="49"/>
    </row>
    <row r="630" spans="20:25" x14ac:dyDescent="0.25">
      <c r="T630" s="49"/>
      <c r="U630" s="49"/>
      <c r="V630" s="49">
        <v>627</v>
      </c>
      <c r="W630" s="49">
        <f>((('Pump Design Summary'!$E$16-'Pump Design Summary'!$D$16)/1000)*V630)+'Pump Design Summary'!$D$16</f>
        <v>0</v>
      </c>
      <c r="X630" s="49">
        <f>IF(ISEVEN(V630),MAX('Pump Design Summary'!$D$29:$H$29)+50,0)</f>
        <v>0</v>
      </c>
      <c r="Y630" s="49"/>
    </row>
    <row r="631" spans="20:25" x14ac:dyDescent="0.25">
      <c r="T631" s="49"/>
      <c r="U631" s="49"/>
      <c r="V631" s="49">
        <v>628</v>
      </c>
      <c r="W631" s="49">
        <f>((('Pump Design Summary'!$E$16-'Pump Design Summary'!$D$16)/1000)*V631)+'Pump Design Summary'!$D$16</f>
        <v>0</v>
      </c>
      <c r="X631" s="49">
        <f>IF(ISEVEN(V631),MAX('Pump Design Summary'!$D$29:$H$29)+50,0)</f>
        <v>50</v>
      </c>
      <c r="Y631" s="49"/>
    </row>
    <row r="632" spans="20:25" x14ac:dyDescent="0.25">
      <c r="T632" s="49"/>
      <c r="U632" s="49"/>
      <c r="V632" s="49">
        <v>629</v>
      </c>
      <c r="W632" s="49">
        <f>((('Pump Design Summary'!$E$16-'Pump Design Summary'!$D$16)/1000)*V632)+'Pump Design Summary'!$D$16</f>
        <v>0</v>
      </c>
      <c r="X632" s="49">
        <f>IF(ISEVEN(V632),MAX('Pump Design Summary'!$D$29:$H$29)+50,0)</f>
        <v>0</v>
      </c>
      <c r="Y632" s="49"/>
    </row>
    <row r="633" spans="20:25" x14ac:dyDescent="0.25">
      <c r="T633" s="49"/>
      <c r="U633" s="49"/>
      <c r="V633" s="49">
        <v>630</v>
      </c>
      <c r="W633" s="49">
        <f>((('Pump Design Summary'!$E$16-'Pump Design Summary'!$D$16)/1000)*V633)+'Pump Design Summary'!$D$16</f>
        <v>0</v>
      </c>
      <c r="X633" s="49">
        <f>IF(ISEVEN(V633),MAX('Pump Design Summary'!$D$29:$H$29)+50,0)</f>
        <v>50</v>
      </c>
      <c r="Y633" s="49"/>
    </row>
    <row r="634" spans="20:25" x14ac:dyDescent="0.25">
      <c r="T634" s="49"/>
      <c r="U634" s="49"/>
      <c r="V634" s="49">
        <v>631</v>
      </c>
      <c r="W634" s="49">
        <f>((('Pump Design Summary'!$E$16-'Pump Design Summary'!$D$16)/1000)*V634)+'Pump Design Summary'!$D$16</f>
        <v>0</v>
      </c>
      <c r="X634" s="49">
        <f>IF(ISEVEN(V634),MAX('Pump Design Summary'!$D$29:$H$29)+50,0)</f>
        <v>0</v>
      </c>
      <c r="Y634" s="49"/>
    </row>
    <row r="635" spans="20:25" x14ac:dyDescent="0.25">
      <c r="T635" s="49"/>
      <c r="U635" s="49"/>
      <c r="V635" s="49">
        <v>632</v>
      </c>
      <c r="W635" s="49">
        <f>((('Pump Design Summary'!$E$16-'Pump Design Summary'!$D$16)/1000)*V635)+'Pump Design Summary'!$D$16</f>
        <v>0</v>
      </c>
      <c r="X635" s="49">
        <f>IF(ISEVEN(V635),MAX('Pump Design Summary'!$D$29:$H$29)+50,0)</f>
        <v>50</v>
      </c>
      <c r="Y635" s="49"/>
    </row>
    <row r="636" spans="20:25" x14ac:dyDescent="0.25">
      <c r="T636" s="49"/>
      <c r="U636" s="49"/>
      <c r="V636" s="49">
        <v>633</v>
      </c>
      <c r="W636" s="49">
        <f>((('Pump Design Summary'!$E$16-'Pump Design Summary'!$D$16)/1000)*V636)+'Pump Design Summary'!$D$16</f>
        <v>0</v>
      </c>
      <c r="X636" s="49">
        <f>IF(ISEVEN(V636),MAX('Pump Design Summary'!$D$29:$H$29)+50,0)</f>
        <v>0</v>
      </c>
      <c r="Y636" s="49"/>
    </row>
    <row r="637" spans="20:25" x14ac:dyDescent="0.25">
      <c r="T637" s="49"/>
      <c r="U637" s="49"/>
      <c r="V637" s="49">
        <v>634</v>
      </c>
      <c r="W637" s="49">
        <f>((('Pump Design Summary'!$E$16-'Pump Design Summary'!$D$16)/1000)*V637)+'Pump Design Summary'!$D$16</f>
        <v>0</v>
      </c>
      <c r="X637" s="49">
        <f>IF(ISEVEN(V637),MAX('Pump Design Summary'!$D$29:$H$29)+50,0)</f>
        <v>50</v>
      </c>
      <c r="Y637" s="49"/>
    </row>
    <row r="638" spans="20:25" x14ac:dyDescent="0.25">
      <c r="T638" s="49"/>
      <c r="U638" s="49"/>
      <c r="V638" s="49">
        <v>635</v>
      </c>
      <c r="W638" s="49">
        <f>((('Pump Design Summary'!$E$16-'Pump Design Summary'!$D$16)/1000)*V638)+'Pump Design Summary'!$D$16</f>
        <v>0</v>
      </c>
      <c r="X638" s="49">
        <f>IF(ISEVEN(V638),MAX('Pump Design Summary'!$D$29:$H$29)+50,0)</f>
        <v>0</v>
      </c>
      <c r="Y638" s="49"/>
    </row>
    <row r="639" spans="20:25" x14ac:dyDescent="0.25">
      <c r="T639" s="49"/>
      <c r="U639" s="49"/>
      <c r="V639" s="49">
        <v>636</v>
      </c>
      <c r="W639" s="49">
        <f>((('Pump Design Summary'!$E$16-'Pump Design Summary'!$D$16)/1000)*V639)+'Pump Design Summary'!$D$16</f>
        <v>0</v>
      </c>
      <c r="X639" s="49">
        <f>IF(ISEVEN(V639),MAX('Pump Design Summary'!$D$29:$H$29)+50,0)</f>
        <v>50</v>
      </c>
      <c r="Y639" s="49"/>
    </row>
    <row r="640" spans="20:25" x14ac:dyDescent="0.25">
      <c r="T640" s="49"/>
      <c r="U640" s="49"/>
      <c r="V640" s="49">
        <v>637</v>
      </c>
      <c r="W640" s="49">
        <f>((('Pump Design Summary'!$E$16-'Pump Design Summary'!$D$16)/1000)*V640)+'Pump Design Summary'!$D$16</f>
        <v>0</v>
      </c>
      <c r="X640" s="49">
        <f>IF(ISEVEN(V640),MAX('Pump Design Summary'!$D$29:$H$29)+50,0)</f>
        <v>0</v>
      </c>
      <c r="Y640" s="49"/>
    </row>
    <row r="641" spans="20:25" x14ac:dyDescent="0.25">
      <c r="T641" s="49"/>
      <c r="U641" s="49"/>
      <c r="V641" s="49">
        <v>638</v>
      </c>
      <c r="W641" s="49">
        <f>((('Pump Design Summary'!$E$16-'Pump Design Summary'!$D$16)/1000)*V641)+'Pump Design Summary'!$D$16</f>
        <v>0</v>
      </c>
      <c r="X641" s="49">
        <f>IF(ISEVEN(V641),MAX('Pump Design Summary'!$D$29:$H$29)+50,0)</f>
        <v>50</v>
      </c>
      <c r="Y641" s="49"/>
    </row>
    <row r="642" spans="20:25" x14ac:dyDescent="0.25">
      <c r="T642" s="49"/>
      <c r="U642" s="49"/>
      <c r="V642" s="49">
        <v>639</v>
      </c>
      <c r="W642" s="49">
        <f>((('Pump Design Summary'!$E$16-'Pump Design Summary'!$D$16)/1000)*V642)+'Pump Design Summary'!$D$16</f>
        <v>0</v>
      </c>
      <c r="X642" s="49">
        <f>IF(ISEVEN(V642),MAX('Pump Design Summary'!$D$29:$H$29)+50,0)</f>
        <v>0</v>
      </c>
      <c r="Y642" s="49"/>
    </row>
    <row r="643" spans="20:25" x14ac:dyDescent="0.25">
      <c r="T643" s="49"/>
      <c r="U643" s="49"/>
      <c r="V643" s="49">
        <v>640</v>
      </c>
      <c r="W643" s="49">
        <f>((('Pump Design Summary'!$E$16-'Pump Design Summary'!$D$16)/1000)*V643)+'Pump Design Summary'!$D$16</f>
        <v>0</v>
      </c>
      <c r="X643" s="49">
        <f>IF(ISEVEN(V643),MAX('Pump Design Summary'!$D$29:$H$29)+50,0)</f>
        <v>50</v>
      </c>
      <c r="Y643" s="49"/>
    </row>
    <row r="644" spans="20:25" x14ac:dyDescent="0.25">
      <c r="T644" s="49"/>
      <c r="U644" s="49"/>
      <c r="V644" s="49">
        <v>641</v>
      </c>
      <c r="W644" s="49">
        <f>((('Pump Design Summary'!$E$16-'Pump Design Summary'!$D$16)/1000)*V644)+'Pump Design Summary'!$D$16</f>
        <v>0</v>
      </c>
      <c r="X644" s="49">
        <f>IF(ISEVEN(V644),MAX('Pump Design Summary'!$D$29:$H$29)+50,0)</f>
        <v>0</v>
      </c>
      <c r="Y644" s="49"/>
    </row>
    <row r="645" spans="20:25" x14ac:dyDescent="0.25">
      <c r="T645" s="49"/>
      <c r="U645" s="49"/>
      <c r="V645" s="49">
        <v>642</v>
      </c>
      <c r="W645" s="49">
        <f>((('Pump Design Summary'!$E$16-'Pump Design Summary'!$D$16)/1000)*V645)+'Pump Design Summary'!$D$16</f>
        <v>0</v>
      </c>
      <c r="X645" s="49">
        <f>IF(ISEVEN(V645),MAX('Pump Design Summary'!$D$29:$H$29)+50,0)</f>
        <v>50</v>
      </c>
      <c r="Y645" s="49"/>
    </row>
    <row r="646" spans="20:25" x14ac:dyDescent="0.25">
      <c r="T646" s="49"/>
      <c r="U646" s="49"/>
      <c r="V646" s="49">
        <v>643</v>
      </c>
      <c r="W646" s="49">
        <f>((('Pump Design Summary'!$E$16-'Pump Design Summary'!$D$16)/1000)*V646)+'Pump Design Summary'!$D$16</f>
        <v>0</v>
      </c>
      <c r="X646" s="49">
        <f>IF(ISEVEN(V646),MAX('Pump Design Summary'!$D$29:$H$29)+50,0)</f>
        <v>0</v>
      </c>
      <c r="Y646" s="49"/>
    </row>
    <row r="647" spans="20:25" x14ac:dyDescent="0.25">
      <c r="T647" s="49"/>
      <c r="U647" s="49"/>
      <c r="V647" s="49">
        <v>644</v>
      </c>
      <c r="W647" s="49">
        <f>((('Pump Design Summary'!$E$16-'Pump Design Summary'!$D$16)/1000)*V647)+'Pump Design Summary'!$D$16</f>
        <v>0</v>
      </c>
      <c r="X647" s="49">
        <f>IF(ISEVEN(V647),MAX('Pump Design Summary'!$D$29:$H$29)+50,0)</f>
        <v>50</v>
      </c>
      <c r="Y647" s="49"/>
    </row>
    <row r="648" spans="20:25" x14ac:dyDescent="0.25">
      <c r="T648" s="49"/>
      <c r="U648" s="49"/>
      <c r="V648" s="49">
        <v>645</v>
      </c>
      <c r="W648" s="49">
        <f>((('Pump Design Summary'!$E$16-'Pump Design Summary'!$D$16)/1000)*V648)+'Pump Design Summary'!$D$16</f>
        <v>0</v>
      </c>
      <c r="X648" s="49">
        <f>IF(ISEVEN(V648),MAX('Pump Design Summary'!$D$29:$H$29)+50,0)</f>
        <v>0</v>
      </c>
      <c r="Y648" s="49"/>
    </row>
    <row r="649" spans="20:25" x14ac:dyDescent="0.25">
      <c r="T649" s="49"/>
      <c r="U649" s="49"/>
      <c r="V649" s="49">
        <v>646</v>
      </c>
      <c r="W649" s="49">
        <f>((('Pump Design Summary'!$E$16-'Pump Design Summary'!$D$16)/1000)*V649)+'Pump Design Summary'!$D$16</f>
        <v>0</v>
      </c>
      <c r="X649" s="49">
        <f>IF(ISEVEN(V649),MAX('Pump Design Summary'!$D$29:$H$29)+50,0)</f>
        <v>50</v>
      </c>
      <c r="Y649" s="49"/>
    </row>
    <row r="650" spans="20:25" x14ac:dyDescent="0.25">
      <c r="T650" s="49"/>
      <c r="U650" s="49"/>
      <c r="V650" s="49">
        <v>647</v>
      </c>
      <c r="W650" s="49">
        <f>((('Pump Design Summary'!$E$16-'Pump Design Summary'!$D$16)/1000)*V650)+'Pump Design Summary'!$D$16</f>
        <v>0</v>
      </c>
      <c r="X650" s="49">
        <f>IF(ISEVEN(V650),MAX('Pump Design Summary'!$D$29:$H$29)+50,0)</f>
        <v>0</v>
      </c>
      <c r="Y650" s="49"/>
    </row>
    <row r="651" spans="20:25" x14ac:dyDescent="0.25">
      <c r="T651" s="49"/>
      <c r="U651" s="49"/>
      <c r="V651" s="49">
        <v>648</v>
      </c>
      <c r="W651" s="49">
        <f>((('Pump Design Summary'!$E$16-'Pump Design Summary'!$D$16)/1000)*V651)+'Pump Design Summary'!$D$16</f>
        <v>0</v>
      </c>
      <c r="X651" s="49">
        <f>IF(ISEVEN(V651),MAX('Pump Design Summary'!$D$29:$H$29)+50,0)</f>
        <v>50</v>
      </c>
      <c r="Y651" s="49"/>
    </row>
    <row r="652" spans="20:25" x14ac:dyDescent="0.25">
      <c r="T652" s="49"/>
      <c r="U652" s="49"/>
      <c r="V652" s="49">
        <v>649</v>
      </c>
      <c r="W652" s="49">
        <f>((('Pump Design Summary'!$E$16-'Pump Design Summary'!$D$16)/1000)*V652)+'Pump Design Summary'!$D$16</f>
        <v>0</v>
      </c>
      <c r="X652" s="49">
        <f>IF(ISEVEN(V652),MAX('Pump Design Summary'!$D$29:$H$29)+50,0)</f>
        <v>0</v>
      </c>
      <c r="Y652" s="49"/>
    </row>
    <row r="653" spans="20:25" x14ac:dyDescent="0.25">
      <c r="T653" s="49"/>
      <c r="U653" s="49"/>
      <c r="V653" s="49">
        <v>650</v>
      </c>
      <c r="W653" s="49">
        <f>((('Pump Design Summary'!$E$16-'Pump Design Summary'!$D$16)/1000)*V653)+'Pump Design Summary'!$D$16</f>
        <v>0</v>
      </c>
      <c r="X653" s="49">
        <f>IF(ISEVEN(V653),MAX('Pump Design Summary'!$D$29:$H$29)+50,0)</f>
        <v>50</v>
      </c>
      <c r="Y653" s="49"/>
    </row>
    <row r="654" spans="20:25" x14ac:dyDescent="0.25">
      <c r="T654" s="49"/>
      <c r="U654" s="49"/>
      <c r="V654" s="49">
        <v>651</v>
      </c>
      <c r="W654" s="49">
        <f>((('Pump Design Summary'!$E$16-'Pump Design Summary'!$D$16)/1000)*V654)+'Pump Design Summary'!$D$16</f>
        <v>0</v>
      </c>
      <c r="X654" s="49">
        <f>IF(ISEVEN(V654),MAX('Pump Design Summary'!$D$29:$H$29)+50,0)</f>
        <v>0</v>
      </c>
      <c r="Y654" s="49"/>
    </row>
    <row r="655" spans="20:25" x14ac:dyDescent="0.25">
      <c r="T655" s="49"/>
      <c r="U655" s="49"/>
      <c r="V655" s="49">
        <v>652</v>
      </c>
      <c r="W655" s="49">
        <f>((('Pump Design Summary'!$E$16-'Pump Design Summary'!$D$16)/1000)*V655)+'Pump Design Summary'!$D$16</f>
        <v>0</v>
      </c>
      <c r="X655" s="49">
        <f>IF(ISEVEN(V655),MAX('Pump Design Summary'!$D$29:$H$29)+50,0)</f>
        <v>50</v>
      </c>
      <c r="Y655" s="49"/>
    </row>
    <row r="656" spans="20:25" x14ac:dyDescent="0.25">
      <c r="T656" s="49"/>
      <c r="U656" s="49"/>
      <c r="V656" s="49">
        <v>653</v>
      </c>
      <c r="W656" s="49">
        <f>((('Pump Design Summary'!$E$16-'Pump Design Summary'!$D$16)/1000)*V656)+'Pump Design Summary'!$D$16</f>
        <v>0</v>
      </c>
      <c r="X656" s="49">
        <f>IF(ISEVEN(V656),MAX('Pump Design Summary'!$D$29:$H$29)+50,0)</f>
        <v>0</v>
      </c>
      <c r="Y656" s="49"/>
    </row>
    <row r="657" spans="20:25" x14ac:dyDescent="0.25">
      <c r="T657" s="49"/>
      <c r="U657" s="49"/>
      <c r="V657" s="49">
        <v>654</v>
      </c>
      <c r="W657" s="49">
        <f>((('Pump Design Summary'!$E$16-'Pump Design Summary'!$D$16)/1000)*V657)+'Pump Design Summary'!$D$16</f>
        <v>0</v>
      </c>
      <c r="X657" s="49">
        <f>IF(ISEVEN(V657),MAX('Pump Design Summary'!$D$29:$H$29)+50,0)</f>
        <v>50</v>
      </c>
      <c r="Y657" s="49"/>
    </row>
    <row r="658" spans="20:25" x14ac:dyDescent="0.25">
      <c r="T658" s="49"/>
      <c r="U658" s="49"/>
      <c r="V658" s="49">
        <v>655</v>
      </c>
      <c r="W658" s="49">
        <f>((('Pump Design Summary'!$E$16-'Pump Design Summary'!$D$16)/1000)*V658)+'Pump Design Summary'!$D$16</f>
        <v>0</v>
      </c>
      <c r="X658" s="49">
        <f>IF(ISEVEN(V658),MAX('Pump Design Summary'!$D$29:$H$29)+50,0)</f>
        <v>0</v>
      </c>
      <c r="Y658" s="49"/>
    </row>
    <row r="659" spans="20:25" x14ac:dyDescent="0.25">
      <c r="T659" s="49"/>
      <c r="U659" s="49"/>
      <c r="V659" s="49">
        <v>656</v>
      </c>
      <c r="W659" s="49">
        <f>((('Pump Design Summary'!$E$16-'Pump Design Summary'!$D$16)/1000)*V659)+'Pump Design Summary'!$D$16</f>
        <v>0</v>
      </c>
      <c r="X659" s="49">
        <f>IF(ISEVEN(V659),MAX('Pump Design Summary'!$D$29:$H$29)+50,0)</f>
        <v>50</v>
      </c>
      <c r="Y659" s="49"/>
    </row>
    <row r="660" spans="20:25" x14ac:dyDescent="0.25">
      <c r="T660" s="49"/>
      <c r="U660" s="49"/>
      <c r="V660" s="49">
        <v>657</v>
      </c>
      <c r="W660" s="49">
        <f>((('Pump Design Summary'!$E$16-'Pump Design Summary'!$D$16)/1000)*V660)+'Pump Design Summary'!$D$16</f>
        <v>0</v>
      </c>
      <c r="X660" s="49">
        <f>IF(ISEVEN(V660),MAX('Pump Design Summary'!$D$29:$H$29)+50,0)</f>
        <v>0</v>
      </c>
      <c r="Y660" s="49"/>
    </row>
    <row r="661" spans="20:25" x14ac:dyDescent="0.25">
      <c r="T661" s="49"/>
      <c r="U661" s="49"/>
      <c r="V661" s="49">
        <v>658</v>
      </c>
      <c r="W661" s="49">
        <f>((('Pump Design Summary'!$E$16-'Pump Design Summary'!$D$16)/1000)*V661)+'Pump Design Summary'!$D$16</f>
        <v>0</v>
      </c>
      <c r="X661" s="49">
        <f>IF(ISEVEN(V661),MAX('Pump Design Summary'!$D$29:$H$29)+50,0)</f>
        <v>50</v>
      </c>
      <c r="Y661" s="49"/>
    </row>
    <row r="662" spans="20:25" x14ac:dyDescent="0.25">
      <c r="T662" s="49"/>
      <c r="U662" s="49"/>
      <c r="V662" s="49">
        <v>659</v>
      </c>
      <c r="W662" s="49">
        <f>((('Pump Design Summary'!$E$16-'Pump Design Summary'!$D$16)/1000)*V662)+'Pump Design Summary'!$D$16</f>
        <v>0</v>
      </c>
      <c r="X662" s="49">
        <f>IF(ISEVEN(V662),MAX('Pump Design Summary'!$D$29:$H$29)+50,0)</f>
        <v>0</v>
      </c>
      <c r="Y662" s="49"/>
    </row>
    <row r="663" spans="20:25" x14ac:dyDescent="0.25">
      <c r="T663" s="49"/>
      <c r="U663" s="49"/>
      <c r="V663" s="49">
        <v>660</v>
      </c>
      <c r="W663" s="49">
        <f>((('Pump Design Summary'!$E$16-'Pump Design Summary'!$D$16)/1000)*V663)+'Pump Design Summary'!$D$16</f>
        <v>0</v>
      </c>
      <c r="X663" s="49">
        <f>IF(ISEVEN(V663),MAX('Pump Design Summary'!$D$29:$H$29)+50,0)</f>
        <v>50</v>
      </c>
      <c r="Y663" s="49"/>
    </row>
    <row r="664" spans="20:25" x14ac:dyDescent="0.25">
      <c r="T664" s="49"/>
      <c r="U664" s="49"/>
      <c r="V664" s="49">
        <v>661</v>
      </c>
      <c r="W664" s="49">
        <f>((('Pump Design Summary'!$E$16-'Pump Design Summary'!$D$16)/1000)*V664)+'Pump Design Summary'!$D$16</f>
        <v>0</v>
      </c>
      <c r="X664" s="49">
        <f>IF(ISEVEN(V664),MAX('Pump Design Summary'!$D$29:$H$29)+50,0)</f>
        <v>0</v>
      </c>
      <c r="Y664" s="49"/>
    </row>
    <row r="665" spans="20:25" x14ac:dyDescent="0.25">
      <c r="T665" s="49"/>
      <c r="U665" s="49"/>
      <c r="V665" s="49">
        <v>662</v>
      </c>
      <c r="W665" s="49">
        <f>((('Pump Design Summary'!$E$16-'Pump Design Summary'!$D$16)/1000)*V665)+'Pump Design Summary'!$D$16</f>
        <v>0</v>
      </c>
      <c r="X665" s="49">
        <f>IF(ISEVEN(V665),MAX('Pump Design Summary'!$D$29:$H$29)+50,0)</f>
        <v>50</v>
      </c>
      <c r="Y665" s="49"/>
    </row>
    <row r="666" spans="20:25" x14ac:dyDescent="0.25">
      <c r="T666" s="49"/>
      <c r="U666" s="49"/>
      <c r="V666" s="49">
        <v>663</v>
      </c>
      <c r="W666" s="49">
        <f>((('Pump Design Summary'!$E$16-'Pump Design Summary'!$D$16)/1000)*V666)+'Pump Design Summary'!$D$16</f>
        <v>0</v>
      </c>
      <c r="X666" s="49">
        <f>IF(ISEVEN(V666),MAX('Pump Design Summary'!$D$29:$H$29)+50,0)</f>
        <v>0</v>
      </c>
      <c r="Y666" s="49"/>
    </row>
    <row r="667" spans="20:25" x14ac:dyDescent="0.25">
      <c r="T667" s="49"/>
      <c r="U667" s="49"/>
      <c r="V667" s="49">
        <v>664</v>
      </c>
      <c r="W667" s="49">
        <f>((('Pump Design Summary'!$E$16-'Pump Design Summary'!$D$16)/1000)*V667)+'Pump Design Summary'!$D$16</f>
        <v>0</v>
      </c>
      <c r="X667" s="49">
        <f>IF(ISEVEN(V667),MAX('Pump Design Summary'!$D$29:$H$29)+50,0)</f>
        <v>50</v>
      </c>
      <c r="Y667" s="49"/>
    </row>
    <row r="668" spans="20:25" x14ac:dyDescent="0.25">
      <c r="T668" s="49"/>
      <c r="U668" s="49"/>
      <c r="V668" s="49">
        <v>665</v>
      </c>
      <c r="W668" s="49">
        <f>((('Pump Design Summary'!$E$16-'Pump Design Summary'!$D$16)/1000)*V668)+'Pump Design Summary'!$D$16</f>
        <v>0</v>
      </c>
      <c r="X668" s="49">
        <f>IF(ISEVEN(V668),MAX('Pump Design Summary'!$D$29:$H$29)+50,0)</f>
        <v>0</v>
      </c>
      <c r="Y668" s="49"/>
    </row>
    <row r="669" spans="20:25" x14ac:dyDescent="0.25">
      <c r="T669" s="49"/>
      <c r="U669" s="49"/>
      <c r="V669" s="49">
        <v>666</v>
      </c>
      <c r="W669" s="49">
        <f>((('Pump Design Summary'!$E$16-'Pump Design Summary'!$D$16)/1000)*V669)+'Pump Design Summary'!$D$16</f>
        <v>0</v>
      </c>
      <c r="X669" s="49">
        <f>IF(ISEVEN(V669),MAX('Pump Design Summary'!$D$29:$H$29)+50,0)</f>
        <v>50</v>
      </c>
      <c r="Y669" s="49"/>
    </row>
    <row r="670" spans="20:25" x14ac:dyDescent="0.25">
      <c r="T670" s="49"/>
      <c r="U670" s="49"/>
      <c r="V670" s="49">
        <v>667</v>
      </c>
      <c r="W670" s="49">
        <f>((('Pump Design Summary'!$E$16-'Pump Design Summary'!$D$16)/1000)*V670)+'Pump Design Summary'!$D$16</f>
        <v>0</v>
      </c>
      <c r="X670" s="49">
        <f>IF(ISEVEN(V670),MAX('Pump Design Summary'!$D$29:$H$29)+50,0)</f>
        <v>0</v>
      </c>
      <c r="Y670" s="49"/>
    </row>
    <row r="671" spans="20:25" x14ac:dyDescent="0.25">
      <c r="T671" s="49"/>
      <c r="U671" s="49"/>
      <c r="V671" s="49">
        <v>668</v>
      </c>
      <c r="W671" s="49">
        <f>((('Pump Design Summary'!$E$16-'Pump Design Summary'!$D$16)/1000)*V671)+'Pump Design Summary'!$D$16</f>
        <v>0</v>
      </c>
      <c r="X671" s="49">
        <f>IF(ISEVEN(V671),MAX('Pump Design Summary'!$D$29:$H$29)+50,0)</f>
        <v>50</v>
      </c>
      <c r="Y671" s="49"/>
    </row>
    <row r="672" spans="20:25" x14ac:dyDescent="0.25">
      <c r="T672" s="49"/>
      <c r="U672" s="49"/>
      <c r="V672" s="49">
        <v>669</v>
      </c>
      <c r="W672" s="49">
        <f>((('Pump Design Summary'!$E$16-'Pump Design Summary'!$D$16)/1000)*V672)+'Pump Design Summary'!$D$16</f>
        <v>0</v>
      </c>
      <c r="X672" s="49">
        <f>IF(ISEVEN(V672),MAX('Pump Design Summary'!$D$29:$H$29)+50,0)</f>
        <v>0</v>
      </c>
      <c r="Y672" s="49"/>
    </row>
    <row r="673" spans="20:25" x14ac:dyDescent="0.25">
      <c r="T673" s="49"/>
      <c r="U673" s="49"/>
      <c r="V673" s="49">
        <v>670</v>
      </c>
      <c r="W673" s="49">
        <f>((('Pump Design Summary'!$E$16-'Pump Design Summary'!$D$16)/1000)*V673)+'Pump Design Summary'!$D$16</f>
        <v>0</v>
      </c>
      <c r="X673" s="49">
        <f>IF(ISEVEN(V673),MAX('Pump Design Summary'!$D$29:$H$29)+50,0)</f>
        <v>50</v>
      </c>
      <c r="Y673" s="49"/>
    </row>
    <row r="674" spans="20:25" x14ac:dyDescent="0.25">
      <c r="T674" s="49"/>
      <c r="U674" s="49"/>
      <c r="V674" s="49">
        <v>671</v>
      </c>
      <c r="W674" s="49">
        <f>((('Pump Design Summary'!$E$16-'Pump Design Summary'!$D$16)/1000)*V674)+'Pump Design Summary'!$D$16</f>
        <v>0</v>
      </c>
      <c r="X674" s="49">
        <f>IF(ISEVEN(V674),MAX('Pump Design Summary'!$D$29:$H$29)+50,0)</f>
        <v>0</v>
      </c>
      <c r="Y674" s="49"/>
    </row>
    <row r="675" spans="20:25" x14ac:dyDescent="0.25">
      <c r="T675" s="49"/>
      <c r="U675" s="49"/>
      <c r="V675" s="49">
        <v>672</v>
      </c>
      <c r="W675" s="49">
        <f>((('Pump Design Summary'!$E$16-'Pump Design Summary'!$D$16)/1000)*V675)+'Pump Design Summary'!$D$16</f>
        <v>0</v>
      </c>
      <c r="X675" s="49">
        <f>IF(ISEVEN(V675),MAX('Pump Design Summary'!$D$29:$H$29)+50,0)</f>
        <v>50</v>
      </c>
      <c r="Y675" s="49"/>
    </row>
    <row r="676" spans="20:25" x14ac:dyDescent="0.25">
      <c r="T676" s="49"/>
      <c r="U676" s="49"/>
      <c r="V676" s="49">
        <v>673</v>
      </c>
      <c r="W676" s="49">
        <f>((('Pump Design Summary'!$E$16-'Pump Design Summary'!$D$16)/1000)*V676)+'Pump Design Summary'!$D$16</f>
        <v>0</v>
      </c>
      <c r="X676" s="49">
        <f>IF(ISEVEN(V676),MAX('Pump Design Summary'!$D$29:$H$29)+50,0)</f>
        <v>0</v>
      </c>
      <c r="Y676" s="49"/>
    </row>
    <row r="677" spans="20:25" x14ac:dyDescent="0.25">
      <c r="T677" s="49"/>
      <c r="U677" s="49"/>
      <c r="V677" s="49">
        <v>674</v>
      </c>
      <c r="W677" s="49">
        <f>((('Pump Design Summary'!$E$16-'Pump Design Summary'!$D$16)/1000)*V677)+'Pump Design Summary'!$D$16</f>
        <v>0</v>
      </c>
      <c r="X677" s="49">
        <f>IF(ISEVEN(V677),MAX('Pump Design Summary'!$D$29:$H$29)+50,0)</f>
        <v>50</v>
      </c>
      <c r="Y677" s="49"/>
    </row>
    <row r="678" spans="20:25" x14ac:dyDescent="0.25">
      <c r="T678" s="49"/>
      <c r="U678" s="49"/>
      <c r="V678" s="49">
        <v>675</v>
      </c>
      <c r="W678" s="49">
        <f>((('Pump Design Summary'!$E$16-'Pump Design Summary'!$D$16)/1000)*V678)+'Pump Design Summary'!$D$16</f>
        <v>0</v>
      </c>
      <c r="X678" s="49">
        <f>IF(ISEVEN(V678),MAX('Pump Design Summary'!$D$29:$H$29)+50,0)</f>
        <v>0</v>
      </c>
      <c r="Y678" s="49"/>
    </row>
    <row r="679" spans="20:25" x14ac:dyDescent="0.25">
      <c r="T679" s="49"/>
      <c r="U679" s="49"/>
      <c r="V679" s="49">
        <v>676</v>
      </c>
      <c r="W679" s="49">
        <f>((('Pump Design Summary'!$E$16-'Pump Design Summary'!$D$16)/1000)*V679)+'Pump Design Summary'!$D$16</f>
        <v>0</v>
      </c>
      <c r="X679" s="49">
        <f>IF(ISEVEN(V679),MAX('Pump Design Summary'!$D$29:$H$29)+50,0)</f>
        <v>50</v>
      </c>
      <c r="Y679" s="49"/>
    </row>
    <row r="680" spans="20:25" x14ac:dyDescent="0.25">
      <c r="T680" s="49"/>
      <c r="U680" s="49"/>
      <c r="V680" s="49">
        <v>677</v>
      </c>
      <c r="W680" s="49">
        <f>((('Pump Design Summary'!$E$16-'Pump Design Summary'!$D$16)/1000)*V680)+'Pump Design Summary'!$D$16</f>
        <v>0</v>
      </c>
      <c r="X680" s="49">
        <f>IF(ISEVEN(V680),MAX('Pump Design Summary'!$D$29:$H$29)+50,0)</f>
        <v>0</v>
      </c>
      <c r="Y680" s="49"/>
    </row>
    <row r="681" spans="20:25" x14ac:dyDescent="0.25">
      <c r="T681" s="49"/>
      <c r="U681" s="49"/>
      <c r="V681" s="49">
        <v>678</v>
      </c>
      <c r="W681" s="49">
        <f>((('Pump Design Summary'!$E$16-'Pump Design Summary'!$D$16)/1000)*V681)+'Pump Design Summary'!$D$16</f>
        <v>0</v>
      </c>
      <c r="X681" s="49">
        <f>IF(ISEVEN(V681),MAX('Pump Design Summary'!$D$29:$H$29)+50,0)</f>
        <v>50</v>
      </c>
      <c r="Y681" s="49"/>
    </row>
    <row r="682" spans="20:25" x14ac:dyDescent="0.25">
      <c r="T682" s="49"/>
      <c r="U682" s="49"/>
      <c r="V682" s="49">
        <v>679</v>
      </c>
      <c r="W682" s="49">
        <f>((('Pump Design Summary'!$E$16-'Pump Design Summary'!$D$16)/1000)*V682)+'Pump Design Summary'!$D$16</f>
        <v>0</v>
      </c>
      <c r="X682" s="49">
        <f>IF(ISEVEN(V682),MAX('Pump Design Summary'!$D$29:$H$29)+50,0)</f>
        <v>0</v>
      </c>
      <c r="Y682" s="49"/>
    </row>
    <row r="683" spans="20:25" x14ac:dyDescent="0.25">
      <c r="T683" s="49"/>
      <c r="U683" s="49"/>
      <c r="V683" s="49">
        <v>680</v>
      </c>
      <c r="W683" s="49">
        <f>((('Pump Design Summary'!$E$16-'Pump Design Summary'!$D$16)/1000)*V683)+'Pump Design Summary'!$D$16</f>
        <v>0</v>
      </c>
      <c r="X683" s="49">
        <f>IF(ISEVEN(V683),MAX('Pump Design Summary'!$D$29:$H$29)+50,0)</f>
        <v>50</v>
      </c>
      <c r="Y683" s="49"/>
    </row>
    <row r="684" spans="20:25" x14ac:dyDescent="0.25">
      <c r="T684" s="49"/>
      <c r="U684" s="49"/>
      <c r="V684" s="49">
        <v>681</v>
      </c>
      <c r="W684" s="49">
        <f>((('Pump Design Summary'!$E$16-'Pump Design Summary'!$D$16)/1000)*V684)+'Pump Design Summary'!$D$16</f>
        <v>0</v>
      </c>
      <c r="X684" s="49">
        <f>IF(ISEVEN(V684),MAX('Pump Design Summary'!$D$29:$H$29)+50,0)</f>
        <v>0</v>
      </c>
      <c r="Y684" s="49"/>
    </row>
    <row r="685" spans="20:25" x14ac:dyDescent="0.25">
      <c r="T685" s="49"/>
      <c r="U685" s="49"/>
      <c r="V685" s="49">
        <v>682</v>
      </c>
      <c r="W685" s="49">
        <f>((('Pump Design Summary'!$E$16-'Pump Design Summary'!$D$16)/1000)*V685)+'Pump Design Summary'!$D$16</f>
        <v>0</v>
      </c>
      <c r="X685" s="49">
        <f>IF(ISEVEN(V685),MAX('Pump Design Summary'!$D$29:$H$29)+50,0)</f>
        <v>50</v>
      </c>
      <c r="Y685" s="49"/>
    </row>
    <row r="686" spans="20:25" x14ac:dyDescent="0.25">
      <c r="T686" s="49"/>
      <c r="U686" s="49"/>
      <c r="V686" s="49">
        <v>683</v>
      </c>
      <c r="W686" s="49">
        <f>((('Pump Design Summary'!$E$16-'Pump Design Summary'!$D$16)/1000)*V686)+'Pump Design Summary'!$D$16</f>
        <v>0</v>
      </c>
      <c r="X686" s="49">
        <f>IF(ISEVEN(V686),MAX('Pump Design Summary'!$D$29:$H$29)+50,0)</f>
        <v>0</v>
      </c>
      <c r="Y686" s="49"/>
    </row>
    <row r="687" spans="20:25" x14ac:dyDescent="0.25">
      <c r="T687" s="49"/>
      <c r="U687" s="49"/>
      <c r="V687" s="49">
        <v>684</v>
      </c>
      <c r="W687" s="49">
        <f>((('Pump Design Summary'!$E$16-'Pump Design Summary'!$D$16)/1000)*V687)+'Pump Design Summary'!$D$16</f>
        <v>0</v>
      </c>
      <c r="X687" s="49">
        <f>IF(ISEVEN(V687),MAX('Pump Design Summary'!$D$29:$H$29)+50,0)</f>
        <v>50</v>
      </c>
      <c r="Y687" s="49"/>
    </row>
    <row r="688" spans="20:25" x14ac:dyDescent="0.25">
      <c r="T688" s="49"/>
      <c r="U688" s="49"/>
      <c r="V688" s="49">
        <v>685</v>
      </c>
      <c r="W688" s="49">
        <f>((('Pump Design Summary'!$E$16-'Pump Design Summary'!$D$16)/1000)*V688)+'Pump Design Summary'!$D$16</f>
        <v>0</v>
      </c>
      <c r="X688" s="49">
        <f>IF(ISEVEN(V688),MAX('Pump Design Summary'!$D$29:$H$29)+50,0)</f>
        <v>0</v>
      </c>
      <c r="Y688" s="49"/>
    </row>
    <row r="689" spans="20:25" x14ac:dyDescent="0.25">
      <c r="T689" s="49"/>
      <c r="U689" s="49"/>
      <c r="V689" s="49">
        <v>686</v>
      </c>
      <c r="W689" s="49">
        <f>((('Pump Design Summary'!$E$16-'Pump Design Summary'!$D$16)/1000)*V689)+'Pump Design Summary'!$D$16</f>
        <v>0</v>
      </c>
      <c r="X689" s="49">
        <f>IF(ISEVEN(V689),MAX('Pump Design Summary'!$D$29:$H$29)+50,0)</f>
        <v>50</v>
      </c>
      <c r="Y689" s="49"/>
    </row>
    <row r="690" spans="20:25" x14ac:dyDescent="0.25">
      <c r="T690" s="49"/>
      <c r="U690" s="49"/>
      <c r="V690" s="49">
        <v>687</v>
      </c>
      <c r="W690" s="49">
        <f>((('Pump Design Summary'!$E$16-'Pump Design Summary'!$D$16)/1000)*V690)+'Pump Design Summary'!$D$16</f>
        <v>0</v>
      </c>
      <c r="X690" s="49">
        <f>IF(ISEVEN(V690),MAX('Pump Design Summary'!$D$29:$H$29)+50,0)</f>
        <v>0</v>
      </c>
      <c r="Y690" s="49"/>
    </row>
    <row r="691" spans="20:25" x14ac:dyDescent="0.25">
      <c r="T691" s="49"/>
      <c r="U691" s="49"/>
      <c r="V691" s="49">
        <v>688</v>
      </c>
      <c r="W691" s="49">
        <f>((('Pump Design Summary'!$E$16-'Pump Design Summary'!$D$16)/1000)*V691)+'Pump Design Summary'!$D$16</f>
        <v>0</v>
      </c>
      <c r="X691" s="49">
        <f>IF(ISEVEN(V691),MAX('Pump Design Summary'!$D$29:$H$29)+50,0)</f>
        <v>50</v>
      </c>
      <c r="Y691" s="49"/>
    </row>
    <row r="692" spans="20:25" x14ac:dyDescent="0.25">
      <c r="T692" s="49"/>
      <c r="U692" s="49"/>
      <c r="V692" s="49">
        <v>689</v>
      </c>
      <c r="W692" s="49">
        <f>((('Pump Design Summary'!$E$16-'Pump Design Summary'!$D$16)/1000)*V692)+'Pump Design Summary'!$D$16</f>
        <v>0</v>
      </c>
      <c r="X692" s="49">
        <f>IF(ISEVEN(V692),MAX('Pump Design Summary'!$D$29:$H$29)+50,0)</f>
        <v>0</v>
      </c>
      <c r="Y692" s="49"/>
    </row>
    <row r="693" spans="20:25" x14ac:dyDescent="0.25">
      <c r="T693" s="49"/>
      <c r="U693" s="49"/>
      <c r="V693" s="49">
        <v>690</v>
      </c>
      <c r="W693" s="49">
        <f>((('Pump Design Summary'!$E$16-'Pump Design Summary'!$D$16)/1000)*V693)+'Pump Design Summary'!$D$16</f>
        <v>0</v>
      </c>
      <c r="X693" s="49">
        <f>IF(ISEVEN(V693),MAX('Pump Design Summary'!$D$29:$H$29)+50,0)</f>
        <v>50</v>
      </c>
      <c r="Y693" s="49"/>
    </row>
    <row r="694" spans="20:25" x14ac:dyDescent="0.25">
      <c r="T694" s="49"/>
      <c r="U694" s="49"/>
      <c r="V694" s="49">
        <v>691</v>
      </c>
      <c r="W694" s="49">
        <f>((('Pump Design Summary'!$E$16-'Pump Design Summary'!$D$16)/1000)*V694)+'Pump Design Summary'!$D$16</f>
        <v>0</v>
      </c>
      <c r="X694" s="49">
        <f>IF(ISEVEN(V694),MAX('Pump Design Summary'!$D$29:$H$29)+50,0)</f>
        <v>0</v>
      </c>
      <c r="Y694" s="49"/>
    </row>
    <row r="695" spans="20:25" x14ac:dyDescent="0.25">
      <c r="T695" s="49"/>
      <c r="U695" s="49"/>
      <c r="V695" s="49">
        <v>692</v>
      </c>
      <c r="W695" s="49">
        <f>((('Pump Design Summary'!$E$16-'Pump Design Summary'!$D$16)/1000)*V695)+'Pump Design Summary'!$D$16</f>
        <v>0</v>
      </c>
      <c r="X695" s="49">
        <f>IF(ISEVEN(V695),MAX('Pump Design Summary'!$D$29:$H$29)+50,0)</f>
        <v>50</v>
      </c>
      <c r="Y695" s="49"/>
    </row>
    <row r="696" spans="20:25" x14ac:dyDescent="0.25">
      <c r="T696" s="49"/>
      <c r="U696" s="49"/>
      <c r="V696" s="49">
        <v>693</v>
      </c>
      <c r="W696" s="49">
        <f>((('Pump Design Summary'!$E$16-'Pump Design Summary'!$D$16)/1000)*V696)+'Pump Design Summary'!$D$16</f>
        <v>0</v>
      </c>
      <c r="X696" s="49">
        <f>IF(ISEVEN(V696),MAX('Pump Design Summary'!$D$29:$H$29)+50,0)</f>
        <v>0</v>
      </c>
      <c r="Y696" s="49"/>
    </row>
    <row r="697" spans="20:25" x14ac:dyDescent="0.25">
      <c r="T697" s="49"/>
      <c r="U697" s="49"/>
      <c r="V697" s="49">
        <v>694</v>
      </c>
      <c r="W697" s="49">
        <f>((('Pump Design Summary'!$E$16-'Pump Design Summary'!$D$16)/1000)*V697)+'Pump Design Summary'!$D$16</f>
        <v>0</v>
      </c>
      <c r="X697" s="49">
        <f>IF(ISEVEN(V697),MAX('Pump Design Summary'!$D$29:$H$29)+50,0)</f>
        <v>50</v>
      </c>
      <c r="Y697" s="49"/>
    </row>
    <row r="698" spans="20:25" x14ac:dyDescent="0.25">
      <c r="T698" s="49"/>
      <c r="U698" s="49"/>
      <c r="V698" s="49">
        <v>695</v>
      </c>
      <c r="W698" s="49">
        <f>((('Pump Design Summary'!$E$16-'Pump Design Summary'!$D$16)/1000)*V698)+'Pump Design Summary'!$D$16</f>
        <v>0</v>
      </c>
      <c r="X698" s="49">
        <f>IF(ISEVEN(V698),MAX('Pump Design Summary'!$D$29:$H$29)+50,0)</f>
        <v>0</v>
      </c>
      <c r="Y698" s="49"/>
    </row>
    <row r="699" spans="20:25" x14ac:dyDescent="0.25">
      <c r="T699" s="49"/>
      <c r="U699" s="49"/>
      <c r="V699" s="49">
        <v>696</v>
      </c>
      <c r="W699" s="49">
        <f>((('Pump Design Summary'!$E$16-'Pump Design Summary'!$D$16)/1000)*V699)+'Pump Design Summary'!$D$16</f>
        <v>0</v>
      </c>
      <c r="X699" s="49">
        <f>IF(ISEVEN(V699),MAX('Pump Design Summary'!$D$29:$H$29)+50,0)</f>
        <v>50</v>
      </c>
      <c r="Y699" s="49"/>
    </row>
    <row r="700" spans="20:25" x14ac:dyDescent="0.25">
      <c r="T700" s="49"/>
      <c r="U700" s="49"/>
      <c r="V700" s="49">
        <v>697</v>
      </c>
      <c r="W700" s="49">
        <f>((('Pump Design Summary'!$E$16-'Pump Design Summary'!$D$16)/1000)*V700)+'Pump Design Summary'!$D$16</f>
        <v>0</v>
      </c>
      <c r="X700" s="49">
        <f>IF(ISEVEN(V700),MAX('Pump Design Summary'!$D$29:$H$29)+50,0)</f>
        <v>0</v>
      </c>
      <c r="Y700" s="49"/>
    </row>
    <row r="701" spans="20:25" x14ac:dyDescent="0.25">
      <c r="T701" s="49"/>
      <c r="U701" s="49"/>
      <c r="V701" s="49">
        <v>698</v>
      </c>
      <c r="W701" s="49">
        <f>((('Pump Design Summary'!$E$16-'Pump Design Summary'!$D$16)/1000)*V701)+'Pump Design Summary'!$D$16</f>
        <v>0</v>
      </c>
      <c r="X701" s="49">
        <f>IF(ISEVEN(V701),MAX('Pump Design Summary'!$D$29:$H$29)+50,0)</f>
        <v>50</v>
      </c>
      <c r="Y701" s="49"/>
    </row>
    <row r="702" spans="20:25" x14ac:dyDescent="0.25">
      <c r="T702" s="49"/>
      <c r="U702" s="49"/>
      <c r="V702" s="49">
        <v>699</v>
      </c>
      <c r="W702" s="49">
        <f>((('Pump Design Summary'!$E$16-'Pump Design Summary'!$D$16)/1000)*V702)+'Pump Design Summary'!$D$16</f>
        <v>0</v>
      </c>
      <c r="X702" s="49">
        <f>IF(ISEVEN(V702),MAX('Pump Design Summary'!$D$29:$H$29)+50,0)</f>
        <v>0</v>
      </c>
      <c r="Y702" s="49"/>
    </row>
    <row r="703" spans="20:25" x14ac:dyDescent="0.25">
      <c r="T703" s="49"/>
      <c r="U703" s="49"/>
      <c r="V703" s="49">
        <v>700</v>
      </c>
      <c r="W703" s="49">
        <f>((('Pump Design Summary'!$E$16-'Pump Design Summary'!$D$16)/1000)*V703)+'Pump Design Summary'!$D$16</f>
        <v>0</v>
      </c>
      <c r="X703" s="49">
        <f>IF(ISEVEN(V703),MAX('Pump Design Summary'!$D$29:$H$29)+50,0)</f>
        <v>50</v>
      </c>
      <c r="Y703" s="49"/>
    </row>
    <row r="704" spans="20:25" x14ac:dyDescent="0.25">
      <c r="T704" s="49"/>
      <c r="U704" s="49"/>
      <c r="V704" s="49">
        <v>701</v>
      </c>
      <c r="W704" s="49">
        <f>((('Pump Design Summary'!$E$16-'Pump Design Summary'!$D$16)/1000)*V704)+'Pump Design Summary'!$D$16</f>
        <v>0</v>
      </c>
      <c r="X704" s="49">
        <f>IF(ISEVEN(V704),MAX('Pump Design Summary'!$D$29:$H$29)+50,0)</f>
        <v>0</v>
      </c>
      <c r="Y704" s="49"/>
    </row>
    <row r="705" spans="20:25" x14ac:dyDescent="0.25">
      <c r="T705" s="49"/>
      <c r="U705" s="49"/>
      <c r="V705" s="49">
        <v>702</v>
      </c>
      <c r="W705" s="49">
        <f>((('Pump Design Summary'!$E$16-'Pump Design Summary'!$D$16)/1000)*V705)+'Pump Design Summary'!$D$16</f>
        <v>0</v>
      </c>
      <c r="X705" s="49">
        <f>IF(ISEVEN(V705),MAX('Pump Design Summary'!$D$29:$H$29)+50,0)</f>
        <v>50</v>
      </c>
      <c r="Y705" s="49"/>
    </row>
    <row r="706" spans="20:25" x14ac:dyDescent="0.25">
      <c r="T706" s="49"/>
      <c r="U706" s="49"/>
      <c r="V706" s="49">
        <v>703</v>
      </c>
      <c r="W706" s="49">
        <f>((('Pump Design Summary'!$E$16-'Pump Design Summary'!$D$16)/1000)*V706)+'Pump Design Summary'!$D$16</f>
        <v>0</v>
      </c>
      <c r="X706" s="49">
        <f>IF(ISEVEN(V706),MAX('Pump Design Summary'!$D$29:$H$29)+50,0)</f>
        <v>0</v>
      </c>
      <c r="Y706" s="49"/>
    </row>
    <row r="707" spans="20:25" x14ac:dyDescent="0.25">
      <c r="T707" s="49"/>
      <c r="U707" s="49"/>
      <c r="V707" s="49">
        <v>704</v>
      </c>
      <c r="W707" s="49">
        <f>((('Pump Design Summary'!$E$16-'Pump Design Summary'!$D$16)/1000)*V707)+'Pump Design Summary'!$D$16</f>
        <v>0</v>
      </c>
      <c r="X707" s="49">
        <f>IF(ISEVEN(V707),MAX('Pump Design Summary'!$D$29:$H$29)+50,0)</f>
        <v>50</v>
      </c>
      <c r="Y707" s="49"/>
    </row>
    <row r="708" spans="20:25" x14ac:dyDescent="0.25">
      <c r="T708" s="49"/>
      <c r="U708" s="49"/>
      <c r="V708" s="49">
        <v>705</v>
      </c>
      <c r="W708" s="49">
        <f>((('Pump Design Summary'!$E$16-'Pump Design Summary'!$D$16)/1000)*V708)+'Pump Design Summary'!$D$16</f>
        <v>0</v>
      </c>
      <c r="X708" s="49">
        <f>IF(ISEVEN(V708),MAX('Pump Design Summary'!$D$29:$H$29)+50,0)</f>
        <v>0</v>
      </c>
      <c r="Y708" s="49"/>
    </row>
    <row r="709" spans="20:25" x14ac:dyDescent="0.25">
      <c r="T709" s="49"/>
      <c r="U709" s="49"/>
      <c r="V709" s="49">
        <v>706</v>
      </c>
      <c r="W709" s="49">
        <f>((('Pump Design Summary'!$E$16-'Pump Design Summary'!$D$16)/1000)*V709)+'Pump Design Summary'!$D$16</f>
        <v>0</v>
      </c>
      <c r="X709" s="49">
        <f>IF(ISEVEN(V709),MAX('Pump Design Summary'!$D$29:$H$29)+50,0)</f>
        <v>50</v>
      </c>
      <c r="Y709" s="49"/>
    </row>
    <row r="710" spans="20:25" x14ac:dyDescent="0.25">
      <c r="T710" s="49"/>
      <c r="U710" s="49"/>
      <c r="V710" s="49">
        <v>707</v>
      </c>
      <c r="W710" s="49">
        <f>((('Pump Design Summary'!$E$16-'Pump Design Summary'!$D$16)/1000)*V710)+'Pump Design Summary'!$D$16</f>
        <v>0</v>
      </c>
      <c r="X710" s="49">
        <f>IF(ISEVEN(V710),MAX('Pump Design Summary'!$D$29:$H$29)+50,0)</f>
        <v>0</v>
      </c>
      <c r="Y710" s="49"/>
    </row>
    <row r="711" spans="20:25" x14ac:dyDescent="0.25">
      <c r="T711" s="49"/>
      <c r="U711" s="49"/>
      <c r="V711" s="49">
        <v>708</v>
      </c>
      <c r="W711" s="49">
        <f>((('Pump Design Summary'!$E$16-'Pump Design Summary'!$D$16)/1000)*V711)+'Pump Design Summary'!$D$16</f>
        <v>0</v>
      </c>
      <c r="X711" s="49">
        <f>IF(ISEVEN(V711),MAX('Pump Design Summary'!$D$29:$H$29)+50,0)</f>
        <v>50</v>
      </c>
      <c r="Y711" s="49"/>
    </row>
    <row r="712" spans="20:25" x14ac:dyDescent="0.25">
      <c r="T712" s="49"/>
      <c r="U712" s="49"/>
      <c r="V712" s="49">
        <v>709</v>
      </c>
      <c r="W712" s="49">
        <f>((('Pump Design Summary'!$E$16-'Pump Design Summary'!$D$16)/1000)*V712)+'Pump Design Summary'!$D$16</f>
        <v>0</v>
      </c>
      <c r="X712" s="49">
        <f>IF(ISEVEN(V712),MAX('Pump Design Summary'!$D$29:$H$29)+50,0)</f>
        <v>0</v>
      </c>
      <c r="Y712" s="49"/>
    </row>
    <row r="713" spans="20:25" x14ac:dyDescent="0.25">
      <c r="T713" s="49"/>
      <c r="U713" s="49"/>
      <c r="V713" s="49">
        <v>710</v>
      </c>
      <c r="W713" s="49">
        <f>((('Pump Design Summary'!$E$16-'Pump Design Summary'!$D$16)/1000)*V713)+'Pump Design Summary'!$D$16</f>
        <v>0</v>
      </c>
      <c r="X713" s="49">
        <f>IF(ISEVEN(V713),MAX('Pump Design Summary'!$D$29:$H$29)+50,0)</f>
        <v>50</v>
      </c>
      <c r="Y713" s="49"/>
    </row>
    <row r="714" spans="20:25" x14ac:dyDescent="0.25">
      <c r="T714" s="49"/>
      <c r="U714" s="49"/>
      <c r="V714" s="49">
        <v>711</v>
      </c>
      <c r="W714" s="49">
        <f>((('Pump Design Summary'!$E$16-'Pump Design Summary'!$D$16)/1000)*V714)+'Pump Design Summary'!$D$16</f>
        <v>0</v>
      </c>
      <c r="X714" s="49">
        <f>IF(ISEVEN(V714),MAX('Pump Design Summary'!$D$29:$H$29)+50,0)</f>
        <v>0</v>
      </c>
      <c r="Y714" s="49"/>
    </row>
    <row r="715" spans="20:25" x14ac:dyDescent="0.25">
      <c r="T715" s="49"/>
      <c r="U715" s="49"/>
      <c r="V715" s="49">
        <v>712</v>
      </c>
      <c r="W715" s="49">
        <f>((('Pump Design Summary'!$E$16-'Pump Design Summary'!$D$16)/1000)*V715)+'Pump Design Summary'!$D$16</f>
        <v>0</v>
      </c>
      <c r="X715" s="49">
        <f>IF(ISEVEN(V715),MAX('Pump Design Summary'!$D$29:$H$29)+50,0)</f>
        <v>50</v>
      </c>
      <c r="Y715" s="49"/>
    </row>
    <row r="716" spans="20:25" x14ac:dyDescent="0.25">
      <c r="T716" s="49"/>
      <c r="U716" s="49"/>
      <c r="V716" s="49">
        <v>713</v>
      </c>
      <c r="W716" s="49">
        <f>((('Pump Design Summary'!$E$16-'Pump Design Summary'!$D$16)/1000)*V716)+'Pump Design Summary'!$D$16</f>
        <v>0</v>
      </c>
      <c r="X716" s="49">
        <f>IF(ISEVEN(V716),MAX('Pump Design Summary'!$D$29:$H$29)+50,0)</f>
        <v>0</v>
      </c>
      <c r="Y716" s="49"/>
    </row>
    <row r="717" spans="20:25" x14ac:dyDescent="0.25">
      <c r="T717" s="49"/>
      <c r="U717" s="49"/>
      <c r="V717" s="49">
        <v>714</v>
      </c>
      <c r="W717" s="49">
        <f>((('Pump Design Summary'!$E$16-'Pump Design Summary'!$D$16)/1000)*V717)+'Pump Design Summary'!$D$16</f>
        <v>0</v>
      </c>
      <c r="X717" s="49">
        <f>IF(ISEVEN(V717),MAX('Pump Design Summary'!$D$29:$H$29)+50,0)</f>
        <v>50</v>
      </c>
      <c r="Y717" s="49"/>
    </row>
    <row r="718" spans="20:25" x14ac:dyDescent="0.25">
      <c r="T718" s="49"/>
      <c r="U718" s="49"/>
      <c r="V718" s="49">
        <v>715</v>
      </c>
      <c r="W718" s="49">
        <f>((('Pump Design Summary'!$E$16-'Pump Design Summary'!$D$16)/1000)*V718)+'Pump Design Summary'!$D$16</f>
        <v>0</v>
      </c>
      <c r="X718" s="49">
        <f>IF(ISEVEN(V718),MAX('Pump Design Summary'!$D$29:$H$29)+50,0)</f>
        <v>0</v>
      </c>
      <c r="Y718" s="49"/>
    </row>
    <row r="719" spans="20:25" x14ac:dyDescent="0.25">
      <c r="T719" s="49"/>
      <c r="U719" s="49"/>
      <c r="V719" s="49">
        <v>716</v>
      </c>
      <c r="W719" s="49">
        <f>((('Pump Design Summary'!$E$16-'Pump Design Summary'!$D$16)/1000)*V719)+'Pump Design Summary'!$D$16</f>
        <v>0</v>
      </c>
      <c r="X719" s="49">
        <f>IF(ISEVEN(V719),MAX('Pump Design Summary'!$D$29:$H$29)+50,0)</f>
        <v>50</v>
      </c>
      <c r="Y719" s="49"/>
    </row>
    <row r="720" spans="20:25" x14ac:dyDescent="0.25">
      <c r="T720" s="49"/>
      <c r="U720" s="49"/>
      <c r="V720" s="49">
        <v>717</v>
      </c>
      <c r="W720" s="49">
        <f>((('Pump Design Summary'!$E$16-'Pump Design Summary'!$D$16)/1000)*V720)+'Pump Design Summary'!$D$16</f>
        <v>0</v>
      </c>
      <c r="X720" s="49">
        <f>IF(ISEVEN(V720),MAX('Pump Design Summary'!$D$29:$H$29)+50,0)</f>
        <v>0</v>
      </c>
      <c r="Y720" s="49"/>
    </row>
    <row r="721" spans="20:25" x14ac:dyDescent="0.25">
      <c r="T721" s="49"/>
      <c r="U721" s="49"/>
      <c r="V721" s="49">
        <v>718</v>
      </c>
      <c r="W721" s="49">
        <f>((('Pump Design Summary'!$E$16-'Pump Design Summary'!$D$16)/1000)*V721)+'Pump Design Summary'!$D$16</f>
        <v>0</v>
      </c>
      <c r="X721" s="49">
        <f>IF(ISEVEN(V721),MAX('Pump Design Summary'!$D$29:$H$29)+50,0)</f>
        <v>50</v>
      </c>
      <c r="Y721" s="49"/>
    </row>
    <row r="722" spans="20:25" x14ac:dyDescent="0.25">
      <c r="T722" s="49"/>
      <c r="U722" s="49"/>
      <c r="V722" s="49">
        <v>719</v>
      </c>
      <c r="W722" s="49">
        <f>((('Pump Design Summary'!$E$16-'Pump Design Summary'!$D$16)/1000)*V722)+'Pump Design Summary'!$D$16</f>
        <v>0</v>
      </c>
      <c r="X722" s="49">
        <f>IF(ISEVEN(V722),MAX('Pump Design Summary'!$D$29:$H$29)+50,0)</f>
        <v>0</v>
      </c>
      <c r="Y722" s="49"/>
    </row>
    <row r="723" spans="20:25" x14ac:dyDescent="0.25">
      <c r="T723" s="49"/>
      <c r="U723" s="49"/>
      <c r="V723" s="49">
        <v>720</v>
      </c>
      <c r="W723" s="49">
        <f>((('Pump Design Summary'!$E$16-'Pump Design Summary'!$D$16)/1000)*V723)+'Pump Design Summary'!$D$16</f>
        <v>0</v>
      </c>
      <c r="X723" s="49">
        <f>IF(ISEVEN(V723),MAX('Pump Design Summary'!$D$29:$H$29)+50,0)</f>
        <v>50</v>
      </c>
      <c r="Y723" s="49"/>
    </row>
    <row r="724" spans="20:25" x14ac:dyDescent="0.25">
      <c r="T724" s="49"/>
      <c r="U724" s="49"/>
      <c r="V724" s="49">
        <v>721</v>
      </c>
      <c r="W724" s="49">
        <f>((('Pump Design Summary'!$E$16-'Pump Design Summary'!$D$16)/1000)*V724)+'Pump Design Summary'!$D$16</f>
        <v>0</v>
      </c>
      <c r="X724" s="49">
        <f>IF(ISEVEN(V724),MAX('Pump Design Summary'!$D$29:$H$29)+50,0)</f>
        <v>0</v>
      </c>
      <c r="Y724" s="49"/>
    </row>
    <row r="725" spans="20:25" x14ac:dyDescent="0.25">
      <c r="T725" s="49"/>
      <c r="U725" s="49"/>
      <c r="V725" s="49">
        <v>722</v>
      </c>
      <c r="W725" s="49">
        <f>((('Pump Design Summary'!$E$16-'Pump Design Summary'!$D$16)/1000)*V725)+'Pump Design Summary'!$D$16</f>
        <v>0</v>
      </c>
      <c r="X725" s="49">
        <f>IF(ISEVEN(V725),MAX('Pump Design Summary'!$D$29:$H$29)+50,0)</f>
        <v>50</v>
      </c>
      <c r="Y725" s="49"/>
    </row>
    <row r="726" spans="20:25" x14ac:dyDescent="0.25">
      <c r="T726" s="49"/>
      <c r="U726" s="49"/>
      <c r="V726" s="49">
        <v>723</v>
      </c>
      <c r="W726" s="49">
        <f>((('Pump Design Summary'!$E$16-'Pump Design Summary'!$D$16)/1000)*V726)+'Pump Design Summary'!$D$16</f>
        <v>0</v>
      </c>
      <c r="X726" s="49">
        <f>IF(ISEVEN(V726),MAX('Pump Design Summary'!$D$29:$H$29)+50,0)</f>
        <v>0</v>
      </c>
      <c r="Y726" s="49"/>
    </row>
    <row r="727" spans="20:25" x14ac:dyDescent="0.25">
      <c r="T727" s="49"/>
      <c r="U727" s="49"/>
      <c r="V727" s="49">
        <v>724</v>
      </c>
      <c r="W727" s="49">
        <f>((('Pump Design Summary'!$E$16-'Pump Design Summary'!$D$16)/1000)*V727)+'Pump Design Summary'!$D$16</f>
        <v>0</v>
      </c>
      <c r="X727" s="49">
        <f>IF(ISEVEN(V727),MAX('Pump Design Summary'!$D$29:$H$29)+50,0)</f>
        <v>50</v>
      </c>
      <c r="Y727" s="49"/>
    </row>
    <row r="728" spans="20:25" x14ac:dyDescent="0.25">
      <c r="T728" s="49"/>
      <c r="U728" s="49"/>
      <c r="V728" s="49">
        <v>725</v>
      </c>
      <c r="W728" s="49">
        <f>((('Pump Design Summary'!$E$16-'Pump Design Summary'!$D$16)/1000)*V728)+'Pump Design Summary'!$D$16</f>
        <v>0</v>
      </c>
      <c r="X728" s="49">
        <f>IF(ISEVEN(V728),MAX('Pump Design Summary'!$D$29:$H$29)+50,0)</f>
        <v>0</v>
      </c>
      <c r="Y728" s="49"/>
    </row>
    <row r="729" spans="20:25" x14ac:dyDescent="0.25">
      <c r="T729" s="49"/>
      <c r="U729" s="49"/>
      <c r="V729" s="49">
        <v>726</v>
      </c>
      <c r="W729" s="49">
        <f>((('Pump Design Summary'!$E$16-'Pump Design Summary'!$D$16)/1000)*V729)+'Pump Design Summary'!$D$16</f>
        <v>0</v>
      </c>
      <c r="X729" s="49">
        <f>IF(ISEVEN(V729),MAX('Pump Design Summary'!$D$29:$H$29)+50,0)</f>
        <v>50</v>
      </c>
      <c r="Y729" s="49"/>
    </row>
    <row r="730" spans="20:25" x14ac:dyDescent="0.25">
      <c r="T730" s="49"/>
      <c r="U730" s="49"/>
      <c r="V730" s="49">
        <v>727</v>
      </c>
      <c r="W730" s="49">
        <f>((('Pump Design Summary'!$E$16-'Pump Design Summary'!$D$16)/1000)*V730)+'Pump Design Summary'!$D$16</f>
        <v>0</v>
      </c>
      <c r="X730" s="49">
        <f>IF(ISEVEN(V730),MAX('Pump Design Summary'!$D$29:$H$29)+50,0)</f>
        <v>0</v>
      </c>
      <c r="Y730" s="49"/>
    </row>
    <row r="731" spans="20:25" x14ac:dyDescent="0.25">
      <c r="T731" s="49"/>
      <c r="U731" s="49"/>
      <c r="V731" s="49">
        <v>728</v>
      </c>
      <c r="W731" s="49">
        <f>((('Pump Design Summary'!$E$16-'Pump Design Summary'!$D$16)/1000)*V731)+'Pump Design Summary'!$D$16</f>
        <v>0</v>
      </c>
      <c r="X731" s="49">
        <f>IF(ISEVEN(V731),MAX('Pump Design Summary'!$D$29:$H$29)+50,0)</f>
        <v>50</v>
      </c>
      <c r="Y731" s="49"/>
    </row>
    <row r="732" spans="20:25" x14ac:dyDescent="0.25">
      <c r="T732" s="49"/>
      <c r="U732" s="49"/>
      <c r="V732" s="49">
        <v>729</v>
      </c>
      <c r="W732" s="49">
        <f>((('Pump Design Summary'!$E$16-'Pump Design Summary'!$D$16)/1000)*V732)+'Pump Design Summary'!$D$16</f>
        <v>0</v>
      </c>
      <c r="X732" s="49">
        <f>IF(ISEVEN(V732),MAX('Pump Design Summary'!$D$29:$H$29)+50,0)</f>
        <v>0</v>
      </c>
      <c r="Y732" s="49"/>
    </row>
    <row r="733" spans="20:25" x14ac:dyDescent="0.25">
      <c r="T733" s="49"/>
      <c r="U733" s="49"/>
      <c r="V733" s="49">
        <v>730</v>
      </c>
      <c r="W733" s="49">
        <f>((('Pump Design Summary'!$E$16-'Pump Design Summary'!$D$16)/1000)*V733)+'Pump Design Summary'!$D$16</f>
        <v>0</v>
      </c>
      <c r="X733" s="49">
        <f>IF(ISEVEN(V733),MAX('Pump Design Summary'!$D$29:$H$29)+50,0)</f>
        <v>50</v>
      </c>
      <c r="Y733" s="49"/>
    </row>
    <row r="734" spans="20:25" x14ac:dyDescent="0.25">
      <c r="T734" s="49"/>
      <c r="U734" s="49"/>
      <c r="V734" s="49">
        <v>731</v>
      </c>
      <c r="W734" s="49">
        <f>((('Pump Design Summary'!$E$16-'Pump Design Summary'!$D$16)/1000)*V734)+'Pump Design Summary'!$D$16</f>
        <v>0</v>
      </c>
      <c r="X734" s="49">
        <f>IF(ISEVEN(V734),MAX('Pump Design Summary'!$D$29:$H$29)+50,0)</f>
        <v>0</v>
      </c>
      <c r="Y734" s="49"/>
    </row>
    <row r="735" spans="20:25" x14ac:dyDescent="0.25">
      <c r="T735" s="49"/>
      <c r="U735" s="49"/>
      <c r="V735" s="49">
        <v>732</v>
      </c>
      <c r="W735" s="49">
        <f>((('Pump Design Summary'!$E$16-'Pump Design Summary'!$D$16)/1000)*V735)+'Pump Design Summary'!$D$16</f>
        <v>0</v>
      </c>
      <c r="X735" s="49">
        <f>IF(ISEVEN(V735),MAX('Pump Design Summary'!$D$29:$H$29)+50,0)</f>
        <v>50</v>
      </c>
      <c r="Y735" s="49"/>
    </row>
    <row r="736" spans="20:25" x14ac:dyDescent="0.25">
      <c r="T736" s="49"/>
      <c r="U736" s="49"/>
      <c r="V736" s="49">
        <v>733</v>
      </c>
      <c r="W736" s="49">
        <f>((('Pump Design Summary'!$E$16-'Pump Design Summary'!$D$16)/1000)*V736)+'Pump Design Summary'!$D$16</f>
        <v>0</v>
      </c>
      <c r="X736" s="49">
        <f>IF(ISEVEN(V736),MAX('Pump Design Summary'!$D$29:$H$29)+50,0)</f>
        <v>0</v>
      </c>
      <c r="Y736" s="49"/>
    </row>
    <row r="737" spans="20:25" x14ac:dyDescent="0.25">
      <c r="T737" s="49"/>
      <c r="U737" s="49"/>
      <c r="V737" s="49">
        <v>734</v>
      </c>
      <c r="W737" s="49">
        <f>((('Pump Design Summary'!$E$16-'Pump Design Summary'!$D$16)/1000)*V737)+'Pump Design Summary'!$D$16</f>
        <v>0</v>
      </c>
      <c r="X737" s="49">
        <f>IF(ISEVEN(V737),MAX('Pump Design Summary'!$D$29:$H$29)+50,0)</f>
        <v>50</v>
      </c>
      <c r="Y737" s="49"/>
    </row>
    <row r="738" spans="20:25" x14ac:dyDescent="0.25">
      <c r="T738" s="49"/>
      <c r="U738" s="49"/>
      <c r="V738" s="49">
        <v>735</v>
      </c>
      <c r="W738" s="49">
        <f>((('Pump Design Summary'!$E$16-'Pump Design Summary'!$D$16)/1000)*V738)+'Pump Design Summary'!$D$16</f>
        <v>0</v>
      </c>
      <c r="X738" s="49">
        <f>IF(ISEVEN(V738),MAX('Pump Design Summary'!$D$29:$H$29)+50,0)</f>
        <v>0</v>
      </c>
      <c r="Y738" s="49"/>
    </row>
    <row r="739" spans="20:25" x14ac:dyDescent="0.25">
      <c r="T739" s="49"/>
      <c r="U739" s="49"/>
      <c r="V739" s="49">
        <v>736</v>
      </c>
      <c r="W739" s="49">
        <f>((('Pump Design Summary'!$E$16-'Pump Design Summary'!$D$16)/1000)*V739)+'Pump Design Summary'!$D$16</f>
        <v>0</v>
      </c>
      <c r="X739" s="49">
        <f>IF(ISEVEN(V739),MAX('Pump Design Summary'!$D$29:$H$29)+50,0)</f>
        <v>50</v>
      </c>
      <c r="Y739" s="49"/>
    </row>
    <row r="740" spans="20:25" x14ac:dyDescent="0.25">
      <c r="T740" s="49"/>
      <c r="U740" s="49"/>
      <c r="V740" s="49">
        <v>737</v>
      </c>
      <c r="W740" s="49">
        <f>((('Pump Design Summary'!$E$16-'Pump Design Summary'!$D$16)/1000)*V740)+'Pump Design Summary'!$D$16</f>
        <v>0</v>
      </c>
      <c r="X740" s="49">
        <f>IF(ISEVEN(V740),MAX('Pump Design Summary'!$D$29:$H$29)+50,0)</f>
        <v>0</v>
      </c>
      <c r="Y740" s="49"/>
    </row>
    <row r="741" spans="20:25" x14ac:dyDescent="0.25">
      <c r="T741" s="49"/>
      <c r="U741" s="49"/>
      <c r="V741" s="49">
        <v>738</v>
      </c>
      <c r="W741" s="49">
        <f>((('Pump Design Summary'!$E$16-'Pump Design Summary'!$D$16)/1000)*V741)+'Pump Design Summary'!$D$16</f>
        <v>0</v>
      </c>
      <c r="X741" s="49">
        <f>IF(ISEVEN(V741),MAX('Pump Design Summary'!$D$29:$H$29)+50,0)</f>
        <v>50</v>
      </c>
      <c r="Y741" s="49"/>
    </row>
    <row r="742" spans="20:25" x14ac:dyDescent="0.25">
      <c r="T742" s="49"/>
      <c r="U742" s="49"/>
      <c r="V742" s="49">
        <v>739</v>
      </c>
      <c r="W742" s="49">
        <f>((('Pump Design Summary'!$E$16-'Pump Design Summary'!$D$16)/1000)*V742)+'Pump Design Summary'!$D$16</f>
        <v>0</v>
      </c>
      <c r="X742" s="49">
        <f>IF(ISEVEN(V742),MAX('Pump Design Summary'!$D$29:$H$29)+50,0)</f>
        <v>0</v>
      </c>
      <c r="Y742" s="49"/>
    </row>
    <row r="743" spans="20:25" x14ac:dyDescent="0.25">
      <c r="T743" s="49"/>
      <c r="U743" s="49"/>
      <c r="V743" s="49">
        <v>740</v>
      </c>
      <c r="W743" s="49">
        <f>((('Pump Design Summary'!$E$16-'Pump Design Summary'!$D$16)/1000)*V743)+'Pump Design Summary'!$D$16</f>
        <v>0</v>
      </c>
      <c r="X743" s="49">
        <f>IF(ISEVEN(V743),MAX('Pump Design Summary'!$D$29:$H$29)+50,0)</f>
        <v>50</v>
      </c>
      <c r="Y743" s="49"/>
    </row>
    <row r="744" spans="20:25" x14ac:dyDescent="0.25">
      <c r="T744" s="49"/>
      <c r="U744" s="49"/>
      <c r="V744" s="49">
        <v>741</v>
      </c>
      <c r="W744" s="49">
        <f>((('Pump Design Summary'!$E$16-'Pump Design Summary'!$D$16)/1000)*V744)+'Pump Design Summary'!$D$16</f>
        <v>0</v>
      </c>
      <c r="X744" s="49">
        <f>IF(ISEVEN(V744),MAX('Pump Design Summary'!$D$29:$H$29)+50,0)</f>
        <v>0</v>
      </c>
      <c r="Y744" s="49"/>
    </row>
    <row r="745" spans="20:25" x14ac:dyDescent="0.25">
      <c r="T745" s="49"/>
      <c r="U745" s="49"/>
      <c r="V745" s="49">
        <v>742</v>
      </c>
      <c r="W745" s="49">
        <f>((('Pump Design Summary'!$E$16-'Pump Design Summary'!$D$16)/1000)*V745)+'Pump Design Summary'!$D$16</f>
        <v>0</v>
      </c>
      <c r="X745" s="49">
        <f>IF(ISEVEN(V745),MAX('Pump Design Summary'!$D$29:$H$29)+50,0)</f>
        <v>50</v>
      </c>
      <c r="Y745" s="49"/>
    </row>
    <row r="746" spans="20:25" x14ac:dyDescent="0.25">
      <c r="T746" s="49"/>
      <c r="U746" s="49"/>
      <c r="V746" s="49">
        <v>743</v>
      </c>
      <c r="W746" s="49">
        <f>((('Pump Design Summary'!$E$16-'Pump Design Summary'!$D$16)/1000)*V746)+'Pump Design Summary'!$D$16</f>
        <v>0</v>
      </c>
      <c r="X746" s="49">
        <f>IF(ISEVEN(V746),MAX('Pump Design Summary'!$D$29:$H$29)+50,0)</f>
        <v>0</v>
      </c>
      <c r="Y746" s="49"/>
    </row>
    <row r="747" spans="20:25" x14ac:dyDescent="0.25">
      <c r="T747" s="49"/>
      <c r="U747" s="49"/>
      <c r="V747" s="49">
        <v>744</v>
      </c>
      <c r="W747" s="49">
        <f>((('Pump Design Summary'!$E$16-'Pump Design Summary'!$D$16)/1000)*V747)+'Pump Design Summary'!$D$16</f>
        <v>0</v>
      </c>
      <c r="X747" s="49">
        <f>IF(ISEVEN(V747),MAX('Pump Design Summary'!$D$29:$H$29)+50,0)</f>
        <v>50</v>
      </c>
      <c r="Y747" s="49"/>
    </row>
    <row r="748" spans="20:25" x14ac:dyDescent="0.25">
      <c r="T748" s="49"/>
      <c r="U748" s="49"/>
      <c r="V748" s="49">
        <v>745</v>
      </c>
      <c r="W748" s="49">
        <f>((('Pump Design Summary'!$E$16-'Pump Design Summary'!$D$16)/1000)*V748)+'Pump Design Summary'!$D$16</f>
        <v>0</v>
      </c>
      <c r="X748" s="49">
        <f>IF(ISEVEN(V748),MAX('Pump Design Summary'!$D$29:$H$29)+50,0)</f>
        <v>0</v>
      </c>
      <c r="Y748" s="49"/>
    </row>
    <row r="749" spans="20:25" x14ac:dyDescent="0.25">
      <c r="T749" s="49"/>
      <c r="U749" s="49"/>
      <c r="V749" s="49">
        <v>746</v>
      </c>
      <c r="W749" s="49">
        <f>((('Pump Design Summary'!$E$16-'Pump Design Summary'!$D$16)/1000)*V749)+'Pump Design Summary'!$D$16</f>
        <v>0</v>
      </c>
      <c r="X749" s="49">
        <f>IF(ISEVEN(V749),MAX('Pump Design Summary'!$D$29:$H$29)+50,0)</f>
        <v>50</v>
      </c>
      <c r="Y749" s="49"/>
    </row>
    <row r="750" spans="20:25" x14ac:dyDescent="0.25">
      <c r="T750" s="49"/>
      <c r="U750" s="49"/>
      <c r="V750" s="49">
        <v>747</v>
      </c>
      <c r="W750" s="49">
        <f>((('Pump Design Summary'!$E$16-'Pump Design Summary'!$D$16)/1000)*V750)+'Pump Design Summary'!$D$16</f>
        <v>0</v>
      </c>
      <c r="X750" s="49">
        <f>IF(ISEVEN(V750),MAX('Pump Design Summary'!$D$29:$H$29)+50,0)</f>
        <v>0</v>
      </c>
      <c r="Y750" s="49"/>
    </row>
    <row r="751" spans="20:25" x14ac:dyDescent="0.25">
      <c r="T751" s="49"/>
      <c r="U751" s="49"/>
      <c r="V751" s="49">
        <v>748</v>
      </c>
      <c r="W751" s="49">
        <f>((('Pump Design Summary'!$E$16-'Pump Design Summary'!$D$16)/1000)*V751)+'Pump Design Summary'!$D$16</f>
        <v>0</v>
      </c>
      <c r="X751" s="49">
        <f>IF(ISEVEN(V751),MAX('Pump Design Summary'!$D$29:$H$29)+50,0)</f>
        <v>50</v>
      </c>
      <c r="Y751" s="49"/>
    </row>
    <row r="752" spans="20:25" x14ac:dyDescent="0.25">
      <c r="T752" s="49"/>
      <c r="U752" s="49"/>
      <c r="V752" s="49">
        <v>749</v>
      </c>
      <c r="W752" s="49">
        <f>((('Pump Design Summary'!$E$16-'Pump Design Summary'!$D$16)/1000)*V752)+'Pump Design Summary'!$D$16</f>
        <v>0</v>
      </c>
      <c r="X752" s="49">
        <f>IF(ISEVEN(V752),MAX('Pump Design Summary'!$D$29:$H$29)+50,0)</f>
        <v>0</v>
      </c>
      <c r="Y752" s="49"/>
    </row>
    <row r="753" spans="20:25" x14ac:dyDescent="0.25">
      <c r="T753" s="49"/>
      <c r="U753" s="49"/>
      <c r="V753" s="49">
        <v>750</v>
      </c>
      <c r="W753" s="49">
        <f>((('Pump Design Summary'!$E$16-'Pump Design Summary'!$D$16)/1000)*V753)+'Pump Design Summary'!$D$16</f>
        <v>0</v>
      </c>
      <c r="X753" s="49">
        <f>IF(ISEVEN(V753),MAX('Pump Design Summary'!$D$29:$H$29)+50,0)</f>
        <v>50</v>
      </c>
      <c r="Y753" s="49"/>
    </row>
    <row r="754" spans="20:25" x14ac:dyDescent="0.25">
      <c r="T754" s="49"/>
      <c r="U754" s="49"/>
      <c r="V754" s="49">
        <v>751</v>
      </c>
      <c r="W754" s="49">
        <f>((('Pump Design Summary'!$E$16-'Pump Design Summary'!$D$16)/1000)*V754)+'Pump Design Summary'!$D$16</f>
        <v>0</v>
      </c>
      <c r="X754" s="49">
        <f>IF(ISEVEN(V754),MAX('Pump Design Summary'!$D$29:$H$29)+50,0)</f>
        <v>0</v>
      </c>
      <c r="Y754" s="49"/>
    </row>
    <row r="755" spans="20:25" x14ac:dyDescent="0.25">
      <c r="T755" s="49"/>
      <c r="U755" s="49"/>
      <c r="V755" s="49">
        <v>752</v>
      </c>
      <c r="W755" s="49">
        <f>((('Pump Design Summary'!$E$16-'Pump Design Summary'!$D$16)/1000)*V755)+'Pump Design Summary'!$D$16</f>
        <v>0</v>
      </c>
      <c r="X755" s="49">
        <f>IF(ISEVEN(V755),MAX('Pump Design Summary'!$D$29:$H$29)+50,0)</f>
        <v>50</v>
      </c>
      <c r="Y755" s="49"/>
    </row>
    <row r="756" spans="20:25" x14ac:dyDescent="0.25">
      <c r="T756" s="49"/>
      <c r="U756" s="49"/>
      <c r="V756" s="49">
        <v>753</v>
      </c>
      <c r="W756" s="49">
        <f>((('Pump Design Summary'!$E$16-'Pump Design Summary'!$D$16)/1000)*V756)+'Pump Design Summary'!$D$16</f>
        <v>0</v>
      </c>
      <c r="X756" s="49">
        <f>IF(ISEVEN(V756),MAX('Pump Design Summary'!$D$29:$H$29)+50,0)</f>
        <v>0</v>
      </c>
      <c r="Y756" s="49"/>
    </row>
    <row r="757" spans="20:25" x14ac:dyDescent="0.25">
      <c r="T757" s="49"/>
      <c r="U757" s="49"/>
      <c r="V757" s="49">
        <v>754</v>
      </c>
      <c r="W757" s="49">
        <f>((('Pump Design Summary'!$E$16-'Pump Design Summary'!$D$16)/1000)*V757)+'Pump Design Summary'!$D$16</f>
        <v>0</v>
      </c>
      <c r="X757" s="49">
        <f>IF(ISEVEN(V757),MAX('Pump Design Summary'!$D$29:$H$29)+50,0)</f>
        <v>50</v>
      </c>
      <c r="Y757" s="49"/>
    </row>
    <row r="758" spans="20:25" x14ac:dyDescent="0.25">
      <c r="T758" s="49"/>
      <c r="U758" s="49"/>
      <c r="V758" s="49">
        <v>755</v>
      </c>
      <c r="W758" s="49">
        <f>((('Pump Design Summary'!$E$16-'Pump Design Summary'!$D$16)/1000)*V758)+'Pump Design Summary'!$D$16</f>
        <v>0</v>
      </c>
      <c r="X758" s="49">
        <f>IF(ISEVEN(V758),MAX('Pump Design Summary'!$D$29:$H$29)+50,0)</f>
        <v>0</v>
      </c>
      <c r="Y758" s="49"/>
    </row>
    <row r="759" spans="20:25" x14ac:dyDescent="0.25">
      <c r="T759" s="49"/>
      <c r="U759" s="49"/>
      <c r="V759" s="49">
        <v>756</v>
      </c>
      <c r="W759" s="49">
        <f>((('Pump Design Summary'!$E$16-'Pump Design Summary'!$D$16)/1000)*V759)+'Pump Design Summary'!$D$16</f>
        <v>0</v>
      </c>
      <c r="X759" s="49">
        <f>IF(ISEVEN(V759),MAX('Pump Design Summary'!$D$29:$H$29)+50,0)</f>
        <v>50</v>
      </c>
      <c r="Y759" s="49"/>
    </row>
    <row r="760" spans="20:25" x14ac:dyDescent="0.25">
      <c r="T760" s="49"/>
      <c r="U760" s="49"/>
      <c r="V760" s="49">
        <v>757</v>
      </c>
      <c r="W760" s="49">
        <f>((('Pump Design Summary'!$E$16-'Pump Design Summary'!$D$16)/1000)*V760)+'Pump Design Summary'!$D$16</f>
        <v>0</v>
      </c>
      <c r="X760" s="49">
        <f>IF(ISEVEN(V760),MAX('Pump Design Summary'!$D$29:$H$29)+50,0)</f>
        <v>0</v>
      </c>
      <c r="Y760" s="49"/>
    </row>
    <row r="761" spans="20:25" x14ac:dyDescent="0.25">
      <c r="T761" s="49"/>
      <c r="U761" s="49"/>
      <c r="V761" s="49">
        <v>758</v>
      </c>
      <c r="W761" s="49">
        <f>((('Pump Design Summary'!$E$16-'Pump Design Summary'!$D$16)/1000)*V761)+'Pump Design Summary'!$D$16</f>
        <v>0</v>
      </c>
      <c r="X761" s="49">
        <f>IF(ISEVEN(V761),MAX('Pump Design Summary'!$D$29:$H$29)+50,0)</f>
        <v>50</v>
      </c>
      <c r="Y761" s="49"/>
    </row>
    <row r="762" spans="20:25" x14ac:dyDescent="0.25">
      <c r="T762" s="49"/>
      <c r="U762" s="49"/>
      <c r="V762" s="49">
        <v>759</v>
      </c>
      <c r="W762" s="49">
        <f>((('Pump Design Summary'!$E$16-'Pump Design Summary'!$D$16)/1000)*V762)+'Pump Design Summary'!$D$16</f>
        <v>0</v>
      </c>
      <c r="X762" s="49">
        <f>IF(ISEVEN(V762),MAX('Pump Design Summary'!$D$29:$H$29)+50,0)</f>
        <v>0</v>
      </c>
      <c r="Y762" s="49"/>
    </row>
    <row r="763" spans="20:25" x14ac:dyDescent="0.25">
      <c r="T763" s="49"/>
      <c r="U763" s="49"/>
      <c r="V763" s="49">
        <v>760</v>
      </c>
      <c r="W763" s="49">
        <f>((('Pump Design Summary'!$E$16-'Pump Design Summary'!$D$16)/1000)*V763)+'Pump Design Summary'!$D$16</f>
        <v>0</v>
      </c>
      <c r="X763" s="49">
        <f>IF(ISEVEN(V763),MAX('Pump Design Summary'!$D$29:$H$29)+50,0)</f>
        <v>50</v>
      </c>
      <c r="Y763" s="49"/>
    </row>
    <row r="764" spans="20:25" x14ac:dyDescent="0.25">
      <c r="T764" s="49"/>
      <c r="U764" s="49"/>
      <c r="V764" s="49">
        <v>761</v>
      </c>
      <c r="W764" s="49">
        <f>((('Pump Design Summary'!$E$16-'Pump Design Summary'!$D$16)/1000)*V764)+'Pump Design Summary'!$D$16</f>
        <v>0</v>
      </c>
      <c r="X764" s="49">
        <f>IF(ISEVEN(V764),MAX('Pump Design Summary'!$D$29:$H$29)+50,0)</f>
        <v>0</v>
      </c>
      <c r="Y764" s="49"/>
    </row>
    <row r="765" spans="20:25" x14ac:dyDescent="0.25">
      <c r="T765" s="49"/>
      <c r="U765" s="49"/>
      <c r="V765" s="49">
        <v>762</v>
      </c>
      <c r="W765" s="49">
        <f>((('Pump Design Summary'!$E$16-'Pump Design Summary'!$D$16)/1000)*V765)+'Pump Design Summary'!$D$16</f>
        <v>0</v>
      </c>
      <c r="X765" s="49">
        <f>IF(ISEVEN(V765),MAX('Pump Design Summary'!$D$29:$H$29)+50,0)</f>
        <v>50</v>
      </c>
      <c r="Y765" s="49"/>
    </row>
    <row r="766" spans="20:25" x14ac:dyDescent="0.25">
      <c r="T766" s="49"/>
      <c r="U766" s="49"/>
      <c r="V766" s="49">
        <v>763</v>
      </c>
      <c r="W766" s="49">
        <f>((('Pump Design Summary'!$E$16-'Pump Design Summary'!$D$16)/1000)*V766)+'Pump Design Summary'!$D$16</f>
        <v>0</v>
      </c>
      <c r="X766" s="49">
        <f>IF(ISEVEN(V766),MAX('Pump Design Summary'!$D$29:$H$29)+50,0)</f>
        <v>0</v>
      </c>
      <c r="Y766" s="49"/>
    </row>
    <row r="767" spans="20:25" x14ac:dyDescent="0.25">
      <c r="T767" s="49"/>
      <c r="U767" s="49"/>
      <c r="V767" s="49">
        <v>764</v>
      </c>
      <c r="W767" s="49">
        <f>((('Pump Design Summary'!$E$16-'Pump Design Summary'!$D$16)/1000)*V767)+'Pump Design Summary'!$D$16</f>
        <v>0</v>
      </c>
      <c r="X767" s="49">
        <f>IF(ISEVEN(V767),MAX('Pump Design Summary'!$D$29:$H$29)+50,0)</f>
        <v>50</v>
      </c>
      <c r="Y767" s="49"/>
    </row>
    <row r="768" spans="20:25" x14ac:dyDescent="0.25">
      <c r="T768" s="49"/>
      <c r="U768" s="49"/>
      <c r="V768" s="49">
        <v>765</v>
      </c>
      <c r="W768" s="49">
        <f>((('Pump Design Summary'!$E$16-'Pump Design Summary'!$D$16)/1000)*V768)+'Pump Design Summary'!$D$16</f>
        <v>0</v>
      </c>
      <c r="X768" s="49">
        <f>IF(ISEVEN(V768),MAX('Pump Design Summary'!$D$29:$H$29)+50,0)</f>
        <v>0</v>
      </c>
      <c r="Y768" s="49"/>
    </row>
    <row r="769" spans="20:25" x14ac:dyDescent="0.25">
      <c r="T769" s="49"/>
      <c r="U769" s="49"/>
      <c r="V769" s="49">
        <v>766</v>
      </c>
      <c r="W769" s="49">
        <f>((('Pump Design Summary'!$E$16-'Pump Design Summary'!$D$16)/1000)*V769)+'Pump Design Summary'!$D$16</f>
        <v>0</v>
      </c>
      <c r="X769" s="49">
        <f>IF(ISEVEN(V769),MAX('Pump Design Summary'!$D$29:$H$29)+50,0)</f>
        <v>50</v>
      </c>
      <c r="Y769" s="49"/>
    </row>
    <row r="770" spans="20:25" x14ac:dyDescent="0.25">
      <c r="T770" s="49"/>
      <c r="U770" s="49"/>
      <c r="V770" s="49">
        <v>767</v>
      </c>
      <c r="W770" s="49">
        <f>((('Pump Design Summary'!$E$16-'Pump Design Summary'!$D$16)/1000)*V770)+'Pump Design Summary'!$D$16</f>
        <v>0</v>
      </c>
      <c r="X770" s="49">
        <f>IF(ISEVEN(V770),MAX('Pump Design Summary'!$D$29:$H$29)+50,0)</f>
        <v>0</v>
      </c>
      <c r="Y770" s="49"/>
    </row>
    <row r="771" spans="20:25" x14ac:dyDescent="0.25">
      <c r="T771" s="49"/>
      <c r="U771" s="49"/>
      <c r="V771" s="49">
        <v>768</v>
      </c>
      <c r="W771" s="49">
        <f>((('Pump Design Summary'!$E$16-'Pump Design Summary'!$D$16)/1000)*V771)+'Pump Design Summary'!$D$16</f>
        <v>0</v>
      </c>
      <c r="X771" s="49">
        <f>IF(ISEVEN(V771),MAX('Pump Design Summary'!$D$29:$H$29)+50,0)</f>
        <v>50</v>
      </c>
      <c r="Y771" s="49"/>
    </row>
    <row r="772" spans="20:25" x14ac:dyDescent="0.25">
      <c r="T772" s="49"/>
      <c r="U772" s="49"/>
      <c r="V772" s="49">
        <v>769</v>
      </c>
      <c r="W772" s="49">
        <f>((('Pump Design Summary'!$E$16-'Pump Design Summary'!$D$16)/1000)*V772)+'Pump Design Summary'!$D$16</f>
        <v>0</v>
      </c>
      <c r="X772" s="49">
        <f>IF(ISEVEN(V772),MAX('Pump Design Summary'!$D$29:$H$29)+50,0)</f>
        <v>0</v>
      </c>
      <c r="Y772" s="49"/>
    </row>
    <row r="773" spans="20:25" x14ac:dyDescent="0.25">
      <c r="T773" s="49"/>
      <c r="U773" s="49"/>
      <c r="V773" s="49">
        <v>770</v>
      </c>
      <c r="W773" s="49">
        <f>((('Pump Design Summary'!$E$16-'Pump Design Summary'!$D$16)/1000)*V773)+'Pump Design Summary'!$D$16</f>
        <v>0</v>
      </c>
      <c r="X773" s="49">
        <f>IF(ISEVEN(V773),MAX('Pump Design Summary'!$D$29:$H$29)+50,0)</f>
        <v>50</v>
      </c>
      <c r="Y773" s="49"/>
    </row>
    <row r="774" spans="20:25" x14ac:dyDescent="0.25">
      <c r="T774" s="49"/>
      <c r="U774" s="49"/>
      <c r="V774" s="49">
        <v>771</v>
      </c>
      <c r="W774" s="49">
        <f>((('Pump Design Summary'!$E$16-'Pump Design Summary'!$D$16)/1000)*V774)+'Pump Design Summary'!$D$16</f>
        <v>0</v>
      </c>
      <c r="X774" s="49">
        <f>IF(ISEVEN(V774),MAX('Pump Design Summary'!$D$29:$H$29)+50,0)</f>
        <v>0</v>
      </c>
      <c r="Y774" s="49"/>
    </row>
    <row r="775" spans="20:25" x14ac:dyDescent="0.25">
      <c r="T775" s="49"/>
      <c r="U775" s="49"/>
      <c r="V775" s="49">
        <v>772</v>
      </c>
      <c r="W775" s="49">
        <f>((('Pump Design Summary'!$E$16-'Pump Design Summary'!$D$16)/1000)*V775)+'Pump Design Summary'!$D$16</f>
        <v>0</v>
      </c>
      <c r="X775" s="49">
        <f>IF(ISEVEN(V775),MAX('Pump Design Summary'!$D$29:$H$29)+50,0)</f>
        <v>50</v>
      </c>
      <c r="Y775" s="49"/>
    </row>
    <row r="776" spans="20:25" x14ac:dyDescent="0.25">
      <c r="T776" s="49"/>
      <c r="U776" s="49"/>
      <c r="V776" s="49">
        <v>773</v>
      </c>
      <c r="W776" s="49">
        <f>((('Pump Design Summary'!$E$16-'Pump Design Summary'!$D$16)/1000)*V776)+'Pump Design Summary'!$D$16</f>
        <v>0</v>
      </c>
      <c r="X776" s="49">
        <f>IF(ISEVEN(V776),MAX('Pump Design Summary'!$D$29:$H$29)+50,0)</f>
        <v>0</v>
      </c>
      <c r="Y776" s="49"/>
    </row>
    <row r="777" spans="20:25" x14ac:dyDescent="0.25">
      <c r="T777" s="49"/>
      <c r="U777" s="49"/>
      <c r="V777" s="49">
        <v>774</v>
      </c>
      <c r="W777" s="49">
        <f>((('Pump Design Summary'!$E$16-'Pump Design Summary'!$D$16)/1000)*V777)+'Pump Design Summary'!$D$16</f>
        <v>0</v>
      </c>
      <c r="X777" s="49">
        <f>IF(ISEVEN(V777),MAX('Pump Design Summary'!$D$29:$H$29)+50,0)</f>
        <v>50</v>
      </c>
      <c r="Y777" s="49"/>
    </row>
    <row r="778" spans="20:25" x14ac:dyDescent="0.25">
      <c r="T778" s="49"/>
      <c r="U778" s="49"/>
      <c r="V778" s="49">
        <v>775</v>
      </c>
      <c r="W778" s="49">
        <f>((('Pump Design Summary'!$E$16-'Pump Design Summary'!$D$16)/1000)*V778)+'Pump Design Summary'!$D$16</f>
        <v>0</v>
      </c>
      <c r="X778" s="49">
        <f>IF(ISEVEN(V778),MAX('Pump Design Summary'!$D$29:$H$29)+50,0)</f>
        <v>0</v>
      </c>
      <c r="Y778" s="49"/>
    </row>
    <row r="779" spans="20:25" x14ac:dyDescent="0.25">
      <c r="T779" s="49"/>
      <c r="U779" s="49"/>
      <c r="V779" s="49">
        <v>776</v>
      </c>
      <c r="W779" s="49">
        <f>((('Pump Design Summary'!$E$16-'Pump Design Summary'!$D$16)/1000)*V779)+'Pump Design Summary'!$D$16</f>
        <v>0</v>
      </c>
      <c r="X779" s="49">
        <f>IF(ISEVEN(V779),MAX('Pump Design Summary'!$D$29:$H$29)+50,0)</f>
        <v>50</v>
      </c>
      <c r="Y779" s="49"/>
    </row>
    <row r="780" spans="20:25" x14ac:dyDescent="0.25">
      <c r="T780" s="49"/>
      <c r="U780" s="49"/>
      <c r="V780" s="49">
        <v>777</v>
      </c>
      <c r="W780" s="49">
        <f>((('Pump Design Summary'!$E$16-'Pump Design Summary'!$D$16)/1000)*V780)+'Pump Design Summary'!$D$16</f>
        <v>0</v>
      </c>
      <c r="X780" s="49">
        <f>IF(ISEVEN(V780),MAX('Pump Design Summary'!$D$29:$H$29)+50,0)</f>
        <v>0</v>
      </c>
      <c r="Y780" s="49"/>
    </row>
    <row r="781" spans="20:25" x14ac:dyDescent="0.25">
      <c r="T781" s="49"/>
      <c r="U781" s="49"/>
      <c r="V781" s="49">
        <v>778</v>
      </c>
      <c r="W781" s="49">
        <f>((('Pump Design Summary'!$E$16-'Pump Design Summary'!$D$16)/1000)*V781)+'Pump Design Summary'!$D$16</f>
        <v>0</v>
      </c>
      <c r="X781" s="49">
        <f>IF(ISEVEN(V781),MAX('Pump Design Summary'!$D$29:$H$29)+50,0)</f>
        <v>50</v>
      </c>
      <c r="Y781" s="49"/>
    </row>
    <row r="782" spans="20:25" x14ac:dyDescent="0.25">
      <c r="T782" s="49"/>
      <c r="U782" s="49"/>
      <c r="V782" s="49">
        <v>779</v>
      </c>
      <c r="W782" s="49">
        <f>((('Pump Design Summary'!$E$16-'Pump Design Summary'!$D$16)/1000)*V782)+'Pump Design Summary'!$D$16</f>
        <v>0</v>
      </c>
      <c r="X782" s="49">
        <f>IF(ISEVEN(V782),MAX('Pump Design Summary'!$D$29:$H$29)+50,0)</f>
        <v>0</v>
      </c>
      <c r="Y782" s="49"/>
    </row>
    <row r="783" spans="20:25" x14ac:dyDescent="0.25">
      <c r="T783" s="49"/>
      <c r="U783" s="49"/>
      <c r="V783" s="49">
        <v>780</v>
      </c>
      <c r="W783" s="49">
        <f>((('Pump Design Summary'!$E$16-'Pump Design Summary'!$D$16)/1000)*V783)+'Pump Design Summary'!$D$16</f>
        <v>0</v>
      </c>
      <c r="X783" s="49">
        <f>IF(ISEVEN(V783),MAX('Pump Design Summary'!$D$29:$H$29)+50,0)</f>
        <v>50</v>
      </c>
      <c r="Y783" s="49"/>
    </row>
    <row r="784" spans="20:25" x14ac:dyDescent="0.25">
      <c r="T784" s="49"/>
      <c r="U784" s="49"/>
      <c r="V784" s="49">
        <v>781</v>
      </c>
      <c r="W784" s="49">
        <f>((('Pump Design Summary'!$E$16-'Pump Design Summary'!$D$16)/1000)*V784)+'Pump Design Summary'!$D$16</f>
        <v>0</v>
      </c>
      <c r="X784" s="49">
        <f>IF(ISEVEN(V784),MAX('Pump Design Summary'!$D$29:$H$29)+50,0)</f>
        <v>0</v>
      </c>
      <c r="Y784" s="49"/>
    </row>
    <row r="785" spans="20:25" x14ac:dyDescent="0.25">
      <c r="T785" s="49"/>
      <c r="U785" s="49"/>
      <c r="V785" s="49">
        <v>782</v>
      </c>
      <c r="W785" s="49">
        <f>((('Pump Design Summary'!$E$16-'Pump Design Summary'!$D$16)/1000)*V785)+'Pump Design Summary'!$D$16</f>
        <v>0</v>
      </c>
      <c r="X785" s="49">
        <f>IF(ISEVEN(V785),MAX('Pump Design Summary'!$D$29:$H$29)+50,0)</f>
        <v>50</v>
      </c>
      <c r="Y785" s="49"/>
    </row>
    <row r="786" spans="20:25" x14ac:dyDescent="0.25">
      <c r="T786" s="49"/>
      <c r="U786" s="49"/>
      <c r="V786" s="49">
        <v>783</v>
      </c>
      <c r="W786" s="49">
        <f>((('Pump Design Summary'!$E$16-'Pump Design Summary'!$D$16)/1000)*V786)+'Pump Design Summary'!$D$16</f>
        <v>0</v>
      </c>
      <c r="X786" s="49">
        <f>IF(ISEVEN(V786),MAX('Pump Design Summary'!$D$29:$H$29)+50,0)</f>
        <v>0</v>
      </c>
      <c r="Y786" s="49"/>
    </row>
    <row r="787" spans="20:25" x14ac:dyDescent="0.25">
      <c r="T787" s="49"/>
      <c r="U787" s="49"/>
      <c r="V787" s="49">
        <v>784</v>
      </c>
      <c r="W787" s="49">
        <f>((('Pump Design Summary'!$E$16-'Pump Design Summary'!$D$16)/1000)*V787)+'Pump Design Summary'!$D$16</f>
        <v>0</v>
      </c>
      <c r="X787" s="49">
        <f>IF(ISEVEN(V787),MAX('Pump Design Summary'!$D$29:$H$29)+50,0)</f>
        <v>50</v>
      </c>
      <c r="Y787" s="49"/>
    </row>
    <row r="788" spans="20:25" x14ac:dyDescent="0.25">
      <c r="T788" s="49"/>
      <c r="U788" s="49"/>
      <c r="V788" s="49">
        <v>785</v>
      </c>
      <c r="W788" s="49">
        <f>((('Pump Design Summary'!$E$16-'Pump Design Summary'!$D$16)/1000)*V788)+'Pump Design Summary'!$D$16</f>
        <v>0</v>
      </c>
      <c r="X788" s="49">
        <f>IF(ISEVEN(V788),MAX('Pump Design Summary'!$D$29:$H$29)+50,0)</f>
        <v>0</v>
      </c>
      <c r="Y788" s="49"/>
    </row>
    <row r="789" spans="20:25" x14ac:dyDescent="0.25">
      <c r="T789" s="49"/>
      <c r="U789" s="49"/>
      <c r="V789" s="49">
        <v>786</v>
      </c>
      <c r="W789" s="49">
        <f>((('Pump Design Summary'!$E$16-'Pump Design Summary'!$D$16)/1000)*V789)+'Pump Design Summary'!$D$16</f>
        <v>0</v>
      </c>
      <c r="X789" s="49">
        <f>IF(ISEVEN(V789),MAX('Pump Design Summary'!$D$29:$H$29)+50,0)</f>
        <v>50</v>
      </c>
      <c r="Y789" s="49"/>
    </row>
    <row r="790" spans="20:25" x14ac:dyDescent="0.25">
      <c r="T790" s="49"/>
      <c r="U790" s="49"/>
      <c r="V790" s="49">
        <v>787</v>
      </c>
      <c r="W790" s="49">
        <f>((('Pump Design Summary'!$E$16-'Pump Design Summary'!$D$16)/1000)*V790)+'Pump Design Summary'!$D$16</f>
        <v>0</v>
      </c>
      <c r="X790" s="49">
        <f>IF(ISEVEN(V790),MAX('Pump Design Summary'!$D$29:$H$29)+50,0)</f>
        <v>0</v>
      </c>
      <c r="Y790" s="49"/>
    </row>
    <row r="791" spans="20:25" x14ac:dyDescent="0.25">
      <c r="T791" s="49"/>
      <c r="U791" s="49"/>
      <c r="V791" s="49">
        <v>788</v>
      </c>
      <c r="W791" s="49">
        <f>((('Pump Design Summary'!$E$16-'Pump Design Summary'!$D$16)/1000)*V791)+'Pump Design Summary'!$D$16</f>
        <v>0</v>
      </c>
      <c r="X791" s="49">
        <f>IF(ISEVEN(V791),MAX('Pump Design Summary'!$D$29:$H$29)+50,0)</f>
        <v>50</v>
      </c>
      <c r="Y791" s="49"/>
    </row>
    <row r="792" spans="20:25" x14ac:dyDescent="0.25">
      <c r="T792" s="49"/>
      <c r="U792" s="49"/>
      <c r="V792" s="49">
        <v>789</v>
      </c>
      <c r="W792" s="49">
        <f>((('Pump Design Summary'!$E$16-'Pump Design Summary'!$D$16)/1000)*V792)+'Pump Design Summary'!$D$16</f>
        <v>0</v>
      </c>
      <c r="X792" s="49">
        <f>IF(ISEVEN(V792),MAX('Pump Design Summary'!$D$29:$H$29)+50,0)</f>
        <v>0</v>
      </c>
      <c r="Y792" s="49"/>
    </row>
    <row r="793" spans="20:25" x14ac:dyDescent="0.25">
      <c r="T793" s="49"/>
      <c r="U793" s="49"/>
      <c r="V793" s="49">
        <v>790</v>
      </c>
      <c r="W793" s="49">
        <f>((('Pump Design Summary'!$E$16-'Pump Design Summary'!$D$16)/1000)*V793)+'Pump Design Summary'!$D$16</f>
        <v>0</v>
      </c>
      <c r="X793" s="49">
        <f>IF(ISEVEN(V793),MAX('Pump Design Summary'!$D$29:$H$29)+50,0)</f>
        <v>50</v>
      </c>
      <c r="Y793" s="49"/>
    </row>
    <row r="794" spans="20:25" x14ac:dyDescent="0.25">
      <c r="T794" s="49"/>
      <c r="U794" s="49"/>
      <c r="V794" s="49">
        <v>791</v>
      </c>
      <c r="W794" s="49">
        <f>((('Pump Design Summary'!$E$16-'Pump Design Summary'!$D$16)/1000)*V794)+'Pump Design Summary'!$D$16</f>
        <v>0</v>
      </c>
      <c r="X794" s="49">
        <f>IF(ISEVEN(V794),MAX('Pump Design Summary'!$D$29:$H$29)+50,0)</f>
        <v>0</v>
      </c>
      <c r="Y794" s="49"/>
    </row>
    <row r="795" spans="20:25" x14ac:dyDescent="0.25">
      <c r="T795" s="49"/>
      <c r="U795" s="49"/>
      <c r="V795" s="49">
        <v>792</v>
      </c>
      <c r="W795" s="49">
        <f>((('Pump Design Summary'!$E$16-'Pump Design Summary'!$D$16)/1000)*V795)+'Pump Design Summary'!$D$16</f>
        <v>0</v>
      </c>
      <c r="X795" s="49">
        <f>IF(ISEVEN(V795),MAX('Pump Design Summary'!$D$29:$H$29)+50,0)</f>
        <v>50</v>
      </c>
      <c r="Y795" s="49"/>
    </row>
    <row r="796" spans="20:25" x14ac:dyDescent="0.25">
      <c r="T796" s="49"/>
      <c r="U796" s="49"/>
      <c r="V796" s="49">
        <v>793</v>
      </c>
      <c r="W796" s="49">
        <f>((('Pump Design Summary'!$E$16-'Pump Design Summary'!$D$16)/1000)*V796)+'Pump Design Summary'!$D$16</f>
        <v>0</v>
      </c>
      <c r="X796" s="49">
        <f>IF(ISEVEN(V796),MAX('Pump Design Summary'!$D$29:$H$29)+50,0)</f>
        <v>0</v>
      </c>
      <c r="Y796" s="49"/>
    </row>
    <row r="797" spans="20:25" x14ac:dyDescent="0.25">
      <c r="T797" s="49"/>
      <c r="U797" s="49"/>
      <c r="V797" s="49">
        <v>794</v>
      </c>
      <c r="W797" s="49">
        <f>((('Pump Design Summary'!$E$16-'Pump Design Summary'!$D$16)/1000)*V797)+'Pump Design Summary'!$D$16</f>
        <v>0</v>
      </c>
      <c r="X797" s="49">
        <f>IF(ISEVEN(V797),MAX('Pump Design Summary'!$D$29:$H$29)+50,0)</f>
        <v>50</v>
      </c>
      <c r="Y797" s="49"/>
    </row>
    <row r="798" spans="20:25" x14ac:dyDescent="0.25">
      <c r="T798" s="49"/>
      <c r="U798" s="49"/>
      <c r="V798" s="49">
        <v>795</v>
      </c>
      <c r="W798" s="49">
        <f>((('Pump Design Summary'!$E$16-'Pump Design Summary'!$D$16)/1000)*V798)+'Pump Design Summary'!$D$16</f>
        <v>0</v>
      </c>
      <c r="X798" s="49">
        <f>IF(ISEVEN(V798),MAX('Pump Design Summary'!$D$29:$H$29)+50,0)</f>
        <v>0</v>
      </c>
      <c r="Y798" s="49"/>
    </row>
    <row r="799" spans="20:25" x14ac:dyDescent="0.25">
      <c r="T799" s="49"/>
      <c r="U799" s="49"/>
      <c r="V799" s="49">
        <v>796</v>
      </c>
      <c r="W799" s="49">
        <f>((('Pump Design Summary'!$E$16-'Pump Design Summary'!$D$16)/1000)*V799)+'Pump Design Summary'!$D$16</f>
        <v>0</v>
      </c>
      <c r="X799" s="49">
        <f>IF(ISEVEN(V799),MAX('Pump Design Summary'!$D$29:$H$29)+50,0)</f>
        <v>50</v>
      </c>
      <c r="Y799" s="49"/>
    </row>
    <row r="800" spans="20:25" x14ac:dyDescent="0.25">
      <c r="T800" s="49"/>
      <c r="U800" s="49"/>
      <c r="V800" s="49">
        <v>797</v>
      </c>
      <c r="W800" s="49">
        <f>((('Pump Design Summary'!$E$16-'Pump Design Summary'!$D$16)/1000)*V800)+'Pump Design Summary'!$D$16</f>
        <v>0</v>
      </c>
      <c r="X800" s="49">
        <f>IF(ISEVEN(V800),MAX('Pump Design Summary'!$D$29:$H$29)+50,0)</f>
        <v>0</v>
      </c>
      <c r="Y800" s="49"/>
    </row>
    <row r="801" spans="20:25" x14ac:dyDescent="0.25">
      <c r="T801" s="49"/>
      <c r="U801" s="49"/>
      <c r="V801" s="49">
        <v>798</v>
      </c>
      <c r="W801" s="49">
        <f>((('Pump Design Summary'!$E$16-'Pump Design Summary'!$D$16)/1000)*V801)+'Pump Design Summary'!$D$16</f>
        <v>0</v>
      </c>
      <c r="X801" s="49">
        <f>IF(ISEVEN(V801),MAX('Pump Design Summary'!$D$29:$H$29)+50,0)</f>
        <v>50</v>
      </c>
      <c r="Y801" s="49"/>
    </row>
    <row r="802" spans="20:25" x14ac:dyDescent="0.25">
      <c r="T802" s="49"/>
      <c r="U802" s="49"/>
      <c r="V802" s="49">
        <v>799</v>
      </c>
      <c r="W802" s="49">
        <f>((('Pump Design Summary'!$E$16-'Pump Design Summary'!$D$16)/1000)*V802)+'Pump Design Summary'!$D$16</f>
        <v>0</v>
      </c>
      <c r="X802" s="49">
        <f>IF(ISEVEN(V802),MAX('Pump Design Summary'!$D$29:$H$29)+50,0)</f>
        <v>0</v>
      </c>
      <c r="Y802" s="49"/>
    </row>
    <row r="803" spans="20:25" x14ac:dyDescent="0.25">
      <c r="T803" s="49"/>
      <c r="U803" s="49"/>
      <c r="V803" s="49">
        <v>800</v>
      </c>
      <c r="W803" s="49">
        <f>((('Pump Design Summary'!$E$16-'Pump Design Summary'!$D$16)/1000)*V803)+'Pump Design Summary'!$D$16</f>
        <v>0</v>
      </c>
      <c r="X803" s="49">
        <f>IF(ISEVEN(V803),MAX('Pump Design Summary'!$D$29:$H$29)+50,0)</f>
        <v>50</v>
      </c>
      <c r="Y803" s="49"/>
    </row>
    <row r="804" spans="20:25" x14ac:dyDescent="0.25">
      <c r="T804" s="49"/>
      <c r="U804" s="49"/>
      <c r="V804" s="49">
        <v>801</v>
      </c>
      <c r="W804" s="49">
        <f>((('Pump Design Summary'!$E$16-'Pump Design Summary'!$D$16)/1000)*V804)+'Pump Design Summary'!$D$16</f>
        <v>0</v>
      </c>
      <c r="X804" s="49">
        <f>IF(ISEVEN(V804),MAX('Pump Design Summary'!$D$29:$H$29)+50,0)</f>
        <v>0</v>
      </c>
      <c r="Y804" s="49"/>
    </row>
    <row r="805" spans="20:25" x14ac:dyDescent="0.25">
      <c r="T805" s="49"/>
      <c r="U805" s="49"/>
      <c r="V805" s="49">
        <v>802</v>
      </c>
      <c r="W805" s="49">
        <f>((('Pump Design Summary'!$E$16-'Pump Design Summary'!$D$16)/1000)*V805)+'Pump Design Summary'!$D$16</f>
        <v>0</v>
      </c>
      <c r="X805" s="49">
        <f>IF(ISEVEN(V805),MAX('Pump Design Summary'!$D$29:$H$29)+50,0)</f>
        <v>50</v>
      </c>
      <c r="Y805" s="49"/>
    </row>
    <row r="806" spans="20:25" x14ac:dyDescent="0.25">
      <c r="T806" s="49"/>
      <c r="U806" s="49"/>
      <c r="V806" s="49">
        <v>803</v>
      </c>
      <c r="W806" s="49">
        <f>((('Pump Design Summary'!$E$16-'Pump Design Summary'!$D$16)/1000)*V806)+'Pump Design Summary'!$D$16</f>
        <v>0</v>
      </c>
      <c r="X806" s="49">
        <f>IF(ISEVEN(V806),MAX('Pump Design Summary'!$D$29:$H$29)+50,0)</f>
        <v>0</v>
      </c>
      <c r="Y806" s="49"/>
    </row>
    <row r="807" spans="20:25" x14ac:dyDescent="0.25">
      <c r="T807" s="49"/>
      <c r="U807" s="49"/>
      <c r="V807" s="49">
        <v>804</v>
      </c>
      <c r="W807" s="49">
        <f>((('Pump Design Summary'!$E$16-'Pump Design Summary'!$D$16)/1000)*V807)+'Pump Design Summary'!$D$16</f>
        <v>0</v>
      </c>
      <c r="X807" s="49">
        <f>IF(ISEVEN(V807),MAX('Pump Design Summary'!$D$29:$H$29)+50,0)</f>
        <v>50</v>
      </c>
      <c r="Y807" s="49"/>
    </row>
    <row r="808" spans="20:25" x14ac:dyDescent="0.25">
      <c r="T808" s="49"/>
      <c r="U808" s="49"/>
      <c r="V808" s="49">
        <v>805</v>
      </c>
      <c r="W808" s="49">
        <f>((('Pump Design Summary'!$E$16-'Pump Design Summary'!$D$16)/1000)*V808)+'Pump Design Summary'!$D$16</f>
        <v>0</v>
      </c>
      <c r="X808" s="49">
        <f>IF(ISEVEN(V808),MAX('Pump Design Summary'!$D$29:$H$29)+50,0)</f>
        <v>0</v>
      </c>
      <c r="Y808" s="49"/>
    </row>
    <row r="809" spans="20:25" x14ac:dyDescent="0.25">
      <c r="T809" s="49"/>
      <c r="U809" s="49"/>
      <c r="V809" s="49">
        <v>806</v>
      </c>
      <c r="W809" s="49">
        <f>((('Pump Design Summary'!$E$16-'Pump Design Summary'!$D$16)/1000)*V809)+'Pump Design Summary'!$D$16</f>
        <v>0</v>
      </c>
      <c r="X809" s="49">
        <f>IF(ISEVEN(V809),MAX('Pump Design Summary'!$D$29:$H$29)+50,0)</f>
        <v>50</v>
      </c>
      <c r="Y809" s="49"/>
    </row>
    <row r="810" spans="20:25" x14ac:dyDescent="0.25">
      <c r="T810" s="49"/>
      <c r="U810" s="49"/>
      <c r="V810" s="49">
        <v>807</v>
      </c>
      <c r="W810" s="49">
        <f>((('Pump Design Summary'!$E$16-'Pump Design Summary'!$D$16)/1000)*V810)+'Pump Design Summary'!$D$16</f>
        <v>0</v>
      </c>
      <c r="X810" s="49">
        <f>IF(ISEVEN(V810),MAX('Pump Design Summary'!$D$29:$H$29)+50,0)</f>
        <v>0</v>
      </c>
      <c r="Y810" s="49"/>
    </row>
    <row r="811" spans="20:25" x14ac:dyDescent="0.25">
      <c r="T811" s="49"/>
      <c r="U811" s="49"/>
      <c r="V811" s="49">
        <v>808</v>
      </c>
      <c r="W811" s="49">
        <f>((('Pump Design Summary'!$E$16-'Pump Design Summary'!$D$16)/1000)*V811)+'Pump Design Summary'!$D$16</f>
        <v>0</v>
      </c>
      <c r="X811" s="49">
        <f>IF(ISEVEN(V811),MAX('Pump Design Summary'!$D$29:$H$29)+50,0)</f>
        <v>50</v>
      </c>
      <c r="Y811" s="49"/>
    </row>
    <row r="812" spans="20:25" x14ac:dyDescent="0.25">
      <c r="T812" s="49"/>
      <c r="U812" s="49"/>
      <c r="V812" s="49">
        <v>809</v>
      </c>
      <c r="W812" s="49">
        <f>((('Pump Design Summary'!$E$16-'Pump Design Summary'!$D$16)/1000)*V812)+'Pump Design Summary'!$D$16</f>
        <v>0</v>
      </c>
      <c r="X812" s="49">
        <f>IF(ISEVEN(V812),MAX('Pump Design Summary'!$D$29:$H$29)+50,0)</f>
        <v>0</v>
      </c>
      <c r="Y812" s="49"/>
    </row>
    <row r="813" spans="20:25" x14ac:dyDescent="0.25">
      <c r="T813" s="49"/>
      <c r="U813" s="49"/>
      <c r="V813" s="49">
        <v>810</v>
      </c>
      <c r="W813" s="49">
        <f>((('Pump Design Summary'!$E$16-'Pump Design Summary'!$D$16)/1000)*V813)+'Pump Design Summary'!$D$16</f>
        <v>0</v>
      </c>
      <c r="X813" s="49">
        <f>IF(ISEVEN(V813),MAX('Pump Design Summary'!$D$29:$H$29)+50,0)</f>
        <v>50</v>
      </c>
      <c r="Y813" s="49"/>
    </row>
    <row r="814" spans="20:25" x14ac:dyDescent="0.25">
      <c r="T814" s="49"/>
      <c r="U814" s="49"/>
      <c r="V814" s="49">
        <v>811</v>
      </c>
      <c r="W814" s="49">
        <f>((('Pump Design Summary'!$E$16-'Pump Design Summary'!$D$16)/1000)*V814)+'Pump Design Summary'!$D$16</f>
        <v>0</v>
      </c>
      <c r="X814" s="49">
        <f>IF(ISEVEN(V814),MAX('Pump Design Summary'!$D$29:$H$29)+50,0)</f>
        <v>0</v>
      </c>
      <c r="Y814" s="49"/>
    </row>
    <row r="815" spans="20:25" x14ac:dyDescent="0.25">
      <c r="T815" s="49"/>
      <c r="U815" s="49"/>
      <c r="V815" s="49">
        <v>812</v>
      </c>
      <c r="W815" s="49">
        <f>((('Pump Design Summary'!$E$16-'Pump Design Summary'!$D$16)/1000)*V815)+'Pump Design Summary'!$D$16</f>
        <v>0</v>
      </c>
      <c r="X815" s="49">
        <f>IF(ISEVEN(V815),MAX('Pump Design Summary'!$D$29:$H$29)+50,0)</f>
        <v>50</v>
      </c>
      <c r="Y815" s="49"/>
    </row>
    <row r="816" spans="20:25" x14ac:dyDescent="0.25">
      <c r="T816" s="49"/>
      <c r="U816" s="49"/>
      <c r="V816" s="49">
        <v>813</v>
      </c>
      <c r="W816" s="49">
        <f>((('Pump Design Summary'!$E$16-'Pump Design Summary'!$D$16)/1000)*V816)+'Pump Design Summary'!$D$16</f>
        <v>0</v>
      </c>
      <c r="X816" s="49">
        <f>IF(ISEVEN(V816),MAX('Pump Design Summary'!$D$29:$H$29)+50,0)</f>
        <v>0</v>
      </c>
      <c r="Y816" s="49"/>
    </row>
    <row r="817" spans="20:25" x14ac:dyDescent="0.25">
      <c r="T817" s="49"/>
      <c r="U817" s="49"/>
      <c r="V817" s="49">
        <v>814</v>
      </c>
      <c r="W817" s="49">
        <f>((('Pump Design Summary'!$E$16-'Pump Design Summary'!$D$16)/1000)*V817)+'Pump Design Summary'!$D$16</f>
        <v>0</v>
      </c>
      <c r="X817" s="49">
        <f>IF(ISEVEN(V817),MAX('Pump Design Summary'!$D$29:$H$29)+50,0)</f>
        <v>50</v>
      </c>
      <c r="Y817" s="49"/>
    </row>
    <row r="818" spans="20:25" x14ac:dyDescent="0.25">
      <c r="T818" s="49"/>
      <c r="U818" s="49"/>
      <c r="V818" s="49">
        <v>815</v>
      </c>
      <c r="W818" s="49">
        <f>((('Pump Design Summary'!$E$16-'Pump Design Summary'!$D$16)/1000)*V818)+'Pump Design Summary'!$D$16</f>
        <v>0</v>
      </c>
      <c r="X818" s="49">
        <f>IF(ISEVEN(V818),MAX('Pump Design Summary'!$D$29:$H$29)+50,0)</f>
        <v>0</v>
      </c>
      <c r="Y818" s="49"/>
    </row>
    <row r="819" spans="20:25" x14ac:dyDescent="0.25">
      <c r="T819" s="49"/>
      <c r="U819" s="49"/>
      <c r="V819" s="49">
        <v>816</v>
      </c>
      <c r="W819" s="49">
        <f>((('Pump Design Summary'!$E$16-'Pump Design Summary'!$D$16)/1000)*V819)+'Pump Design Summary'!$D$16</f>
        <v>0</v>
      </c>
      <c r="X819" s="49">
        <f>IF(ISEVEN(V819),MAX('Pump Design Summary'!$D$29:$H$29)+50,0)</f>
        <v>50</v>
      </c>
      <c r="Y819" s="49"/>
    </row>
    <row r="820" spans="20:25" x14ac:dyDescent="0.25">
      <c r="T820" s="49"/>
      <c r="U820" s="49"/>
      <c r="V820" s="49">
        <v>817</v>
      </c>
      <c r="W820" s="49">
        <f>((('Pump Design Summary'!$E$16-'Pump Design Summary'!$D$16)/1000)*V820)+'Pump Design Summary'!$D$16</f>
        <v>0</v>
      </c>
      <c r="X820" s="49">
        <f>IF(ISEVEN(V820),MAX('Pump Design Summary'!$D$29:$H$29)+50,0)</f>
        <v>0</v>
      </c>
      <c r="Y820" s="49"/>
    </row>
    <row r="821" spans="20:25" x14ac:dyDescent="0.25">
      <c r="T821" s="49"/>
      <c r="U821" s="49"/>
      <c r="V821" s="49">
        <v>818</v>
      </c>
      <c r="W821" s="49">
        <f>((('Pump Design Summary'!$E$16-'Pump Design Summary'!$D$16)/1000)*V821)+'Pump Design Summary'!$D$16</f>
        <v>0</v>
      </c>
      <c r="X821" s="49">
        <f>IF(ISEVEN(V821),MAX('Pump Design Summary'!$D$29:$H$29)+50,0)</f>
        <v>50</v>
      </c>
      <c r="Y821" s="49"/>
    </row>
    <row r="822" spans="20:25" x14ac:dyDescent="0.25">
      <c r="T822" s="49"/>
      <c r="U822" s="49"/>
      <c r="V822" s="49">
        <v>819</v>
      </c>
      <c r="W822" s="49">
        <f>((('Pump Design Summary'!$E$16-'Pump Design Summary'!$D$16)/1000)*V822)+'Pump Design Summary'!$D$16</f>
        <v>0</v>
      </c>
      <c r="X822" s="49">
        <f>IF(ISEVEN(V822),MAX('Pump Design Summary'!$D$29:$H$29)+50,0)</f>
        <v>0</v>
      </c>
      <c r="Y822" s="49"/>
    </row>
    <row r="823" spans="20:25" x14ac:dyDescent="0.25">
      <c r="T823" s="49"/>
      <c r="U823" s="49"/>
      <c r="V823" s="49">
        <v>820</v>
      </c>
      <c r="W823" s="49">
        <f>((('Pump Design Summary'!$E$16-'Pump Design Summary'!$D$16)/1000)*V823)+'Pump Design Summary'!$D$16</f>
        <v>0</v>
      </c>
      <c r="X823" s="49">
        <f>IF(ISEVEN(V823),MAX('Pump Design Summary'!$D$29:$H$29)+50,0)</f>
        <v>50</v>
      </c>
      <c r="Y823" s="49"/>
    </row>
    <row r="824" spans="20:25" x14ac:dyDescent="0.25">
      <c r="T824" s="49"/>
      <c r="U824" s="49"/>
      <c r="V824" s="49">
        <v>821</v>
      </c>
      <c r="W824" s="49">
        <f>((('Pump Design Summary'!$E$16-'Pump Design Summary'!$D$16)/1000)*V824)+'Pump Design Summary'!$D$16</f>
        <v>0</v>
      </c>
      <c r="X824" s="49">
        <f>IF(ISEVEN(V824),MAX('Pump Design Summary'!$D$29:$H$29)+50,0)</f>
        <v>0</v>
      </c>
      <c r="Y824" s="49"/>
    </row>
    <row r="825" spans="20:25" x14ac:dyDescent="0.25">
      <c r="T825" s="49"/>
      <c r="U825" s="49"/>
      <c r="V825" s="49">
        <v>822</v>
      </c>
      <c r="W825" s="49">
        <f>((('Pump Design Summary'!$E$16-'Pump Design Summary'!$D$16)/1000)*V825)+'Pump Design Summary'!$D$16</f>
        <v>0</v>
      </c>
      <c r="X825" s="49">
        <f>IF(ISEVEN(V825),MAX('Pump Design Summary'!$D$29:$H$29)+50,0)</f>
        <v>50</v>
      </c>
      <c r="Y825" s="49"/>
    </row>
    <row r="826" spans="20:25" x14ac:dyDescent="0.25">
      <c r="T826" s="49"/>
      <c r="U826" s="49"/>
      <c r="V826" s="49">
        <v>823</v>
      </c>
      <c r="W826" s="49">
        <f>((('Pump Design Summary'!$E$16-'Pump Design Summary'!$D$16)/1000)*V826)+'Pump Design Summary'!$D$16</f>
        <v>0</v>
      </c>
      <c r="X826" s="49">
        <f>IF(ISEVEN(V826),MAX('Pump Design Summary'!$D$29:$H$29)+50,0)</f>
        <v>0</v>
      </c>
      <c r="Y826" s="49"/>
    </row>
    <row r="827" spans="20:25" x14ac:dyDescent="0.25">
      <c r="T827" s="49"/>
      <c r="U827" s="49"/>
      <c r="V827" s="49">
        <v>824</v>
      </c>
      <c r="W827" s="49">
        <f>((('Pump Design Summary'!$E$16-'Pump Design Summary'!$D$16)/1000)*V827)+'Pump Design Summary'!$D$16</f>
        <v>0</v>
      </c>
      <c r="X827" s="49">
        <f>IF(ISEVEN(V827),MAX('Pump Design Summary'!$D$29:$H$29)+50,0)</f>
        <v>50</v>
      </c>
      <c r="Y827" s="49"/>
    </row>
    <row r="828" spans="20:25" x14ac:dyDescent="0.25">
      <c r="T828" s="49"/>
      <c r="U828" s="49"/>
      <c r="V828" s="49">
        <v>825</v>
      </c>
      <c r="W828" s="49">
        <f>((('Pump Design Summary'!$E$16-'Pump Design Summary'!$D$16)/1000)*V828)+'Pump Design Summary'!$D$16</f>
        <v>0</v>
      </c>
      <c r="X828" s="49">
        <f>IF(ISEVEN(V828),MAX('Pump Design Summary'!$D$29:$H$29)+50,0)</f>
        <v>0</v>
      </c>
      <c r="Y828" s="49"/>
    </row>
    <row r="829" spans="20:25" x14ac:dyDescent="0.25">
      <c r="T829" s="49"/>
      <c r="U829" s="49"/>
      <c r="V829" s="49">
        <v>826</v>
      </c>
      <c r="W829" s="49">
        <f>((('Pump Design Summary'!$E$16-'Pump Design Summary'!$D$16)/1000)*V829)+'Pump Design Summary'!$D$16</f>
        <v>0</v>
      </c>
      <c r="X829" s="49">
        <f>IF(ISEVEN(V829),MAX('Pump Design Summary'!$D$29:$H$29)+50,0)</f>
        <v>50</v>
      </c>
      <c r="Y829" s="49"/>
    </row>
    <row r="830" spans="20:25" x14ac:dyDescent="0.25">
      <c r="T830" s="49"/>
      <c r="U830" s="49"/>
      <c r="V830" s="49">
        <v>827</v>
      </c>
      <c r="W830" s="49">
        <f>((('Pump Design Summary'!$E$16-'Pump Design Summary'!$D$16)/1000)*V830)+'Pump Design Summary'!$D$16</f>
        <v>0</v>
      </c>
      <c r="X830" s="49">
        <f>IF(ISEVEN(V830),MAX('Pump Design Summary'!$D$29:$H$29)+50,0)</f>
        <v>0</v>
      </c>
      <c r="Y830" s="49"/>
    </row>
    <row r="831" spans="20:25" x14ac:dyDescent="0.25">
      <c r="T831" s="49"/>
      <c r="U831" s="49"/>
      <c r="V831" s="49">
        <v>828</v>
      </c>
      <c r="W831" s="49">
        <f>((('Pump Design Summary'!$E$16-'Pump Design Summary'!$D$16)/1000)*V831)+'Pump Design Summary'!$D$16</f>
        <v>0</v>
      </c>
      <c r="X831" s="49">
        <f>IF(ISEVEN(V831),MAX('Pump Design Summary'!$D$29:$H$29)+50,0)</f>
        <v>50</v>
      </c>
      <c r="Y831" s="49"/>
    </row>
    <row r="832" spans="20:25" x14ac:dyDescent="0.25">
      <c r="T832" s="49"/>
      <c r="U832" s="49"/>
      <c r="V832" s="49">
        <v>829</v>
      </c>
      <c r="W832" s="49">
        <f>((('Pump Design Summary'!$E$16-'Pump Design Summary'!$D$16)/1000)*V832)+'Pump Design Summary'!$D$16</f>
        <v>0</v>
      </c>
      <c r="X832" s="49">
        <f>IF(ISEVEN(V832),MAX('Pump Design Summary'!$D$29:$H$29)+50,0)</f>
        <v>0</v>
      </c>
      <c r="Y832" s="49"/>
    </row>
    <row r="833" spans="20:25" x14ac:dyDescent="0.25">
      <c r="T833" s="49"/>
      <c r="U833" s="49"/>
      <c r="V833" s="49">
        <v>830</v>
      </c>
      <c r="W833" s="49">
        <f>((('Pump Design Summary'!$E$16-'Pump Design Summary'!$D$16)/1000)*V833)+'Pump Design Summary'!$D$16</f>
        <v>0</v>
      </c>
      <c r="X833" s="49">
        <f>IF(ISEVEN(V833),MAX('Pump Design Summary'!$D$29:$H$29)+50,0)</f>
        <v>50</v>
      </c>
      <c r="Y833" s="49"/>
    </row>
    <row r="834" spans="20:25" x14ac:dyDescent="0.25">
      <c r="T834" s="49"/>
      <c r="U834" s="49"/>
      <c r="V834" s="49">
        <v>831</v>
      </c>
      <c r="W834" s="49">
        <f>((('Pump Design Summary'!$E$16-'Pump Design Summary'!$D$16)/1000)*V834)+'Pump Design Summary'!$D$16</f>
        <v>0</v>
      </c>
      <c r="X834" s="49">
        <f>IF(ISEVEN(V834),MAX('Pump Design Summary'!$D$29:$H$29)+50,0)</f>
        <v>0</v>
      </c>
      <c r="Y834" s="49"/>
    </row>
    <row r="835" spans="20:25" x14ac:dyDescent="0.25">
      <c r="T835" s="49"/>
      <c r="U835" s="49"/>
      <c r="V835" s="49">
        <v>832</v>
      </c>
      <c r="W835" s="49">
        <f>((('Pump Design Summary'!$E$16-'Pump Design Summary'!$D$16)/1000)*V835)+'Pump Design Summary'!$D$16</f>
        <v>0</v>
      </c>
      <c r="X835" s="49">
        <f>IF(ISEVEN(V835),MAX('Pump Design Summary'!$D$29:$H$29)+50,0)</f>
        <v>50</v>
      </c>
      <c r="Y835" s="49"/>
    </row>
    <row r="836" spans="20:25" x14ac:dyDescent="0.25">
      <c r="T836" s="49"/>
      <c r="U836" s="49"/>
      <c r="V836" s="49">
        <v>833</v>
      </c>
      <c r="W836" s="49">
        <f>((('Pump Design Summary'!$E$16-'Pump Design Summary'!$D$16)/1000)*V836)+'Pump Design Summary'!$D$16</f>
        <v>0</v>
      </c>
      <c r="X836" s="49">
        <f>IF(ISEVEN(V836),MAX('Pump Design Summary'!$D$29:$H$29)+50,0)</f>
        <v>0</v>
      </c>
      <c r="Y836" s="49"/>
    </row>
    <row r="837" spans="20:25" x14ac:dyDescent="0.25">
      <c r="T837" s="49"/>
      <c r="U837" s="49"/>
      <c r="V837" s="49">
        <v>834</v>
      </c>
      <c r="W837" s="49">
        <f>((('Pump Design Summary'!$E$16-'Pump Design Summary'!$D$16)/1000)*V837)+'Pump Design Summary'!$D$16</f>
        <v>0</v>
      </c>
      <c r="X837" s="49">
        <f>IF(ISEVEN(V837),MAX('Pump Design Summary'!$D$29:$H$29)+50,0)</f>
        <v>50</v>
      </c>
      <c r="Y837" s="49"/>
    </row>
    <row r="838" spans="20:25" x14ac:dyDescent="0.25">
      <c r="T838" s="49"/>
      <c r="U838" s="49"/>
      <c r="V838" s="49">
        <v>835</v>
      </c>
      <c r="W838" s="49">
        <f>((('Pump Design Summary'!$E$16-'Pump Design Summary'!$D$16)/1000)*V838)+'Pump Design Summary'!$D$16</f>
        <v>0</v>
      </c>
      <c r="X838" s="49">
        <f>IF(ISEVEN(V838),MAX('Pump Design Summary'!$D$29:$H$29)+50,0)</f>
        <v>0</v>
      </c>
      <c r="Y838" s="49"/>
    </row>
    <row r="839" spans="20:25" x14ac:dyDescent="0.25">
      <c r="T839" s="49"/>
      <c r="U839" s="49"/>
      <c r="V839" s="49">
        <v>836</v>
      </c>
      <c r="W839" s="49">
        <f>((('Pump Design Summary'!$E$16-'Pump Design Summary'!$D$16)/1000)*V839)+'Pump Design Summary'!$D$16</f>
        <v>0</v>
      </c>
      <c r="X839" s="49">
        <f>IF(ISEVEN(V839),MAX('Pump Design Summary'!$D$29:$H$29)+50,0)</f>
        <v>50</v>
      </c>
      <c r="Y839" s="49"/>
    </row>
    <row r="840" spans="20:25" x14ac:dyDescent="0.25">
      <c r="T840" s="49"/>
      <c r="U840" s="49"/>
      <c r="V840" s="49">
        <v>837</v>
      </c>
      <c r="W840" s="49">
        <f>((('Pump Design Summary'!$E$16-'Pump Design Summary'!$D$16)/1000)*V840)+'Pump Design Summary'!$D$16</f>
        <v>0</v>
      </c>
      <c r="X840" s="49">
        <f>IF(ISEVEN(V840),MAX('Pump Design Summary'!$D$29:$H$29)+50,0)</f>
        <v>0</v>
      </c>
      <c r="Y840" s="49"/>
    </row>
    <row r="841" spans="20:25" x14ac:dyDescent="0.25">
      <c r="T841" s="49"/>
      <c r="U841" s="49"/>
      <c r="V841" s="49">
        <v>838</v>
      </c>
      <c r="W841" s="49">
        <f>((('Pump Design Summary'!$E$16-'Pump Design Summary'!$D$16)/1000)*V841)+'Pump Design Summary'!$D$16</f>
        <v>0</v>
      </c>
      <c r="X841" s="49">
        <f>IF(ISEVEN(V841),MAX('Pump Design Summary'!$D$29:$H$29)+50,0)</f>
        <v>50</v>
      </c>
      <c r="Y841" s="49"/>
    </row>
    <row r="842" spans="20:25" x14ac:dyDescent="0.25">
      <c r="T842" s="49"/>
      <c r="U842" s="49"/>
      <c r="V842" s="49">
        <v>839</v>
      </c>
      <c r="W842" s="49">
        <f>((('Pump Design Summary'!$E$16-'Pump Design Summary'!$D$16)/1000)*V842)+'Pump Design Summary'!$D$16</f>
        <v>0</v>
      </c>
      <c r="X842" s="49">
        <f>IF(ISEVEN(V842),MAX('Pump Design Summary'!$D$29:$H$29)+50,0)</f>
        <v>0</v>
      </c>
      <c r="Y842" s="49"/>
    </row>
    <row r="843" spans="20:25" x14ac:dyDescent="0.25">
      <c r="T843" s="49"/>
      <c r="U843" s="49"/>
      <c r="V843" s="49">
        <v>840</v>
      </c>
      <c r="W843" s="49">
        <f>((('Pump Design Summary'!$E$16-'Pump Design Summary'!$D$16)/1000)*V843)+'Pump Design Summary'!$D$16</f>
        <v>0</v>
      </c>
      <c r="X843" s="49">
        <f>IF(ISEVEN(V843),MAX('Pump Design Summary'!$D$29:$H$29)+50,0)</f>
        <v>50</v>
      </c>
      <c r="Y843" s="49"/>
    </row>
    <row r="844" spans="20:25" x14ac:dyDescent="0.25">
      <c r="T844" s="49"/>
      <c r="U844" s="49"/>
      <c r="V844" s="49">
        <v>841</v>
      </c>
      <c r="W844" s="49">
        <f>((('Pump Design Summary'!$E$16-'Pump Design Summary'!$D$16)/1000)*V844)+'Pump Design Summary'!$D$16</f>
        <v>0</v>
      </c>
      <c r="X844" s="49">
        <f>IF(ISEVEN(V844),MAX('Pump Design Summary'!$D$29:$H$29)+50,0)</f>
        <v>0</v>
      </c>
      <c r="Y844" s="49"/>
    </row>
    <row r="845" spans="20:25" x14ac:dyDescent="0.25">
      <c r="T845" s="49"/>
      <c r="U845" s="49"/>
      <c r="V845" s="49">
        <v>842</v>
      </c>
      <c r="W845" s="49">
        <f>((('Pump Design Summary'!$E$16-'Pump Design Summary'!$D$16)/1000)*V845)+'Pump Design Summary'!$D$16</f>
        <v>0</v>
      </c>
      <c r="X845" s="49">
        <f>IF(ISEVEN(V845),MAX('Pump Design Summary'!$D$29:$H$29)+50,0)</f>
        <v>50</v>
      </c>
      <c r="Y845" s="49"/>
    </row>
    <row r="846" spans="20:25" x14ac:dyDescent="0.25">
      <c r="T846" s="49"/>
      <c r="U846" s="49"/>
      <c r="V846" s="49">
        <v>843</v>
      </c>
      <c r="W846" s="49">
        <f>((('Pump Design Summary'!$E$16-'Pump Design Summary'!$D$16)/1000)*V846)+'Pump Design Summary'!$D$16</f>
        <v>0</v>
      </c>
      <c r="X846" s="49">
        <f>IF(ISEVEN(V846),MAX('Pump Design Summary'!$D$29:$H$29)+50,0)</f>
        <v>0</v>
      </c>
      <c r="Y846" s="49"/>
    </row>
    <row r="847" spans="20:25" x14ac:dyDescent="0.25">
      <c r="T847" s="49"/>
      <c r="U847" s="49"/>
      <c r="V847" s="49">
        <v>844</v>
      </c>
      <c r="W847" s="49">
        <f>((('Pump Design Summary'!$E$16-'Pump Design Summary'!$D$16)/1000)*V847)+'Pump Design Summary'!$D$16</f>
        <v>0</v>
      </c>
      <c r="X847" s="49">
        <f>IF(ISEVEN(V847),MAX('Pump Design Summary'!$D$29:$H$29)+50,0)</f>
        <v>50</v>
      </c>
      <c r="Y847" s="49"/>
    </row>
    <row r="848" spans="20:25" x14ac:dyDescent="0.25">
      <c r="T848" s="49"/>
      <c r="U848" s="49"/>
      <c r="V848" s="49">
        <v>845</v>
      </c>
      <c r="W848" s="49">
        <f>((('Pump Design Summary'!$E$16-'Pump Design Summary'!$D$16)/1000)*V848)+'Pump Design Summary'!$D$16</f>
        <v>0</v>
      </c>
      <c r="X848" s="49">
        <f>IF(ISEVEN(V848),MAX('Pump Design Summary'!$D$29:$H$29)+50,0)</f>
        <v>0</v>
      </c>
      <c r="Y848" s="49"/>
    </row>
    <row r="849" spans="20:25" x14ac:dyDescent="0.25">
      <c r="T849" s="49"/>
      <c r="U849" s="49"/>
      <c r="V849" s="49">
        <v>846</v>
      </c>
      <c r="W849" s="49">
        <f>((('Pump Design Summary'!$E$16-'Pump Design Summary'!$D$16)/1000)*V849)+'Pump Design Summary'!$D$16</f>
        <v>0</v>
      </c>
      <c r="X849" s="49">
        <f>IF(ISEVEN(V849),MAX('Pump Design Summary'!$D$29:$H$29)+50,0)</f>
        <v>50</v>
      </c>
      <c r="Y849" s="49"/>
    </row>
    <row r="850" spans="20:25" x14ac:dyDescent="0.25">
      <c r="T850" s="49"/>
      <c r="U850" s="49"/>
      <c r="V850" s="49">
        <v>847</v>
      </c>
      <c r="W850" s="49">
        <f>((('Pump Design Summary'!$E$16-'Pump Design Summary'!$D$16)/1000)*V850)+'Pump Design Summary'!$D$16</f>
        <v>0</v>
      </c>
      <c r="X850" s="49">
        <f>IF(ISEVEN(V850),MAX('Pump Design Summary'!$D$29:$H$29)+50,0)</f>
        <v>0</v>
      </c>
      <c r="Y850" s="49"/>
    </row>
    <row r="851" spans="20:25" x14ac:dyDescent="0.25">
      <c r="T851" s="49"/>
      <c r="U851" s="49"/>
      <c r="V851" s="49">
        <v>848</v>
      </c>
      <c r="W851" s="49">
        <f>((('Pump Design Summary'!$E$16-'Pump Design Summary'!$D$16)/1000)*V851)+'Pump Design Summary'!$D$16</f>
        <v>0</v>
      </c>
      <c r="X851" s="49">
        <f>IF(ISEVEN(V851),MAX('Pump Design Summary'!$D$29:$H$29)+50,0)</f>
        <v>50</v>
      </c>
      <c r="Y851" s="49"/>
    </row>
    <row r="852" spans="20:25" x14ac:dyDescent="0.25">
      <c r="T852" s="49"/>
      <c r="U852" s="49"/>
      <c r="V852" s="49">
        <v>849</v>
      </c>
      <c r="W852" s="49">
        <f>((('Pump Design Summary'!$E$16-'Pump Design Summary'!$D$16)/1000)*V852)+'Pump Design Summary'!$D$16</f>
        <v>0</v>
      </c>
      <c r="X852" s="49">
        <f>IF(ISEVEN(V852),MAX('Pump Design Summary'!$D$29:$H$29)+50,0)</f>
        <v>0</v>
      </c>
      <c r="Y852" s="49"/>
    </row>
    <row r="853" spans="20:25" x14ac:dyDescent="0.25">
      <c r="T853" s="49"/>
      <c r="U853" s="49"/>
      <c r="V853" s="49">
        <v>850</v>
      </c>
      <c r="W853" s="49">
        <f>((('Pump Design Summary'!$E$16-'Pump Design Summary'!$D$16)/1000)*V853)+'Pump Design Summary'!$D$16</f>
        <v>0</v>
      </c>
      <c r="X853" s="49">
        <f>IF(ISEVEN(V853),MAX('Pump Design Summary'!$D$29:$H$29)+50,0)</f>
        <v>50</v>
      </c>
      <c r="Y853" s="49"/>
    </row>
    <row r="854" spans="20:25" x14ac:dyDescent="0.25">
      <c r="T854" s="49"/>
      <c r="U854" s="49"/>
      <c r="V854" s="49">
        <v>851</v>
      </c>
      <c r="W854" s="49">
        <f>((('Pump Design Summary'!$E$16-'Pump Design Summary'!$D$16)/1000)*V854)+'Pump Design Summary'!$D$16</f>
        <v>0</v>
      </c>
      <c r="X854" s="49">
        <f>IF(ISEVEN(V854),MAX('Pump Design Summary'!$D$29:$H$29)+50,0)</f>
        <v>0</v>
      </c>
      <c r="Y854" s="49"/>
    </row>
    <row r="855" spans="20:25" x14ac:dyDescent="0.25">
      <c r="T855" s="49"/>
      <c r="U855" s="49"/>
      <c r="V855" s="49">
        <v>852</v>
      </c>
      <c r="W855" s="49">
        <f>((('Pump Design Summary'!$E$16-'Pump Design Summary'!$D$16)/1000)*V855)+'Pump Design Summary'!$D$16</f>
        <v>0</v>
      </c>
      <c r="X855" s="49">
        <f>IF(ISEVEN(V855),MAX('Pump Design Summary'!$D$29:$H$29)+50,0)</f>
        <v>50</v>
      </c>
      <c r="Y855" s="49"/>
    </row>
    <row r="856" spans="20:25" x14ac:dyDescent="0.25">
      <c r="T856" s="49"/>
      <c r="U856" s="49"/>
      <c r="V856" s="49">
        <v>853</v>
      </c>
      <c r="W856" s="49">
        <f>((('Pump Design Summary'!$E$16-'Pump Design Summary'!$D$16)/1000)*V856)+'Pump Design Summary'!$D$16</f>
        <v>0</v>
      </c>
      <c r="X856" s="49">
        <f>IF(ISEVEN(V856),MAX('Pump Design Summary'!$D$29:$H$29)+50,0)</f>
        <v>0</v>
      </c>
      <c r="Y856" s="49"/>
    </row>
    <row r="857" spans="20:25" x14ac:dyDescent="0.25">
      <c r="T857" s="49"/>
      <c r="U857" s="49"/>
      <c r="V857" s="49">
        <v>854</v>
      </c>
      <c r="W857" s="49">
        <f>((('Pump Design Summary'!$E$16-'Pump Design Summary'!$D$16)/1000)*V857)+'Pump Design Summary'!$D$16</f>
        <v>0</v>
      </c>
      <c r="X857" s="49">
        <f>IF(ISEVEN(V857),MAX('Pump Design Summary'!$D$29:$H$29)+50,0)</f>
        <v>50</v>
      </c>
      <c r="Y857" s="49"/>
    </row>
    <row r="858" spans="20:25" x14ac:dyDescent="0.25">
      <c r="T858" s="49"/>
      <c r="U858" s="49"/>
      <c r="V858" s="49">
        <v>855</v>
      </c>
      <c r="W858" s="49">
        <f>((('Pump Design Summary'!$E$16-'Pump Design Summary'!$D$16)/1000)*V858)+'Pump Design Summary'!$D$16</f>
        <v>0</v>
      </c>
      <c r="X858" s="49">
        <f>IF(ISEVEN(V858),MAX('Pump Design Summary'!$D$29:$H$29)+50,0)</f>
        <v>0</v>
      </c>
      <c r="Y858" s="49"/>
    </row>
    <row r="859" spans="20:25" x14ac:dyDescent="0.25">
      <c r="T859" s="49"/>
      <c r="U859" s="49"/>
      <c r="V859" s="49">
        <v>856</v>
      </c>
      <c r="W859" s="49">
        <f>((('Pump Design Summary'!$E$16-'Pump Design Summary'!$D$16)/1000)*V859)+'Pump Design Summary'!$D$16</f>
        <v>0</v>
      </c>
      <c r="X859" s="49">
        <f>IF(ISEVEN(V859),MAX('Pump Design Summary'!$D$29:$H$29)+50,0)</f>
        <v>50</v>
      </c>
      <c r="Y859" s="49"/>
    </row>
    <row r="860" spans="20:25" x14ac:dyDescent="0.25">
      <c r="T860" s="49"/>
      <c r="U860" s="49"/>
      <c r="V860" s="49">
        <v>857</v>
      </c>
      <c r="W860" s="49">
        <f>((('Pump Design Summary'!$E$16-'Pump Design Summary'!$D$16)/1000)*V860)+'Pump Design Summary'!$D$16</f>
        <v>0</v>
      </c>
      <c r="X860" s="49">
        <f>IF(ISEVEN(V860),MAX('Pump Design Summary'!$D$29:$H$29)+50,0)</f>
        <v>0</v>
      </c>
      <c r="Y860" s="49"/>
    </row>
    <row r="861" spans="20:25" x14ac:dyDescent="0.25">
      <c r="T861" s="49"/>
      <c r="U861" s="49"/>
      <c r="V861" s="49">
        <v>858</v>
      </c>
      <c r="W861" s="49">
        <f>((('Pump Design Summary'!$E$16-'Pump Design Summary'!$D$16)/1000)*V861)+'Pump Design Summary'!$D$16</f>
        <v>0</v>
      </c>
      <c r="X861" s="49">
        <f>IF(ISEVEN(V861),MAX('Pump Design Summary'!$D$29:$H$29)+50,0)</f>
        <v>50</v>
      </c>
      <c r="Y861" s="49"/>
    </row>
    <row r="862" spans="20:25" x14ac:dyDescent="0.25">
      <c r="T862" s="49"/>
      <c r="U862" s="49"/>
      <c r="V862" s="49">
        <v>859</v>
      </c>
      <c r="W862" s="49">
        <f>((('Pump Design Summary'!$E$16-'Pump Design Summary'!$D$16)/1000)*V862)+'Pump Design Summary'!$D$16</f>
        <v>0</v>
      </c>
      <c r="X862" s="49">
        <f>IF(ISEVEN(V862),MAX('Pump Design Summary'!$D$29:$H$29)+50,0)</f>
        <v>0</v>
      </c>
      <c r="Y862" s="49"/>
    </row>
    <row r="863" spans="20:25" x14ac:dyDescent="0.25">
      <c r="T863" s="49"/>
      <c r="U863" s="49"/>
      <c r="V863" s="49">
        <v>860</v>
      </c>
      <c r="W863" s="49">
        <f>((('Pump Design Summary'!$E$16-'Pump Design Summary'!$D$16)/1000)*V863)+'Pump Design Summary'!$D$16</f>
        <v>0</v>
      </c>
      <c r="X863" s="49">
        <f>IF(ISEVEN(V863),MAX('Pump Design Summary'!$D$29:$H$29)+50,0)</f>
        <v>50</v>
      </c>
      <c r="Y863" s="49"/>
    </row>
    <row r="864" spans="20:25" x14ac:dyDescent="0.25">
      <c r="T864" s="49"/>
      <c r="U864" s="49"/>
      <c r="V864" s="49">
        <v>861</v>
      </c>
      <c r="W864" s="49">
        <f>((('Pump Design Summary'!$E$16-'Pump Design Summary'!$D$16)/1000)*V864)+'Pump Design Summary'!$D$16</f>
        <v>0</v>
      </c>
      <c r="X864" s="49">
        <f>IF(ISEVEN(V864),MAX('Pump Design Summary'!$D$29:$H$29)+50,0)</f>
        <v>0</v>
      </c>
      <c r="Y864" s="49"/>
    </row>
    <row r="865" spans="20:25" x14ac:dyDescent="0.25">
      <c r="T865" s="49"/>
      <c r="U865" s="49"/>
      <c r="V865" s="49">
        <v>862</v>
      </c>
      <c r="W865" s="49">
        <f>((('Pump Design Summary'!$E$16-'Pump Design Summary'!$D$16)/1000)*V865)+'Pump Design Summary'!$D$16</f>
        <v>0</v>
      </c>
      <c r="X865" s="49">
        <f>IF(ISEVEN(V865),MAX('Pump Design Summary'!$D$29:$H$29)+50,0)</f>
        <v>50</v>
      </c>
      <c r="Y865" s="49"/>
    </row>
    <row r="866" spans="20:25" x14ac:dyDescent="0.25">
      <c r="T866" s="49"/>
      <c r="U866" s="49"/>
      <c r="V866" s="49">
        <v>863</v>
      </c>
      <c r="W866" s="49">
        <f>((('Pump Design Summary'!$E$16-'Pump Design Summary'!$D$16)/1000)*V866)+'Pump Design Summary'!$D$16</f>
        <v>0</v>
      </c>
      <c r="X866" s="49">
        <f>IF(ISEVEN(V866),MAX('Pump Design Summary'!$D$29:$H$29)+50,0)</f>
        <v>0</v>
      </c>
      <c r="Y866" s="49"/>
    </row>
    <row r="867" spans="20:25" x14ac:dyDescent="0.25">
      <c r="T867" s="49"/>
      <c r="U867" s="49"/>
      <c r="V867" s="49">
        <v>864</v>
      </c>
      <c r="W867" s="49">
        <f>((('Pump Design Summary'!$E$16-'Pump Design Summary'!$D$16)/1000)*V867)+'Pump Design Summary'!$D$16</f>
        <v>0</v>
      </c>
      <c r="X867" s="49">
        <f>IF(ISEVEN(V867),MAX('Pump Design Summary'!$D$29:$H$29)+50,0)</f>
        <v>50</v>
      </c>
      <c r="Y867" s="49"/>
    </row>
    <row r="868" spans="20:25" x14ac:dyDescent="0.25">
      <c r="T868" s="49"/>
      <c r="U868" s="49"/>
      <c r="V868" s="49">
        <v>865</v>
      </c>
      <c r="W868" s="49">
        <f>((('Pump Design Summary'!$E$16-'Pump Design Summary'!$D$16)/1000)*V868)+'Pump Design Summary'!$D$16</f>
        <v>0</v>
      </c>
      <c r="X868" s="49">
        <f>IF(ISEVEN(V868),MAX('Pump Design Summary'!$D$29:$H$29)+50,0)</f>
        <v>0</v>
      </c>
      <c r="Y868" s="49"/>
    </row>
    <row r="869" spans="20:25" x14ac:dyDescent="0.25">
      <c r="T869" s="49"/>
      <c r="U869" s="49"/>
      <c r="V869" s="49">
        <v>866</v>
      </c>
      <c r="W869" s="49">
        <f>((('Pump Design Summary'!$E$16-'Pump Design Summary'!$D$16)/1000)*V869)+'Pump Design Summary'!$D$16</f>
        <v>0</v>
      </c>
      <c r="X869" s="49">
        <f>IF(ISEVEN(V869),MAX('Pump Design Summary'!$D$29:$H$29)+50,0)</f>
        <v>50</v>
      </c>
      <c r="Y869" s="49"/>
    </row>
    <row r="870" spans="20:25" x14ac:dyDescent="0.25">
      <c r="T870" s="49"/>
      <c r="U870" s="49"/>
      <c r="V870" s="49">
        <v>867</v>
      </c>
      <c r="W870" s="49">
        <f>((('Pump Design Summary'!$E$16-'Pump Design Summary'!$D$16)/1000)*V870)+'Pump Design Summary'!$D$16</f>
        <v>0</v>
      </c>
      <c r="X870" s="49">
        <f>IF(ISEVEN(V870),MAX('Pump Design Summary'!$D$29:$H$29)+50,0)</f>
        <v>0</v>
      </c>
      <c r="Y870" s="49"/>
    </row>
    <row r="871" spans="20:25" x14ac:dyDescent="0.25">
      <c r="T871" s="49"/>
      <c r="U871" s="49"/>
      <c r="V871" s="49">
        <v>868</v>
      </c>
      <c r="W871" s="49">
        <f>((('Pump Design Summary'!$E$16-'Pump Design Summary'!$D$16)/1000)*V871)+'Pump Design Summary'!$D$16</f>
        <v>0</v>
      </c>
      <c r="X871" s="49">
        <f>IF(ISEVEN(V871),MAX('Pump Design Summary'!$D$29:$H$29)+50,0)</f>
        <v>50</v>
      </c>
      <c r="Y871" s="49"/>
    </row>
    <row r="872" spans="20:25" x14ac:dyDescent="0.25">
      <c r="T872" s="49"/>
      <c r="U872" s="49"/>
      <c r="V872" s="49">
        <v>869</v>
      </c>
      <c r="W872" s="49">
        <f>((('Pump Design Summary'!$E$16-'Pump Design Summary'!$D$16)/1000)*V872)+'Pump Design Summary'!$D$16</f>
        <v>0</v>
      </c>
      <c r="X872" s="49">
        <f>IF(ISEVEN(V872),MAX('Pump Design Summary'!$D$29:$H$29)+50,0)</f>
        <v>0</v>
      </c>
      <c r="Y872" s="49"/>
    </row>
    <row r="873" spans="20:25" x14ac:dyDescent="0.25">
      <c r="T873" s="49"/>
      <c r="U873" s="49"/>
      <c r="V873" s="49">
        <v>870</v>
      </c>
      <c r="W873" s="49">
        <f>((('Pump Design Summary'!$E$16-'Pump Design Summary'!$D$16)/1000)*V873)+'Pump Design Summary'!$D$16</f>
        <v>0</v>
      </c>
      <c r="X873" s="49">
        <f>IF(ISEVEN(V873),MAX('Pump Design Summary'!$D$29:$H$29)+50,0)</f>
        <v>50</v>
      </c>
      <c r="Y873" s="49"/>
    </row>
    <row r="874" spans="20:25" x14ac:dyDescent="0.25">
      <c r="T874" s="49"/>
      <c r="U874" s="49"/>
      <c r="V874" s="49">
        <v>871</v>
      </c>
      <c r="W874" s="49">
        <f>((('Pump Design Summary'!$E$16-'Pump Design Summary'!$D$16)/1000)*V874)+'Pump Design Summary'!$D$16</f>
        <v>0</v>
      </c>
      <c r="X874" s="49">
        <f>IF(ISEVEN(V874),MAX('Pump Design Summary'!$D$29:$H$29)+50,0)</f>
        <v>0</v>
      </c>
      <c r="Y874" s="49"/>
    </row>
    <row r="875" spans="20:25" x14ac:dyDescent="0.25">
      <c r="T875" s="49"/>
      <c r="U875" s="49"/>
      <c r="V875" s="49">
        <v>872</v>
      </c>
      <c r="W875" s="49">
        <f>((('Pump Design Summary'!$E$16-'Pump Design Summary'!$D$16)/1000)*V875)+'Pump Design Summary'!$D$16</f>
        <v>0</v>
      </c>
      <c r="X875" s="49">
        <f>IF(ISEVEN(V875),MAX('Pump Design Summary'!$D$29:$H$29)+50,0)</f>
        <v>50</v>
      </c>
      <c r="Y875" s="49"/>
    </row>
    <row r="876" spans="20:25" x14ac:dyDescent="0.25">
      <c r="T876" s="49"/>
      <c r="U876" s="49"/>
      <c r="V876" s="49">
        <v>873</v>
      </c>
      <c r="W876" s="49">
        <f>((('Pump Design Summary'!$E$16-'Pump Design Summary'!$D$16)/1000)*V876)+'Pump Design Summary'!$D$16</f>
        <v>0</v>
      </c>
      <c r="X876" s="49">
        <f>IF(ISEVEN(V876),MAX('Pump Design Summary'!$D$29:$H$29)+50,0)</f>
        <v>0</v>
      </c>
      <c r="Y876" s="49"/>
    </row>
    <row r="877" spans="20:25" x14ac:dyDescent="0.25">
      <c r="T877" s="49"/>
      <c r="U877" s="49"/>
      <c r="V877" s="49">
        <v>874</v>
      </c>
      <c r="W877" s="49">
        <f>((('Pump Design Summary'!$E$16-'Pump Design Summary'!$D$16)/1000)*V877)+'Pump Design Summary'!$D$16</f>
        <v>0</v>
      </c>
      <c r="X877" s="49">
        <f>IF(ISEVEN(V877),MAX('Pump Design Summary'!$D$29:$H$29)+50,0)</f>
        <v>50</v>
      </c>
      <c r="Y877" s="49"/>
    </row>
    <row r="878" spans="20:25" x14ac:dyDescent="0.25">
      <c r="T878" s="49"/>
      <c r="U878" s="49"/>
      <c r="V878" s="49">
        <v>875</v>
      </c>
      <c r="W878" s="49">
        <f>((('Pump Design Summary'!$E$16-'Pump Design Summary'!$D$16)/1000)*V878)+'Pump Design Summary'!$D$16</f>
        <v>0</v>
      </c>
      <c r="X878" s="49">
        <f>IF(ISEVEN(V878),MAX('Pump Design Summary'!$D$29:$H$29)+50,0)</f>
        <v>0</v>
      </c>
      <c r="Y878" s="49"/>
    </row>
    <row r="879" spans="20:25" x14ac:dyDescent="0.25">
      <c r="T879" s="49"/>
      <c r="U879" s="49"/>
      <c r="V879" s="49">
        <v>876</v>
      </c>
      <c r="W879" s="49">
        <f>((('Pump Design Summary'!$E$16-'Pump Design Summary'!$D$16)/1000)*V879)+'Pump Design Summary'!$D$16</f>
        <v>0</v>
      </c>
      <c r="X879" s="49">
        <f>IF(ISEVEN(V879),MAX('Pump Design Summary'!$D$29:$H$29)+50,0)</f>
        <v>50</v>
      </c>
      <c r="Y879" s="49"/>
    </row>
    <row r="880" spans="20:25" x14ac:dyDescent="0.25">
      <c r="T880" s="49"/>
      <c r="U880" s="49"/>
      <c r="V880" s="49">
        <v>877</v>
      </c>
      <c r="W880" s="49">
        <f>((('Pump Design Summary'!$E$16-'Pump Design Summary'!$D$16)/1000)*V880)+'Pump Design Summary'!$D$16</f>
        <v>0</v>
      </c>
      <c r="X880" s="49">
        <f>IF(ISEVEN(V880),MAX('Pump Design Summary'!$D$29:$H$29)+50,0)</f>
        <v>0</v>
      </c>
      <c r="Y880" s="49"/>
    </row>
    <row r="881" spans="20:25" x14ac:dyDescent="0.25">
      <c r="T881" s="49"/>
      <c r="U881" s="49"/>
      <c r="V881" s="49">
        <v>878</v>
      </c>
      <c r="W881" s="49">
        <f>((('Pump Design Summary'!$E$16-'Pump Design Summary'!$D$16)/1000)*V881)+'Pump Design Summary'!$D$16</f>
        <v>0</v>
      </c>
      <c r="X881" s="49">
        <f>IF(ISEVEN(V881),MAX('Pump Design Summary'!$D$29:$H$29)+50,0)</f>
        <v>50</v>
      </c>
      <c r="Y881" s="49"/>
    </row>
    <row r="882" spans="20:25" x14ac:dyDescent="0.25">
      <c r="T882" s="49"/>
      <c r="U882" s="49"/>
      <c r="V882" s="49">
        <v>879</v>
      </c>
      <c r="W882" s="49">
        <f>((('Pump Design Summary'!$E$16-'Pump Design Summary'!$D$16)/1000)*V882)+'Pump Design Summary'!$D$16</f>
        <v>0</v>
      </c>
      <c r="X882" s="49">
        <f>IF(ISEVEN(V882),MAX('Pump Design Summary'!$D$29:$H$29)+50,0)</f>
        <v>0</v>
      </c>
      <c r="Y882" s="49"/>
    </row>
    <row r="883" spans="20:25" x14ac:dyDescent="0.25">
      <c r="T883" s="49"/>
      <c r="U883" s="49"/>
      <c r="V883" s="49">
        <v>880</v>
      </c>
      <c r="W883" s="49">
        <f>((('Pump Design Summary'!$E$16-'Pump Design Summary'!$D$16)/1000)*V883)+'Pump Design Summary'!$D$16</f>
        <v>0</v>
      </c>
      <c r="X883" s="49">
        <f>IF(ISEVEN(V883),MAX('Pump Design Summary'!$D$29:$H$29)+50,0)</f>
        <v>50</v>
      </c>
      <c r="Y883" s="49"/>
    </row>
    <row r="884" spans="20:25" x14ac:dyDescent="0.25">
      <c r="T884" s="49"/>
      <c r="U884" s="49"/>
      <c r="V884" s="49">
        <v>881</v>
      </c>
      <c r="W884" s="49">
        <f>((('Pump Design Summary'!$E$16-'Pump Design Summary'!$D$16)/1000)*V884)+'Pump Design Summary'!$D$16</f>
        <v>0</v>
      </c>
      <c r="X884" s="49">
        <f>IF(ISEVEN(V884),MAX('Pump Design Summary'!$D$29:$H$29)+50,0)</f>
        <v>0</v>
      </c>
      <c r="Y884" s="49"/>
    </row>
    <row r="885" spans="20:25" x14ac:dyDescent="0.25">
      <c r="T885" s="49"/>
      <c r="U885" s="49"/>
      <c r="V885" s="49">
        <v>882</v>
      </c>
      <c r="W885" s="49">
        <f>((('Pump Design Summary'!$E$16-'Pump Design Summary'!$D$16)/1000)*V885)+'Pump Design Summary'!$D$16</f>
        <v>0</v>
      </c>
      <c r="X885" s="49">
        <f>IF(ISEVEN(V885),MAX('Pump Design Summary'!$D$29:$H$29)+50,0)</f>
        <v>50</v>
      </c>
      <c r="Y885" s="49"/>
    </row>
    <row r="886" spans="20:25" x14ac:dyDescent="0.25">
      <c r="T886" s="49"/>
      <c r="U886" s="49"/>
      <c r="V886" s="49">
        <v>883</v>
      </c>
      <c r="W886" s="49">
        <f>((('Pump Design Summary'!$E$16-'Pump Design Summary'!$D$16)/1000)*V886)+'Pump Design Summary'!$D$16</f>
        <v>0</v>
      </c>
      <c r="X886" s="49">
        <f>IF(ISEVEN(V886),MAX('Pump Design Summary'!$D$29:$H$29)+50,0)</f>
        <v>0</v>
      </c>
      <c r="Y886" s="49"/>
    </row>
    <row r="887" spans="20:25" x14ac:dyDescent="0.25">
      <c r="T887" s="49"/>
      <c r="U887" s="49"/>
      <c r="V887" s="49">
        <v>884</v>
      </c>
      <c r="W887" s="49">
        <f>((('Pump Design Summary'!$E$16-'Pump Design Summary'!$D$16)/1000)*V887)+'Pump Design Summary'!$D$16</f>
        <v>0</v>
      </c>
      <c r="X887" s="49">
        <f>IF(ISEVEN(V887),MAX('Pump Design Summary'!$D$29:$H$29)+50,0)</f>
        <v>50</v>
      </c>
      <c r="Y887" s="49"/>
    </row>
    <row r="888" spans="20:25" x14ac:dyDescent="0.25">
      <c r="T888" s="49"/>
      <c r="U888" s="49"/>
      <c r="V888" s="49">
        <v>885</v>
      </c>
      <c r="W888" s="49">
        <f>((('Pump Design Summary'!$E$16-'Pump Design Summary'!$D$16)/1000)*V888)+'Pump Design Summary'!$D$16</f>
        <v>0</v>
      </c>
      <c r="X888" s="49">
        <f>IF(ISEVEN(V888),MAX('Pump Design Summary'!$D$29:$H$29)+50,0)</f>
        <v>0</v>
      </c>
      <c r="Y888" s="49"/>
    </row>
    <row r="889" spans="20:25" x14ac:dyDescent="0.25">
      <c r="T889" s="49"/>
      <c r="U889" s="49"/>
      <c r="V889" s="49">
        <v>886</v>
      </c>
      <c r="W889" s="49">
        <f>((('Pump Design Summary'!$E$16-'Pump Design Summary'!$D$16)/1000)*V889)+'Pump Design Summary'!$D$16</f>
        <v>0</v>
      </c>
      <c r="X889" s="49">
        <f>IF(ISEVEN(V889),MAX('Pump Design Summary'!$D$29:$H$29)+50,0)</f>
        <v>50</v>
      </c>
      <c r="Y889" s="49"/>
    </row>
    <row r="890" spans="20:25" x14ac:dyDescent="0.25">
      <c r="T890" s="49"/>
      <c r="U890" s="49"/>
      <c r="V890" s="49">
        <v>887</v>
      </c>
      <c r="W890" s="49">
        <f>((('Pump Design Summary'!$E$16-'Pump Design Summary'!$D$16)/1000)*V890)+'Pump Design Summary'!$D$16</f>
        <v>0</v>
      </c>
      <c r="X890" s="49">
        <f>IF(ISEVEN(V890),MAX('Pump Design Summary'!$D$29:$H$29)+50,0)</f>
        <v>0</v>
      </c>
      <c r="Y890" s="49"/>
    </row>
    <row r="891" spans="20:25" x14ac:dyDescent="0.25">
      <c r="T891" s="49"/>
      <c r="U891" s="49"/>
      <c r="V891" s="49">
        <v>888</v>
      </c>
      <c r="W891" s="49">
        <f>((('Pump Design Summary'!$E$16-'Pump Design Summary'!$D$16)/1000)*V891)+'Pump Design Summary'!$D$16</f>
        <v>0</v>
      </c>
      <c r="X891" s="49">
        <f>IF(ISEVEN(V891),MAX('Pump Design Summary'!$D$29:$H$29)+50,0)</f>
        <v>50</v>
      </c>
      <c r="Y891" s="49"/>
    </row>
    <row r="892" spans="20:25" x14ac:dyDescent="0.25">
      <c r="T892" s="49"/>
      <c r="U892" s="49"/>
      <c r="V892" s="49">
        <v>889</v>
      </c>
      <c r="W892" s="49">
        <f>((('Pump Design Summary'!$E$16-'Pump Design Summary'!$D$16)/1000)*V892)+'Pump Design Summary'!$D$16</f>
        <v>0</v>
      </c>
      <c r="X892" s="49">
        <f>IF(ISEVEN(V892),MAX('Pump Design Summary'!$D$29:$H$29)+50,0)</f>
        <v>0</v>
      </c>
      <c r="Y892" s="49"/>
    </row>
    <row r="893" spans="20:25" x14ac:dyDescent="0.25">
      <c r="T893" s="49"/>
      <c r="U893" s="49"/>
      <c r="V893" s="49">
        <v>890</v>
      </c>
      <c r="W893" s="49">
        <f>((('Pump Design Summary'!$E$16-'Pump Design Summary'!$D$16)/1000)*V893)+'Pump Design Summary'!$D$16</f>
        <v>0</v>
      </c>
      <c r="X893" s="49">
        <f>IF(ISEVEN(V893),MAX('Pump Design Summary'!$D$29:$H$29)+50,0)</f>
        <v>50</v>
      </c>
      <c r="Y893" s="49"/>
    </row>
    <row r="894" spans="20:25" x14ac:dyDescent="0.25">
      <c r="T894" s="49"/>
      <c r="U894" s="49"/>
      <c r="V894" s="49">
        <v>891</v>
      </c>
      <c r="W894" s="49">
        <f>((('Pump Design Summary'!$E$16-'Pump Design Summary'!$D$16)/1000)*V894)+'Pump Design Summary'!$D$16</f>
        <v>0</v>
      </c>
      <c r="X894" s="49">
        <f>IF(ISEVEN(V894),MAX('Pump Design Summary'!$D$29:$H$29)+50,0)</f>
        <v>0</v>
      </c>
      <c r="Y894" s="49"/>
    </row>
    <row r="895" spans="20:25" x14ac:dyDescent="0.25">
      <c r="T895" s="49"/>
      <c r="U895" s="49"/>
      <c r="V895" s="49">
        <v>892</v>
      </c>
      <c r="W895" s="49">
        <f>((('Pump Design Summary'!$E$16-'Pump Design Summary'!$D$16)/1000)*V895)+'Pump Design Summary'!$D$16</f>
        <v>0</v>
      </c>
      <c r="X895" s="49">
        <f>IF(ISEVEN(V895),MAX('Pump Design Summary'!$D$29:$H$29)+50,0)</f>
        <v>50</v>
      </c>
      <c r="Y895" s="49"/>
    </row>
    <row r="896" spans="20:25" x14ac:dyDescent="0.25">
      <c r="T896" s="49"/>
      <c r="U896" s="49"/>
      <c r="V896" s="49">
        <v>893</v>
      </c>
      <c r="W896" s="49">
        <f>((('Pump Design Summary'!$E$16-'Pump Design Summary'!$D$16)/1000)*V896)+'Pump Design Summary'!$D$16</f>
        <v>0</v>
      </c>
      <c r="X896" s="49">
        <f>IF(ISEVEN(V896),MAX('Pump Design Summary'!$D$29:$H$29)+50,0)</f>
        <v>0</v>
      </c>
      <c r="Y896" s="49"/>
    </row>
    <row r="897" spans="20:25" x14ac:dyDescent="0.25">
      <c r="T897" s="49"/>
      <c r="U897" s="49"/>
      <c r="V897" s="49">
        <v>894</v>
      </c>
      <c r="W897" s="49">
        <f>((('Pump Design Summary'!$E$16-'Pump Design Summary'!$D$16)/1000)*V897)+'Pump Design Summary'!$D$16</f>
        <v>0</v>
      </c>
      <c r="X897" s="49">
        <f>IF(ISEVEN(V897),MAX('Pump Design Summary'!$D$29:$H$29)+50,0)</f>
        <v>50</v>
      </c>
      <c r="Y897" s="49"/>
    </row>
    <row r="898" spans="20:25" x14ac:dyDescent="0.25">
      <c r="T898" s="49"/>
      <c r="U898" s="49"/>
      <c r="V898" s="49">
        <v>895</v>
      </c>
      <c r="W898" s="49">
        <f>((('Pump Design Summary'!$E$16-'Pump Design Summary'!$D$16)/1000)*V898)+'Pump Design Summary'!$D$16</f>
        <v>0</v>
      </c>
      <c r="X898" s="49">
        <f>IF(ISEVEN(V898),MAX('Pump Design Summary'!$D$29:$H$29)+50,0)</f>
        <v>0</v>
      </c>
      <c r="Y898" s="49"/>
    </row>
    <row r="899" spans="20:25" x14ac:dyDescent="0.25">
      <c r="T899" s="49"/>
      <c r="U899" s="49"/>
      <c r="V899" s="49">
        <v>896</v>
      </c>
      <c r="W899" s="49">
        <f>((('Pump Design Summary'!$E$16-'Pump Design Summary'!$D$16)/1000)*V899)+'Pump Design Summary'!$D$16</f>
        <v>0</v>
      </c>
      <c r="X899" s="49">
        <f>IF(ISEVEN(V899),MAX('Pump Design Summary'!$D$29:$H$29)+50,0)</f>
        <v>50</v>
      </c>
      <c r="Y899" s="49"/>
    </row>
    <row r="900" spans="20:25" x14ac:dyDescent="0.25">
      <c r="T900" s="49"/>
      <c r="U900" s="49"/>
      <c r="V900" s="49">
        <v>897</v>
      </c>
      <c r="W900" s="49">
        <f>((('Pump Design Summary'!$E$16-'Pump Design Summary'!$D$16)/1000)*V900)+'Pump Design Summary'!$D$16</f>
        <v>0</v>
      </c>
      <c r="X900" s="49">
        <f>IF(ISEVEN(V900),MAX('Pump Design Summary'!$D$29:$H$29)+50,0)</f>
        <v>0</v>
      </c>
      <c r="Y900" s="49"/>
    </row>
    <row r="901" spans="20:25" x14ac:dyDescent="0.25">
      <c r="T901" s="49"/>
      <c r="U901" s="49"/>
      <c r="V901" s="49">
        <v>898</v>
      </c>
      <c r="W901" s="49">
        <f>((('Pump Design Summary'!$E$16-'Pump Design Summary'!$D$16)/1000)*V901)+'Pump Design Summary'!$D$16</f>
        <v>0</v>
      </c>
      <c r="X901" s="49">
        <f>IF(ISEVEN(V901),MAX('Pump Design Summary'!$D$29:$H$29)+50,0)</f>
        <v>50</v>
      </c>
      <c r="Y901" s="49"/>
    </row>
    <row r="902" spans="20:25" x14ac:dyDescent="0.25">
      <c r="T902" s="49"/>
      <c r="U902" s="49"/>
      <c r="V902" s="49">
        <v>899</v>
      </c>
      <c r="W902" s="49">
        <f>((('Pump Design Summary'!$E$16-'Pump Design Summary'!$D$16)/1000)*V902)+'Pump Design Summary'!$D$16</f>
        <v>0</v>
      </c>
      <c r="X902" s="49">
        <f>IF(ISEVEN(V902),MAX('Pump Design Summary'!$D$29:$H$29)+50,0)</f>
        <v>0</v>
      </c>
      <c r="Y902" s="49"/>
    </row>
    <row r="903" spans="20:25" x14ac:dyDescent="0.25">
      <c r="T903" s="49"/>
      <c r="U903" s="49"/>
      <c r="V903" s="49">
        <v>900</v>
      </c>
      <c r="W903" s="49">
        <f>((('Pump Design Summary'!$E$16-'Pump Design Summary'!$D$16)/1000)*V903)+'Pump Design Summary'!$D$16</f>
        <v>0</v>
      </c>
      <c r="X903" s="49">
        <f>IF(ISEVEN(V903),MAX('Pump Design Summary'!$D$29:$H$29)+50,0)</f>
        <v>50</v>
      </c>
      <c r="Y903" s="49"/>
    </row>
    <row r="904" spans="20:25" x14ac:dyDescent="0.25">
      <c r="T904" s="49"/>
      <c r="U904" s="49"/>
      <c r="V904" s="49">
        <v>901</v>
      </c>
      <c r="W904" s="49">
        <f>((('Pump Design Summary'!$E$16-'Pump Design Summary'!$D$16)/1000)*V904)+'Pump Design Summary'!$D$16</f>
        <v>0</v>
      </c>
      <c r="X904" s="49">
        <f>IF(ISEVEN(V904),MAX('Pump Design Summary'!$D$29:$H$29)+50,0)</f>
        <v>0</v>
      </c>
      <c r="Y904" s="49"/>
    </row>
    <row r="905" spans="20:25" x14ac:dyDescent="0.25">
      <c r="T905" s="49"/>
      <c r="U905" s="49"/>
      <c r="V905" s="49">
        <v>902</v>
      </c>
      <c r="W905" s="49">
        <f>((('Pump Design Summary'!$E$16-'Pump Design Summary'!$D$16)/1000)*V905)+'Pump Design Summary'!$D$16</f>
        <v>0</v>
      </c>
      <c r="X905" s="49">
        <f>IF(ISEVEN(V905),MAX('Pump Design Summary'!$D$29:$H$29)+50,0)</f>
        <v>50</v>
      </c>
      <c r="Y905" s="49"/>
    </row>
    <row r="906" spans="20:25" x14ac:dyDescent="0.25">
      <c r="T906" s="49"/>
      <c r="U906" s="49"/>
      <c r="V906" s="49">
        <v>903</v>
      </c>
      <c r="W906" s="49">
        <f>((('Pump Design Summary'!$E$16-'Pump Design Summary'!$D$16)/1000)*V906)+'Pump Design Summary'!$D$16</f>
        <v>0</v>
      </c>
      <c r="X906" s="49">
        <f>IF(ISEVEN(V906),MAX('Pump Design Summary'!$D$29:$H$29)+50,0)</f>
        <v>0</v>
      </c>
      <c r="Y906" s="49"/>
    </row>
    <row r="907" spans="20:25" x14ac:dyDescent="0.25">
      <c r="T907" s="49"/>
      <c r="U907" s="49"/>
      <c r="V907" s="49">
        <v>904</v>
      </c>
      <c r="W907" s="49">
        <f>((('Pump Design Summary'!$E$16-'Pump Design Summary'!$D$16)/1000)*V907)+'Pump Design Summary'!$D$16</f>
        <v>0</v>
      </c>
      <c r="X907" s="49">
        <f>IF(ISEVEN(V907),MAX('Pump Design Summary'!$D$29:$H$29)+50,0)</f>
        <v>50</v>
      </c>
      <c r="Y907" s="49"/>
    </row>
    <row r="908" spans="20:25" x14ac:dyDescent="0.25">
      <c r="T908" s="49"/>
      <c r="U908" s="49"/>
      <c r="V908" s="49">
        <v>905</v>
      </c>
      <c r="W908" s="49">
        <f>((('Pump Design Summary'!$E$16-'Pump Design Summary'!$D$16)/1000)*V908)+'Pump Design Summary'!$D$16</f>
        <v>0</v>
      </c>
      <c r="X908" s="49">
        <f>IF(ISEVEN(V908),MAX('Pump Design Summary'!$D$29:$H$29)+50,0)</f>
        <v>0</v>
      </c>
      <c r="Y908" s="49"/>
    </row>
    <row r="909" spans="20:25" x14ac:dyDescent="0.25">
      <c r="T909" s="49"/>
      <c r="U909" s="49"/>
      <c r="V909" s="49">
        <v>906</v>
      </c>
      <c r="W909" s="49">
        <f>((('Pump Design Summary'!$E$16-'Pump Design Summary'!$D$16)/1000)*V909)+'Pump Design Summary'!$D$16</f>
        <v>0</v>
      </c>
      <c r="X909" s="49">
        <f>IF(ISEVEN(V909),MAX('Pump Design Summary'!$D$29:$H$29)+50,0)</f>
        <v>50</v>
      </c>
      <c r="Y909" s="49"/>
    </row>
    <row r="910" spans="20:25" x14ac:dyDescent="0.25">
      <c r="T910" s="49"/>
      <c r="U910" s="49"/>
      <c r="V910" s="49">
        <v>907</v>
      </c>
      <c r="W910" s="49">
        <f>((('Pump Design Summary'!$E$16-'Pump Design Summary'!$D$16)/1000)*V910)+'Pump Design Summary'!$D$16</f>
        <v>0</v>
      </c>
      <c r="X910" s="49">
        <f>IF(ISEVEN(V910),MAX('Pump Design Summary'!$D$29:$H$29)+50,0)</f>
        <v>0</v>
      </c>
      <c r="Y910" s="49"/>
    </row>
    <row r="911" spans="20:25" x14ac:dyDescent="0.25">
      <c r="T911" s="49"/>
      <c r="U911" s="49"/>
      <c r="V911" s="49">
        <v>908</v>
      </c>
      <c r="W911" s="49">
        <f>((('Pump Design Summary'!$E$16-'Pump Design Summary'!$D$16)/1000)*V911)+'Pump Design Summary'!$D$16</f>
        <v>0</v>
      </c>
      <c r="X911" s="49">
        <f>IF(ISEVEN(V911),MAX('Pump Design Summary'!$D$29:$H$29)+50,0)</f>
        <v>50</v>
      </c>
      <c r="Y911" s="49"/>
    </row>
    <row r="912" spans="20:25" x14ac:dyDescent="0.25">
      <c r="T912" s="49"/>
      <c r="U912" s="49"/>
      <c r="V912" s="49">
        <v>909</v>
      </c>
      <c r="W912" s="49">
        <f>((('Pump Design Summary'!$E$16-'Pump Design Summary'!$D$16)/1000)*V912)+'Pump Design Summary'!$D$16</f>
        <v>0</v>
      </c>
      <c r="X912" s="49">
        <f>IF(ISEVEN(V912),MAX('Pump Design Summary'!$D$29:$H$29)+50,0)</f>
        <v>0</v>
      </c>
      <c r="Y912" s="49"/>
    </row>
    <row r="913" spans="20:25" x14ac:dyDescent="0.25">
      <c r="T913" s="49"/>
      <c r="U913" s="49"/>
      <c r="V913" s="49">
        <v>910</v>
      </c>
      <c r="W913" s="49">
        <f>((('Pump Design Summary'!$E$16-'Pump Design Summary'!$D$16)/1000)*V913)+'Pump Design Summary'!$D$16</f>
        <v>0</v>
      </c>
      <c r="X913" s="49">
        <f>IF(ISEVEN(V913),MAX('Pump Design Summary'!$D$29:$H$29)+50,0)</f>
        <v>50</v>
      </c>
      <c r="Y913" s="49"/>
    </row>
    <row r="914" spans="20:25" x14ac:dyDescent="0.25">
      <c r="T914" s="49"/>
      <c r="U914" s="49"/>
      <c r="V914" s="49">
        <v>911</v>
      </c>
      <c r="W914" s="49">
        <f>((('Pump Design Summary'!$E$16-'Pump Design Summary'!$D$16)/1000)*V914)+'Pump Design Summary'!$D$16</f>
        <v>0</v>
      </c>
      <c r="X914" s="49">
        <f>IF(ISEVEN(V914),MAX('Pump Design Summary'!$D$29:$H$29)+50,0)</f>
        <v>0</v>
      </c>
      <c r="Y914" s="49"/>
    </row>
    <row r="915" spans="20:25" x14ac:dyDescent="0.25">
      <c r="T915" s="49"/>
      <c r="U915" s="49"/>
      <c r="V915" s="49">
        <v>912</v>
      </c>
      <c r="W915" s="49">
        <f>((('Pump Design Summary'!$E$16-'Pump Design Summary'!$D$16)/1000)*V915)+'Pump Design Summary'!$D$16</f>
        <v>0</v>
      </c>
      <c r="X915" s="49">
        <f>IF(ISEVEN(V915),MAX('Pump Design Summary'!$D$29:$H$29)+50,0)</f>
        <v>50</v>
      </c>
      <c r="Y915" s="49"/>
    </row>
    <row r="916" spans="20:25" x14ac:dyDescent="0.25">
      <c r="T916" s="49"/>
      <c r="U916" s="49"/>
      <c r="V916" s="49">
        <v>913</v>
      </c>
      <c r="W916" s="49">
        <f>((('Pump Design Summary'!$E$16-'Pump Design Summary'!$D$16)/1000)*V916)+'Pump Design Summary'!$D$16</f>
        <v>0</v>
      </c>
      <c r="X916" s="49">
        <f>IF(ISEVEN(V916),MAX('Pump Design Summary'!$D$29:$H$29)+50,0)</f>
        <v>0</v>
      </c>
      <c r="Y916" s="49"/>
    </row>
    <row r="917" spans="20:25" x14ac:dyDescent="0.25">
      <c r="T917" s="49"/>
      <c r="U917" s="49"/>
      <c r="V917" s="49">
        <v>914</v>
      </c>
      <c r="W917" s="49">
        <f>((('Pump Design Summary'!$E$16-'Pump Design Summary'!$D$16)/1000)*V917)+'Pump Design Summary'!$D$16</f>
        <v>0</v>
      </c>
      <c r="X917" s="49">
        <f>IF(ISEVEN(V917),MAX('Pump Design Summary'!$D$29:$H$29)+50,0)</f>
        <v>50</v>
      </c>
      <c r="Y917" s="49"/>
    </row>
    <row r="918" spans="20:25" x14ac:dyDescent="0.25">
      <c r="T918" s="49"/>
      <c r="U918" s="49"/>
      <c r="V918" s="49">
        <v>915</v>
      </c>
      <c r="W918" s="49">
        <f>((('Pump Design Summary'!$E$16-'Pump Design Summary'!$D$16)/1000)*V918)+'Pump Design Summary'!$D$16</f>
        <v>0</v>
      </c>
      <c r="X918" s="49">
        <f>IF(ISEVEN(V918),MAX('Pump Design Summary'!$D$29:$H$29)+50,0)</f>
        <v>0</v>
      </c>
      <c r="Y918" s="49"/>
    </row>
    <row r="919" spans="20:25" x14ac:dyDescent="0.25">
      <c r="T919" s="49"/>
      <c r="U919" s="49"/>
      <c r="V919" s="49">
        <v>916</v>
      </c>
      <c r="W919" s="49">
        <f>((('Pump Design Summary'!$E$16-'Pump Design Summary'!$D$16)/1000)*V919)+'Pump Design Summary'!$D$16</f>
        <v>0</v>
      </c>
      <c r="X919" s="49">
        <f>IF(ISEVEN(V919),MAX('Pump Design Summary'!$D$29:$H$29)+50,0)</f>
        <v>50</v>
      </c>
      <c r="Y919" s="49"/>
    </row>
    <row r="920" spans="20:25" x14ac:dyDescent="0.25">
      <c r="T920" s="49"/>
      <c r="U920" s="49"/>
      <c r="V920" s="49">
        <v>917</v>
      </c>
      <c r="W920" s="49">
        <f>((('Pump Design Summary'!$E$16-'Pump Design Summary'!$D$16)/1000)*V920)+'Pump Design Summary'!$D$16</f>
        <v>0</v>
      </c>
      <c r="X920" s="49">
        <f>IF(ISEVEN(V920),MAX('Pump Design Summary'!$D$29:$H$29)+50,0)</f>
        <v>0</v>
      </c>
      <c r="Y920" s="49"/>
    </row>
    <row r="921" spans="20:25" x14ac:dyDescent="0.25">
      <c r="T921" s="49"/>
      <c r="U921" s="49"/>
      <c r="V921" s="49">
        <v>918</v>
      </c>
      <c r="W921" s="49">
        <f>((('Pump Design Summary'!$E$16-'Pump Design Summary'!$D$16)/1000)*V921)+'Pump Design Summary'!$D$16</f>
        <v>0</v>
      </c>
      <c r="X921" s="49">
        <f>IF(ISEVEN(V921),MAX('Pump Design Summary'!$D$29:$H$29)+50,0)</f>
        <v>50</v>
      </c>
      <c r="Y921" s="49"/>
    </row>
    <row r="922" spans="20:25" x14ac:dyDescent="0.25">
      <c r="T922" s="49"/>
      <c r="U922" s="49"/>
      <c r="V922" s="49">
        <v>919</v>
      </c>
      <c r="W922" s="49">
        <f>((('Pump Design Summary'!$E$16-'Pump Design Summary'!$D$16)/1000)*V922)+'Pump Design Summary'!$D$16</f>
        <v>0</v>
      </c>
      <c r="X922" s="49">
        <f>IF(ISEVEN(V922),MAX('Pump Design Summary'!$D$29:$H$29)+50,0)</f>
        <v>0</v>
      </c>
      <c r="Y922" s="49"/>
    </row>
    <row r="923" spans="20:25" x14ac:dyDescent="0.25">
      <c r="T923" s="49"/>
      <c r="U923" s="49"/>
      <c r="V923" s="49">
        <v>920</v>
      </c>
      <c r="W923" s="49">
        <f>((('Pump Design Summary'!$E$16-'Pump Design Summary'!$D$16)/1000)*V923)+'Pump Design Summary'!$D$16</f>
        <v>0</v>
      </c>
      <c r="X923" s="49">
        <f>IF(ISEVEN(V923),MAX('Pump Design Summary'!$D$29:$H$29)+50,0)</f>
        <v>50</v>
      </c>
      <c r="Y923" s="49"/>
    </row>
    <row r="924" spans="20:25" x14ac:dyDescent="0.25">
      <c r="T924" s="49"/>
      <c r="U924" s="49"/>
      <c r="V924" s="49">
        <v>921</v>
      </c>
      <c r="W924" s="49">
        <f>((('Pump Design Summary'!$E$16-'Pump Design Summary'!$D$16)/1000)*V924)+'Pump Design Summary'!$D$16</f>
        <v>0</v>
      </c>
      <c r="X924" s="49">
        <f>IF(ISEVEN(V924),MAX('Pump Design Summary'!$D$29:$H$29)+50,0)</f>
        <v>0</v>
      </c>
      <c r="Y924" s="49"/>
    </row>
    <row r="925" spans="20:25" x14ac:dyDescent="0.25">
      <c r="T925" s="49"/>
      <c r="U925" s="49"/>
      <c r="V925" s="49">
        <v>922</v>
      </c>
      <c r="W925" s="49">
        <f>((('Pump Design Summary'!$E$16-'Pump Design Summary'!$D$16)/1000)*V925)+'Pump Design Summary'!$D$16</f>
        <v>0</v>
      </c>
      <c r="X925" s="49">
        <f>IF(ISEVEN(V925),MAX('Pump Design Summary'!$D$29:$H$29)+50,0)</f>
        <v>50</v>
      </c>
      <c r="Y925" s="49"/>
    </row>
    <row r="926" spans="20:25" x14ac:dyDescent="0.25">
      <c r="T926" s="49"/>
      <c r="U926" s="49"/>
      <c r="V926" s="49">
        <v>923</v>
      </c>
      <c r="W926" s="49">
        <f>((('Pump Design Summary'!$E$16-'Pump Design Summary'!$D$16)/1000)*V926)+'Pump Design Summary'!$D$16</f>
        <v>0</v>
      </c>
      <c r="X926" s="49">
        <f>IF(ISEVEN(V926),MAX('Pump Design Summary'!$D$29:$H$29)+50,0)</f>
        <v>0</v>
      </c>
      <c r="Y926" s="49"/>
    </row>
    <row r="927" spans="20:25" x14ac:dyDescent="0.25">
      <c r="T927" s="49"/>
      <c r="U927" s="49"/>
      <c r="V927" s="49">
        <v>924</v>
      </c>
      <c r="W927" s="49">
        <f>((('Pump Design Summary'!$E$16-'Pump Design Summary'!$D$16)/1000)*V927)+'Pump Design Summary'!$D$16</f>
        <v>0</v>
      </c>
      <c r="X927" s="49">
        <f>IF(ISEVEN(V927),MAX('Pump Design Summary'!$D$29:$H$29)+50,0)</f>
        <v>50</v>
      </c>
      <c r="Y927" s="49"/>
    </row>
    <row r="928" spans="20:25" x14ac:dyDescent="0.25">
      <c r="T928" s="49"/>
      <c r="U928" s="49"/>
      <c r="V928" s="49">
        <v>925</v>
      </c>
      <c r="W928" s="49">
        <f>((('Pump Design Summary'!$E$16-'Pump Design Summary'!$D$16)/1000)*V928)+'Pump Design Summary'!$D$16</f>
        <v>0</v>
      </c>
      <c r="X928" s="49">
        <f>IF(ISEVEN(V928),MAX('Pump Design Summary'!$D$29:$H$29)+50,0)</f>
        <v>0</v>
      </c>
      <c r="Y928" s="49"/>
    </row>
    <row r="929" spans="20:25" x14ac:dyDescent="0.25">
      <c r="T929" s="49"/>
      <c r="U929" s="49"/>
      <c r="V929" s="49">
        <v>926</v>
      </c>
      <c r="W929" s="49">
        <f>((('Pump Design Summary'!$E$16-'Pump Design Summary'!$D$16)/1000)*V929)+'Pump Design Summary'!$D$16</f>
        <v>0</v>
      </c>
      <c r="X929" s="49">
        <f>IF(ISEVEN(V929),MAX('Pump Design Summary'!$D$29:$H$29)+50,0)</f>
        <v>50</v>
      </c>
      <c r="Y929" s="49"/>
    </row>
    <row r="930" spans="20:25" x14ac:dyDescent="0.25">
      <c r="T930" s="49"/>
      <c r="U930" s="49"/>
      <c r="V930" s="49">
        <v>927</v>
      </c>
      <c r="W930" s="49">
        <f>((('Pump Design Summary'!$E$16-'Pump Design Summary'!$D$16)/1000)*V930)+'Pump Design Summary'!$D$16</f>
        <v>0</v>
      </c>
      <c r="X930" s="49">
        <f>IF(ISEVEN(V930),MAX('Pump Design Summary'!$D$29:$H$29)+50,0)</f>
        <v>0</v>
      </c>
      <c r="Y930" s="49"/>
    </row>
    <row r="931" spans="20:25" x14ac:dyDescent="0.25">
      <c r="T931" s="49"/>
      <c r="U931" s="49"/>
      <c r="V931" s="49">
        <v>928</v>
      </c>
      <c r="W931" s="49">
        <f>((('Pump Design Summary'!$E$16-'Pump Design Summary'!$D$16)/1000)*V931)+'Pump Design Summary'!$D$16</f>
        <v>0</v>
      </c>
      <c r="X931" s="49">
        <f>IF(ISEVEN(V931),MAX('Pump Design Summary'!$D$29:$H$29)+50,0)</f>
        <v>50</v>
      </c>
      <c r="Y931" s="49"/>
    </row>
    <row r="932" spans="20:25" x14ac:dyDescent="0.25">
      <c r="T932" s="49"/>
      <c r="U932" s="49"/>
      <c r="V932" s="49">
        <v>929</v>
      </c>
      <c r="W932" s="49">
        <f>((('Pump Design Summary'!$E$16-'Pump Design Summary'!$D$16)/1000)*V932)+'Pump Design Summary'!$D$16</f>
        <v>0</v>
      </c>
      <c r="X932" s="49">
        <f>IF(ISEVEN(V932),MAX('Pump Design Summary'!$D$29:$H$29)+50,0)</f>
        <v>0</v>
      </c>
      <c r="Y932" s="49"/>
    </row>
    <row r="933" spans="20:25" x14ac:dyDescent="0.25">
      <c r="T933" s="49"/>
      <c r="U933" s="49"/>
      <c r="V933" s="49">
        <v>930</v>
      </c>
      <c r="W933" s="49">
        <f>((('Pump Design Summary'!$E$16-'Pump Design Summary'!$D$16)/1000)*V933)+'Pump Design Summary'!$D$16</f>
        <v>0</v>
      </c>
      <c r="X933" s="49">
        <f>IF(ISEVEN(V933),MAX('Pump Design Summary'!$D$29:$H$29)+50,0)</f>
        <v>50</v>
      </c>
      <c r="Y933" s="49"/>
    </row>
    <row r="934" spans="20:25" x14ac:dyDescent="0.25">
      <c r="T934" s="49"/>
      <c r="U934" s="49"/>
      <c r="V934" s="49">
        <v>931</v>
      </c>
      <c r="W934" s="49">
        <f>((('Pump Design Summary'!$E$16-'Pump Design Summary'!$D$16)/1000)*V934)+'Pump Design Summary'!$D$16</f>
        <v>0</v>
      </c>
      <c r="X934" s="49">
        <f>IF(ISEVEN(V934),MAX('Pump Design Summary'!$D$29:$H$29)+50,0)</f>
        <v>0</v>
      </c>
      <c r="Y934" s="49"/>
    </row>
    <row r="935" spans="20:25" x14ac:dyDescent="0.25">
      <c r="T935" s="49"/>
      <c r="U935" s="49"/>
      <c r="V935" s="49">
        <v>932</v>
      </c>
      <c r="W935" s="49">
        <f>((('Pump Design Summary'!$E$16-'Pump Design Summary'!$D$16)/1000)*V935)+'Pump Design Summary'!$D$16</f>
        <v>0</v>
      </c>
      <c r="X935" s="49">
        <f>IF(ISEVEN(V935),MAX('Pump Design Summary'!$D$29:$H$29)+50,0)</f>
        <v>50</v>
      </c>
      <c r="Y935" s="49"/>
    </row>
    <row r="936" spans="20:25" x14ac:dyDescent="0.25">
      <c r="T936" s="49"/>
      <c r="U936" s="49"/>
      <c r="V936" s="49">
        <v>933</v>
      </c>
      <c r="W936" s="49">
        <f>((('Pump Design Summary'!$E$16-'Pump Design Summary'!$D$16)/1000)*V936)+'Pump Design Summary'!$D$16</f>
        <v>0</v>
      </c>
      <c r="X936" s="49">
        <f>IF(ISEVEN(V936),MAX('Pump Design Summary'!$D$29:$H$29)+50,0)</f>
        <v>0</v>
      </c>
      <c r="Y936" s="49"/>
    </row>
    <row r="937" spans="20:25" x14ac:dyDescent="0.25">
      <c r="T937" s="49"/>
      <c r="U937" s="49"/>
      <c r="V937" s="49">
        <v>934</v>
      </c>
      <c r="W937" s="49">
        <f>((('Pump Design Summary'!$E$16-'Pump Design Summary'!$D$16)/1000)*V937)+'Pump Design Summary'!$D$16</f>
        <v>0</v>
      </c>
      <c r="X937" s="49">
        <f>IF(ISEVEN(V937),MAX('Pump Design Summary'!$D$29:$H$29)+50,0)</f>
        <v>50</v>
      </c>
      <c r="Y937" s="49"/>
    </row>
    <row r="938" spans="20:25" x14ac:dyDescent="0.25">
      <c r="T938" s="49"/>
      <c r="U938" s="49"/>
      <c r="V938" s="49">
        <v>935</v>
      </c>
      <c r="W938" s="49">
        <f>((('Pump Design Summary'!$E$16-'Pump Design Summary'!$D$16)/1000)*V938)+'Pump Design Summary'!$D$16</f>
        <v>0</v>
      </c>
      <c r="X938" s="49">
        <f>IF(ISEVEN(V938),MAX('Pump Design Summary'!$D$29:$H$29)+50,0)</f>
        <v>0</v>
      </c>
      <c r="Y938" s="49"/>
    </row>
    <row r="939" spans="20:25" x14ac:dyDescent="0.25">
      <c r="T939" s="49"/>
      <c r="U939" s="49"/>
      <c r="V939" s="49">
        <v>936</v>
      </c>
      <c r="W939" s="49">
        <f>((('Pump Design Summary'!$E$16-'Pump Design Summary'!$D$16)/1000)*V939)+'Pump Design Summary'!$D$16</f>
        <v>0</v>
      </c>
      <c r="X939" s="49">
        <f>IF(ISEVEN(V939),MAX('Pump Design Summary'!$D$29:$H$29)+50,0)</f>
        <v>50</v>
      </c>
      <c r="Y939" s="49"/>
    </row>
    <row r="940" spans="20:25" x14ac:dyDescent="0.25">
      <c r="T940" s="49"/>
      <c r="U940" s="49"/>
      <c r="V940" s="49">
        <v>937</v>
      </c>
      <c r="W940" s="49">
        <f>((('Pump Design Summary'!$E$16-'Pump Design Summary'!$D$16)/1000)*V940)+'Pump Design Summary'!$D$16</f>
        <v>0</v>
      </c>
      <c r="X940" s="49">
        <f>IF(ISEVEN(V940),MAX('Pump Design Summary'!$D$29:$H$29)+50,0)</f>
        <v>0</v>
      </c>
      <c r="Y940" s="49"/>
    </row>
    <row r="941" spans="20:25" x14ac:dyDescent="0.25">
      <c r="T941" s="49"/>
      <c r="U941" s="49"/>
      <c r="V941" s="49">
        <v>938</v>
      </c>
      <c r="W941" s="49">
        <f>((('Pump Design Summary'!$E$16-'Pump Design Summary'!$D$16)/1000)*V941)+'Pump Design Summary'!$D$16</f>
        <v>0</v>
      </c>
      <c r="X941" s="49">
        <f>IF(ISEVEN(V941),MAX('Pump Design Summary'!$D$29:$H$29)+50,0)</f>
        <v>50</v>
      </c>
      <c r="Y941" s="49"/>
    </row>
    <row r="942" spans="20:25" x14ac:dyDescent="0.25">
      <c r="T942" s="49"/>
      <c r="U942" s="49"/>
      <c r="V942" s="49">
        <v>939</v>
      </c>
      <c r="W942" s="49">
        <f>((('Pump Design Summary'!$E$16-'Pump Design Summary'!$D$16)/1000)*V942)+'Pump Design Summary'!$D$16</f>
        <v>0</v>
      </c>
      <c r="X942" s="49">
        <f>IF(ISEVEN(V942),MAX('Pump Design Summary'!$D$29:$H$29)+50,0)</f>
        <v>0</v>
      </c>
      <c r="Y942" s="49"/>
    </row>
    <row r="943" spans="20:25" x14ac:dyDescent="0.25">
      <c r="T943" s="49"/>
      <c r="U943" s="49"/>
      <c r="V943" s="49">
        <v>940</v>
      </c>
      <c r="W943" s="49">
        <f>((('Pump Design Summary'!$E$16-'Pump Design Summary'!$D$16)/1000)*V943)+'Pump Design Summary'!$D$16</f>
        <v>0</v>
      </c>
      <c r="X943" s="49">
        <f>IF(ISEVEN(V943),MAX('Pump Design Summary'!$D$29:$H$29)+50,0)</f>
        <v>50</v>
      </c>
      <c r="Y943" s="49"/>
    </row>
    <row r="944" spans="20:25" x14ac:dyDescent="0.25">
      <c r="T944" s="49"/>
      <c r="U944" s="49"/>
      <c r="V944" s="49">
        <v>941</v>
      </c>
      <c r="W944" s="49">
        <f>((('Pump Design Summary'!$E$16-'Pump Design Summary'!$D$16)/1000)*V944)+'Pump Design Summary'!$D$16</f>
        <v>0</v>
      </c>
      <c r="X944" s="49">
        <f>IF(ISEVEN(V944),MAX('Pump Design Summary'!$D$29:$H$29)+50,0)</f>
        <v>0</v>
      </c>
      <c r="Y944" s="49"/>
    </row>
    <row r="945" spans="20:25" x14ac:dyDescent="0.25">
      <c r="T945" s="49"/>
      <c r="U945" s="49"/>
      <c r="V945" s="49">
        <v>942</v>
      </c>
      <c r="W945" s="49">
        <f>((('Pump Design Summary'!$E$16-'Pump Design Summary'!$D$16)/1000)*V945)+'Pump Design Summary'!$D$16</f>
        <v>0</v>
      </c>
      <c r="X945" s="49">
        <f>IF(ISEVEN(V945),MAX('Pump Design Summary'!$D$29:$H$29)+50,0)</f>
        <v>50</v>
      </c>
      <c r="Y945" s="49"/>
    </row>
    <row r="946" spans="20:25" x14ac:dyDescent="0.25">
      <c r="T946" s="49"/>
      <c r="U946" s="49"/>
      <c r="V946" s="49">
        <v>943</v>
      </c>
      <c r="W946" s="49">
        <f>((('Pump Design Summary'!$E$16-'Pump Design Summary'!$D$16)/1000)*V946)+'Pump Design Summary'!$D$16</f>
        <v>0</v>
      </c>
      <c r="X946" s="49">
        <f>IF(ISEVEN(V946),MAX('Pump Design Summary'!$D$29:$H$29)+50,0)</f>
        <v>0</v>
      </c>
      <c r="Y946" s="49"/>
    </row>
    <row r="947" spans="20:25" x14ac:dyDescent="0.25">
      <c r="T947" s="49"/>
      <c r="U947" s="49"/>
      <c r="V947" s="49">
        <v>944</v>
      </c>
      <c r="W947" s="49">
        <f>((('Pump Design Summary'!$E$16-'Pump Design Summary'!$D$16)/1000)*V947)+'Pump Design Summary'!$D$16</f>
        <v>0</v>
      </c>
      <c r="X947" s="49">
        <f>IF(ISEVEN(V947),MAX('Pump Design Summary'!$D$29:$H$29)+50,0)</f>
        <v>50</v>
      </c>
      <c r="Y947" s="49"/>
    </row>
    <row r="948" spans="20:25" x14ac:dyDescent="0.25">
      <c r="T948" s="49"/>
      <c r="U948" s="49"/>
      <c r="V948" s="49">
        <v>945</v>
      </c>
      <c r="W948" s="49">
        <f>((('Pump Design Summary'!$E$16-'Pump Design Summary'!$D$16)/1000)*V948)+'Pump Design Summary'!$D$16</f>
        <v>0</v>
      </c>
      <c r="X948" s="49">
        <f>IF(ISEVEN(V948),MAX('Pump Design Summary'!$D$29:$H$29)+50,0)</f>
        <v>0</v>
      </c>
      <c r="Y948" s="49"/>
    </row>
    <row r="949" spans="20:25" x14ac:dyDescent="0.25">
      <c r="T949" s="49"/>
      <c r="U949" s="49"/>
      <c r="V949" s="49">
        <v>946</v>
      </c>
      <c r="W949" s="49">
        <f>((('Pump Design Summary'!$E$16-'Pump Design Summary'!$D$16)/1000)*V949)+'Pump Design Summary'!$D$16</f>
        <v>0</v>
      </c>
      <c r="X949" s="49">
        <f>IF(ISEVEN(V949),MAX('Pump Design Summary'!$D$29:$H$29)+50,0)</f>
        <v>50</v>
      </c>
      <c r="Y949" s="49"/>
    </row>
    <row r="950" spans="20:25" x14ac:dyDescent="0.25">
      <c r="T950" s="49"/>
      <c r="U950" s="49"/>
      <c r="V950" s="49">
        <v>947</v>
      </c>
      <c r="W950" s="49">
        <f>((('Pump Design Summary'!$E$16-'Pump Design Summary'!$D$16)/1000)*V950)+'Pump Design Summary'!$D$16</f>
        <v>0</v>
      </c>
      <c r="X950" s="49">
        <f>IF(ISEVEN(V950),MAX('Pump Design Summary'!$D$29:$H$29)+50,0)</f>
        <v>0</v>
      </c>
      <c r="Y950" s="49"/>
    </row>
    <row r="951" spans="20:25" x14ac:dyDescent="0.25">
      <c r="T951" s="49"/>
      <c r="U951" s="49"/>
      <c r="V951" s="49">
        <v>948</v>
      </c>
      <c r="W951" s="49">
        <f>((('Pump Design Summary'!$E$16-'Pump Design Summary'!$D$16)/1000)*V951)+'Pump Design Summary'!$D$16</f>
        <v>0</v>
      </c>
      <c r="X951" s="49">
        <f>IF(ISEVEN(V951),MAX('Pump Design Summary'!$D$29:$H$29)+50,0)</f>
        <v>50</v>
      </c>
      <c r="Y951" s="49"/>
    </row>
    <row r="952" spans="20:25" x14ac:dyDescent="0.25">
      <c r="T952" s="49"/>
      <c r="U952" s="49"/>
      <c r="V952" s="49">
        <v>949</v>
      </c>
      <c r="W952" s="49">
        <f>((('Pump Design Summary'!$E$16-'Pump Design Summary'!$D$16)/1000)*V952)+'Pump Design Summary'!$D$16</f>
        <v>0</v>
      </c>
      <c r="X952" s="49">
        <f>IF(ISEVEN(V952),MAX('Pump Design Summary'!$D$29:$H$29)+50,0)</f>
        <v>0</v>
      </c>
      <c r="Y952" s="49"/>
    </row>
    <row r="953" spans="20:25" x14ac:dyDescent="0.25">
      <c r="T953" s="49"/>
      <c r="U953" s="49"/>
      <c r="V953" s="49">
        <v>950</v>
      </c>
      <c r="W953" s="49">
        <f>((('Pump Design Summary'!$E$16-'Pump Design Summary'!$D$16)/1000)*V953)+'Pump Design Summary'!$D$16</f>
        <v>0</v>
      </c>
      <c r="X953" s="49">
        <f>IF(ISEVEN(V953),MAX('Pump Design Summary'!$D$29:$H$29)+50,0)</f>
        <v>50</v>
      </c>
      <c r="Y953" s="49"/>
    </row>
    <row r="954" spans="20:25" x14ac:dyDescent="0.25">
      <c r="T954" s="49"/>
      <c r="U954" s="49"/>
      <c r="V954" s="49">
        <v>951</v>
      </c>
      <c r="W954" s="49">
        <f>((('Pump Design Summary'!$E$16-'Pump Design Summary'!$D$16)/1000)*V954)+'Pump Design Summary'!$D$16</f>
        <v>0</v>
      </c>
      <c r="X954" s="49">
        <f>IF(ISEVEN(V954),MAX('Pump Design Summary'!$D$29:$H$29)+50,0)</f>
        <v>0</v>
      </c>
      <c r="Y954" s="49"/>
    </row>
    <row r="955" spans="20:25" x14ac:dyDescent="0.25">
      <c r="T955" s="49"/>
      <c r="U955" s="49"/>
      <c r="V955" s="49">
        <v>952</v>
      </c>
      <c r="W955" s="49">
        <f>((('Pump Design Summary'!$E$16-'Pump Design Summary'!$D$16)/1000)*V955)+'Pump Design Summary'!$D$16</f>
        <v>0</v>
      </c>
      <c r="X955" s="49">
        <f>IF(ISEVEN(V955),MAX('Pump Design Summary'!$D$29:$H$29)+50,0)</f>
        <v>50</v>
      </c>
      <c r="Y955" s="49"/>
    </row>
    <row r="956" spans="20:25" x14ac:dyDescent="0.25">
      <c r="T956" s="49"/>
      <c r="U956" s="49"/>
      <c r="V956" s="49">
        <v>953</v>
      </c>
      <c r="W956" s="49">
        <f>((('Pump Design Summary'!$E$16-'Pump Design Summary'!$D$16)/1000)*V956)+'Pump Design Summary'!$D$16</f>
        <v>0</v>
      </c>
      <c r="X956" s="49">
        <f>IF(ISEVEN(V956),MAX('Pump Design Summary'!$D$29:$H$29)+50,0)</f>
        <v>0</v>
      </c>
      <c r="Y956" s="49"/>
    </row>
    <row r="957" spans="20:25" x14ac:dyDescent="0.25">
      <c r="T957" s="49"/>
      <c r="U957" s="49"/>
      <c r="V957" s="49">
        <v>954</v>
      </c>
      <c r="W957" s="49">
        <f>((('Pump Design Summary'!$E$16-'Pump Design Summary'!$D$16)/1000)*V957)+'Pump Design Summary'!$D$16</f>
        <v>0</v>
      </c>
      <c r="X957" s="49">
        <f>IF(ISEVEN(V957),MAX('Pump Design Summary'!$D$29:$H$29)+50,0)</f>
        <v>50</v>
      </c>
      <c r="Y957" s="49"/>
    </row>
    <row r="958" spans="20:25" x14ac:dyDescent="0.25">
      <c r="T958" s="49"/>
      <c r="U958" s="49"/>
      <c r="V958" s="49">
        <v>955</v>
      </c>
      <c r="W958" s="49">
        <f>((('Pump Design Summary'!$E$16-'Pump Design Summary'!$D$16)/1000)*V958)+'Pump Design Summary'!$D$16</f>
        <v>0</v>
      </c>
      <c r="X958" s="49">
        <f>IF(ISEVEN(V958),MAX('Pump Design Summary'!$D$29:$H$29)+50,0)</f>
        <v>0</v>
      </c>
      <c r="Y958" s="49"/>
    </row>
    <row r="959" spans="20:25" x14ac:dyDescent="0.25">
      <c r="T959" s="49"/>
      <c r="U959" s="49"/>
      <c r="V959" s="49">
        <v>956</v>
      </c>
      <c r="W959" s="49">
        <f>((('Pump Design Summary'!$E$16-'Pump Design Summary'!$D$16)/1000)*V959)+'Pump Design Summary'!$D$16</f>
        <v>0</v>
      </c>
      <c r="X959" s="49">
        <f>IF(ISEVEN(V959),MAX('Pump Design Summary'!$D$29:$H$29)+50,0)</f>
        <v>50</v>
      </c>
      <c r="Y959" s="49"/>
    </row>
    <row r="960" spans="20:25" x14ac:dyDescent="0.25">
      <c r="T960" s="49"/>
      <c r="U960" s="49"/>
      <c r="V960" s="49">
        <v>957</v>
      </c>
      <c r="W960" s="49">
        <f>((('Pump Design Summary'!$E$16-'Pump Design Summary'!$D$16)/1000)*V960)+'Pump Design Summary'!$D$16</f>
        <v>0</v>
      </c>
      <c r="X960" s="49">
        <f>IF(ISEVEN(V960),MAX('Pump Design Summary'!$D$29:$H$29)+50,0)</f>
        <v>0</v>
      </c>
      <c r="Y960" s="49"/>
    </row>
    <row r="961" spans="20:25" x14ac:dyDescent="0.25">
      <c r="T961" s="49"/>
      <c r="U961" s="49"/>
      <c r="V961" s="49">
        <v>958</v>
      </c>
      <c r="W961" s="49">
        <f>((('Pump Design Summary'!$E$16-'Pump Design Summary'!$D$16)/1000)*V961)+'Pump Design Summary'!$D$16</f>
        <v>0</v>
      </c>
      <c r="X961" s="49">
        <f>IF(ISEVEN(V961),MAX('Pump Design Summary'!$D$29:$H$29)+50,0)</f>
        <v>50</v>
      </c>
      <c r="Y961" s="49"/>
    </row>
    <row r="962" spans="20:25" x14ac:dyDescent="0.25">
      <c r="T962" s="49"/>
      <c r="U962" s="49"/>
      <c r="V962" s="49">
        <v>959</v>
      </c>
      <c r="W962" s="49">
        <f>((('Pump Design Summary'!$E$16-'Pump Design Summary'!$D$16)/1000)*V962)+'Pump Design Summary'!$D$16</f>
        <v>0</v>
      </c>
      <c r="X962" s="49">
        <f>IF(ISEVEN(V962),MAX('Pump Design Summary'!$D$29:$H$29)+50,0)</f>
        <v>0</v>
      </c>
      <c r="Y962" s="49"/>
    </row>
    <row r="963" spans="20:25" x14ac:dyDescent="0.25">
      <c r="T963" s="49"/>
      <c r="U963" s="49"/>
      <c r="V963" s="49">
        <v>960</v>
      </c>
      <c r="W963" s="49">
        <f>((('Pump Design Summary'!$E$16-'Pump Design Summary'!$D$16)/1000)*V963)+'Pump Design Summary'!$D$16</f>
        <v>0</v>
      </c>
      <c r="X963" s="49">
        <f>IF(ISEVEN(V963),MAX('Pump Design Summary'!$D$29:$H$29)+50,0)</f>
        <v>50</v>
      </c>
      <c r="Y963" s="49"/>
    </row>
    <row r="964" spans="20:25" x14ac:dyDescent="0.25">
      <c r="T964" s="49"/>
      <c r="U964" s="49"/>
      <c r="V964" s="49">
        <v>961</v>
      </c>
      <c r="W964" s="49">
        <f>((('Pump Design Summary'!$E$16-'Pump Design Summary'!$D$16)/1000)*V964)+'Pump Design Summary'!$D$16</f>
        <v>0</v>
      </c>
      <c r="X964" s="49">
        <f>IF(ISEVEN(V964),MAX('Pump Design Summary'!$D$29:$H$29)+50,0)</f>
        <v>0</v>
      </c>
      <c r="Y964" s="49"/>
    </row>
    <row r="965" spans="20:25" x14ac:dyDescent="0.25">
      <c r="T965" s="49"/>
      <c r="U965" s="49"/>
      <c r="V965" s="49">
        <v>962</v>
      </c>
      <c r="W965" s="49">
        <f>((('Pump Design Summary'!$E$16-'Pump Design Summary'!$D$16)/1000)*V965)+'Pump Design Summary'!$D$16</f>
        <v>0</v>
      </c>
      <c r="X965" s="49">
        <f>IF(ISEVEN(V965),MAX('Pump Design Summary'!$D$29:$H$29)+50,0)</f>
        <v>50</v>
      </c>
      <c r="Y965" s="49"/>
    </row>
    <row r="966" spans="20:25" x14ac:dyDescent="0.25">
      <c r="T966" s="49"/>
      <c r="U966" s="49"/>
      <c r="V966" s="49">
        <v>963</v>
      </c>
      <c r="W966" s="49">
        <f>((('Pump Design Summary'!$E$16-'Pump Design Summary'!$D$16)/1000)*V966)+'Pump Design Summary'!$D$16</f>
        <v>0</v>
      </c>
      <c r="X966" s="49">
        <f>IF(ISEVEN(V966),MAX('Pump Design Summary'!$D$29:$H$29)+50,0)</f>
        <v>0</v>
      </c>
      <c r="Y966" s="49"/>
    </row>
    <row r="967" spans="20:25" x14ac:dyDescent="0.25">
      <c r="T967" s="49"/>
      <c r="U967" s="49"/>
      <c r="V967" s="49">
        <v>964</v>
      </c>
      <c r="W967" s="49">
        <f>((('Pump Design Summary'!$E$16-'Pump Design Summary'!$D$16)/1000)*V967)+'Pump Design Summary'!$D$16</f>
        <v>0</v>
      </c>
      <c r="X967" s="49">
        <f>IF(ISEVEN(V967),MAX('Pump Design Summary'!$D$29:$H$29)+50,0)</f>
        <v>50</v>
      </c>
      <c r="Y967" s="49"/>
    </row>
    <row r="968" spans="20:25" x14ac:dyDescent="0.25">
      <c r="T968" s="49"/>
      <c r="U968" s="49"/>
      <c r="V968" s="49">
        <v>965</v>
      </c>
      <c r="W968" s="49">
        <f>((('Pump Design Summary'!$E$16-'Pump Design Summary'!$D$16)/1000)*V968)+'Pump Design Summary'!$D$16</f>
        <v>0</v>
      </c>
      <c r="X968" s="49">
        <f>IF(ISEVEN(V968),MAX('Pump Design Summary'!$D$29:$H$29)+50,0)</f>
        <v>0</v>
      </c>
      <c r="Y968" s="49"/>
    </row>
    <row r="969" spans="20:25" x14ac:dyDescent="0.25">
      <c r="T969" s="49"/>
      <c r="U969" s="49"/>
      <c r="V969" s="49">
        <v>966</v>
      </c>
      <c r="W969" s="49">
        <f>((('Pump Design Summary'!$E$16-'Pump Design Summary'!$D$16)/1000)*V969)+'Pump Design Summary'!$D$16</f>
        <v>0</v>
      </c>
      <c r="X969" s="49">
        <f>IF(ISEVEN(V969),MAX('Pump Design Summary'!$D$29:$H$29)+50,0)</f>
        <v>50</v>
      </c>
      <c r="Y969" s="49"/>
    </row>
    <row r="970" spans="20:25" x14ac:dyDescent="0.25">
      <c r="T970" s="49"/>
      <c r="U970" s="49"/>
      <c r="V970" s="49">
        <v>967</v>
      </c>
      <c r="W970" s="49">
        <f>((('Pump Design Summary'!$E$16-'Pump Design Summary'!$D$16)/1000)*V970)+'Pump Design Summary'!$D$16</f>
        <v>0</v>
      </c>
      <c r="X970" s="49">
        <f>IF(ISEVEN(V970),MAX('Pump Design Summary'!$D$29:$H$29)+50,0)</f>
        <v>0</v>
      </c>
      <c r="Y970" s="49"/>
    </row>
    <row r="971" spans="20:25" x14ac:dyDescent="0.25">
      <c r="T971" s="49"/>
      <c r="U971" s="49"/>
      <c r="V971" s="49">
        <v>968</v>
      </c>
      <c r="W971" s="49">
        <f>((('Pump Design Summary'!$E$16-'Pump Design Summary'!$D$16)/1000)*V971)+'Pump Design Summary'!$D$16</f>
        <v>0</v>
      </c>
      <c r="X971" s="49">
        <f>IF(ISEVEN(V971),MAX('Pump Design Summary'!$D$29:$H$29)+50,0)</f>
        <v>50</v>
      </c>
      <c r="Y971" s="49"/>
    </row>
    <row r="972" spans="20:25" x14ac:dyDescent="0.25">
      <c r="T972" s="49"/>
      <c r="U972" s="49"/>
      <c r="V972" s="49">
        <v>969</v>
      </c>
      <c r="W972" s="49">
        <f>((('Pump Design Summary'!$E$16-'Pump Design Summary'!$D$16)/1000)*V972)+'Pump Design Summary'!$D$16</f>
        <v>0</v>
      </c>
      <c r="X972" s="49">
        <f>IF(ISEVEN(V972),MAX('Pump Design Summary'!$D$29:$H$29)+50,0)</f>
        <v>0</v>
      </c>
      <c r="Y972" s="49"/>
    </row>
    <row r="973" spans="20:25" x14ac:dyDescent="0.25">
      <c r="T973" s="49"/>
      <c r="U973" s="49"/>
      <c r="V973" s="49">
        <v>970</v>
      </c>
      <c r="W973" s="49">
        <f>((('Pump Design Summary'!$E$16-'Pump Design Summary'!$D$16)/1000)*V973)+'Pump Design Summary'!$D$16</f>
        <v>0</v>
      </c>
      <c r="X973" s="49">
        <f>IF(ISEVEN(V973),MAX('Pump Design Summary'!$D$29:$H$29)+50,0)</f>
        <v>50</v>
      </c>
      <c r="Y973" s="49"/>
    </row>
    <row r="974" spans="20:25" x14ac:dyDescent="0.25">
      <c r="T974" s="49"/>
      <c r="U974" s="49"/>
      <c r="V974" s="49">
        <v>971</v>
      </c>
      <c r="W974" s="49">
        <f>((('Pump Design Summary'!$E$16-'Pump Design Summary'!$D$16)/1000)*V974)+'Pump Design Summary'!$D$16</f>
        <v>0</v>
      </c>
      <c r="X974" s="49">
        <f>IF(ISEVEN(V974),MAX('Pump Design Summary'!$D$29:$H$29)+50,0)</f>
        <v>0</v>
      </c>
      <c r="Y974" s="49"/>
    </row>
    <row r="975" spans="20:25" x14ac:dyDescent="0.25">
      <c r="T975" s="49"/>
      <c r="U975" s="49"/>
      <c r="V975" s="49">
        <v>972</v>
      </c>
      <c r="W975" s="49">
        <f>((('Pump Design Summary'!$E$16-'Pump Design Summary'!$D$16)/1000)*V975)+'Pump Design Summary'!$D$16</f>
        <v>0</v>
      </c>
      <c r="X975" s="49">
        <f>IF(ISEVEN(V975),MAX('Pump Design Summary'!$D$29:$H$29)+50,0)</f>
        <v>50</v>
      </c>
      <c r="Y975" s="49"/>
    </row>
    <row r="976" spans="20:25" x14ac:dyDescent="0.25">
      <c r="T976" s="49"/>
      <c r="U976" s="49"/>
      <c r="V976" s="49">
        <v>973</v>
      </c>
      <c r="W976" s="49">
        <f>((('Pump Design Summary'!$E$16-'Pump Design Summary'!$D$16)/1000)*V976)+'Pump Design Summary'!$D$16</f>
        <v>0</v>
      </c>
      <c r="X976" s="49">
        <f>IF(ISEVEN(V976),MAX('Pump Design Summary'!$D$29:$H$29)+50,0)</f>
        <v>0</v>
      </c>
      <c r="Y976" s="49"/>
    </row>
    <row r="977" spans="20:25" x14ac:dyDescent="0.25">
      <c r="T977" s="49"/>
      <c r="U977" s="49"/>
      <c r="V977" s="49">
        <v>974</v>
      </c>
      <c r="W977" s="49">
        <f>((('Pump Design Summary'!$E$16-'Pump Design Summary'!$D$16)/1000)*V977)+'Pump Design Summary'!$D$16</f>
        <v>0</v>
      </c>
      <c r="X977" s="49">
        <f>IF(ISEVEN(V977),MAX('Pump Design Summary'!$D$29:$H$29)+50,0)</f>
        <v>50</v>
      </c>
      <c r="Y977" s="49"/>
    </row>
    <row r="978" spans="20:25" x14ac:dyDescent="0.25">
      <c r="T978" s="49"/>
      <c r="U978" s="49"/>
      <c r="V978" s="49">
        <v>975</v>
      </c>
      <c r="W978" s="49">
        <f>((('Pump Design Summary'!$E$16-'Pump Design Summary'!$D$16)/1000)*V978)+'Pump Design Summary'!$D$16</f>
        <v>0</v>
      </c>
      <c r="X978" s="49">
        <f>IF(ISEVEN(V978),MAX('Pump Design Summary'!$D$29:$H$29)+50,0)</f>
        <v>0</v>
      </c>
      <c r="Y978" s="49"/>
    </row>
    <row r="979" spans="20:25" x14ac:dyDescent="0.25">
      <c r="T979" s="49"/>
      <c r="U979" s="49"/>
      <c r="V979" s="49">
        <v>976</v>
      </c>
      <c r="W979" s="49">
        <f>((('Pump Design Summary'!$E$16-'Pump Design Summary'!$D$16)/1000)*V979)+'Pump Design Summary'!$D$16</f>
        <v>0</v>
      </c>
      <c r="X979" s="49">
        <f>IF(ISEVEN(V979),MAX('Pump Design Summary'!$D$29:$H$29)+50,0)</f>
        <v>50</v>
      </c>
      <c r="Y979" s="49"/>
    </row>
    <row r="980" spans="20:25" x14ac:dyDescent="0.25">
      <c r="T980" s="49"/>
      <c r="U980" s="49"/>
      <c r="V980" s="49">
        <v>977</v>
      </c>
      <c r="W980" s="49">
        <f>((('Pump Design Summary'!$E$16-'Pump Design Summary'!$D$16)/1000)*V980)+'Pump Design Summary'!$D$16</f>
        <v>0</v>
      </c>
      <c r="X980" s="49">
        <f>IF(ISEVEN(V980),MAX('Pump Design Summary'!$D$29:$H$29)+50,0)</f>
        <v>0</v>
      </c>
      <c r="Y980" s="49"/>
    </row>
    <row r="981" spans="20:25" x14ac:dyDescent="0.25">
      <c r="T981" s="49"/>
      <c r="U981" s="49"/>
      <c r="V981" s="49">
        <v>978</v>
      </c>
      <c r="W981" s="49">
        <f>((('Pump Design Summary'!$E$16-'Pump Design Summary'!$D$16)/1000)*V981)+'Pump Design Summary'!$D$16</f>
        <v>0</v>
      </c>
      <c r="X981" s="49">
        <f>IF(ISEVEN(V981),MAX('Pump Design Summary'!$D$29:$H$29)+50,0)</f>
        <v>50</v>
      </c>
      <c r="Y981" s="49"/>
    </row>
    <row r="982" spans="20:25" x14ac:dyDescent="0.25">
      <c r="T982" s="49"/>
      <c r="U982" s="49"/>
      <c r="V982" s="49">
        <v>979</v>
      </c>
      <c r="W982" s="49">
        <f>((('Pump Design Summary'!$E$16-'Pump Design Summary'!$D$16)/1000)*V982)+'Pump Design Summary'!$D$16</f>
        <v>0</v>
      </c>
      <c r="X982" s="49">
        <f>IF(ISEVEN(V982),MAX('Pump Design Summary'!$D$29:$H$29)+50,0)</f>
        <v>0</v>
      </c>
      <c r="Y982" s="49"/>
    </row>
    <row r="983" spans="20:25" x14ac:dyDescent="0.25">
      <c r="T983" s="49"/>
      <c r="U983" s="49"/>
      <c r="V983" s="49">
        <v>980</v>
      </c>
      <c r="W983" s="49">
        <f>((('Pump Design Summary'!$E$16-'Pump Design Summary'!$D$16)/1000)*V983)+'Pump Design Summary'!$D$16</f>
        <v>0</v>
      </c>
      <c r="X983" s="49">
        <f>IF(ISEVEN(V983),MAX('Pump Design Summary'!$D$29:$H$29)+50,0)</f>
        <v>50</v>
      </c>
      <c r="Y983" s="49"/>
    </row>
    <row r="984" spans="20:25" x14ac:dyDescent="0.25">
      <c r="T984" s="49"/>
      <c r="U984" s="49"/>
      <c r="V984" s="49">
        <v>981</v>
      </c>
      <c r="W984" s="49">
        <f>((('Pump Design Summary'!$E$16-'Pump Design Summary'!$D$16)/1000)*V984)+'Pump Design Summary'!$D$16</f>
        <v>0</v>
      </c>
      <c r="X984" s="49">
        <f>IF(ISEVEN(V984),MAX('Pump Design Summary'!$D$29:$H$29)+50,0)</f>
        <v>0</v>
      </c>
      <c r="Y984" s="49"/>
    </row>
    <row r="985" spans="20:25" x14ac:dyDescent="0.25">
      <c r="T985" s="49"/>
      <c r="U985" s="49"/>
      <c r="V985" s="49">
        <v>982</v>
      </c>
      <c r="W985" s="49">
        <f>((('Pump Design Summary'!$E$16-'Pump Design Summary'!$D$16)/1000)*V985)+'Pump Design Summary'!$D$16</f>
        <v>0</v>
      </c>
      <c r="X985" s="49">
        <f>IF(ISEVEN(V985),MAX('Pump Design Summary'!$D$29:$H$29)+50,0)</f>
        <v>50</v>
      </c>
      <c r="Y985" s="49"/>
    </row>
    <row r="986" spans="20:25" x14ac:dyDescent="0.25">
      <c r="T986" s="49"/>
      <c r="U986" s="49"/>
      <c r="V986" s="49">
        <v>983</v>
      </c>
      <c r="W986" s="49">
        <f>((('Pump Design Summary'!$E$16-'Pump Design Summary'!$D$16)/1000)*V986)+'Pump Design Summary'!$D$16</f>
        <v>0</v>
      </c>
      <c r="X986" s="49">
        <f>IF(ISEVEN(V986),MAX('Pump Design Summary'!$D$29:$H$29)+50,0)</f>
        <v>0</v>
      </c>
      <c r="Y986" s="49"/>
    </row>
    <row r="987" spans="20:25" x14ac:dyDescent="0.25">
      <c r="T987" s="49"/>
      <c r="U987" s="49"/>
      <c r="V987" s="49">
        <v>984</v>
      </c>
      <c r="W987" s="49">
        <f>((('Pump Design Summary'!$E$16-'Pump Design Summary'!$D$16)/1000)*V987)+'Pump Design Summary'!$D$16</f>
        <v>0</v>
      </c>
      <c r="X987" s="49">
        <f>IF(ISEVEN(V987),MAX('Pump Design Summary'!$D$29:$H$29)+50,0)</f>
        <v>50</v>
      </c>
      <c r="Y987" s="49"/>
    </row>
    <row r="988" spans="20:25" x14ac:dyDescent="0.25">
      <c r="T988" s="49"/>
      <c r="U988" s="49"/>
      <c r="V988" s="49">
        <v>985</v>
      </c>
      <c r="W988" s="49">
        <f>((('Pump Design Summary'!$E$16-'Pump Design Summary'!$D$16)/1000)*V988)+'Pump Design Summary'!$D$16</f>
        <v>0</v>
      </c>
      <c r="X988" s="49">
        <f>IF(ISEVEN(V988),MAX('Pump Design Summary'!$D$29:$H$29)+50,0)</f>
        <v>0</v>
      </c>
      <c r="Y988" s="49"/>
    </row>
    <row r="989" spans="20:25" x14ac:dyDescent="0.25">
      <c r="T989" s="49"/>
      <c r="U989" s="49"/>
      <c r="V989" s="49">
        <v>986</v>
      </c>
      <c r="W989" s="49">
        <f>((('Pump Design Summary'!$E$16-'Pump Design Summary'!$D$16)/1000)*V989)+'Pump Design Summary'!$D$16</f>
        <v>0</v>
      </c>
      <c r="X989" s="49">
        <f>IF(ISEVEN(V989),MAX('Pump Design Summary'!$D$29:$H$29)+50,0)</f>
        <v>50</v>
      </c>
      <c r="Y989" s="49"/>
    </row>
    <row r="990" spans="20:25" x14ac:dyDescent="0.25">
      <c r="T990" s="49"/>
      <c r="U990" s="49"/>
      <c r="V990" s="49">
        <v>987</v>
      </c>
      <c r="W990" s="49">
        <f>((('Pump Design Summary'!$E$16-'Pump Design Summary'!$D$16)/1000)*V990)+'Pump Design Summary'!$D$16</f>
        <v>0</v>
      </c>
      <c r="X990" s="49">
        <f>IF(ISEVEN(V990),MAX('Pump Design Summary'!$D$29:$H$29)+50,0)</f>
        <v>0</v>
      </c>
      <c r="Y990" s="49"/>
    </row>
    <row r="991" spans="20:25" x14ac:dyDescent="0.25">
      <c r="T991" s="49"/>
      <c r="U991" s="49"/>
      <c r="V991" s="49">
        <v>988</v>
      </c>
      <c r="W991" s="49">
        <f>((('Pump Design Summary'!$E$16-'Pump Design Summary'!$D$16)/1000)*V991)+'Pump Design Summary'!$D$16</f>
        <v>0</v>
      </c>
      <c r="X991" s="49">
        <f>IF(ISEVEN(V991),MAX('Pump Design Summary'!$D$29:$H$29)+50,0)</f>
        <v>50</v>
      </c>
      <c r="Y991" s="49"/>
    </row>
    <row r="992" spans="20:25" x14ac:dyDescent="0.25">
      <c r="T992" s="49"/>
      <c r="U992" s="49"/>
      <c r="V992" s="49">
        <v>989</v>
      </c>
      <c r="W992" s="49">
        <f>((('Pump Design Summary'!$E$16-'Pump Design Summary'!$D$16)/1000)*V992)+'Pump Design Summary'!$D$16</f>
        <v>0</v>
      </c>
      <c r="X992" s="49">
        <f>IF(ISEVEN(V992),MAX('Pump Design Summary'!$D$29:$H$29)+50,0)</f>
        <v>0</v>
      </c>
      <c r="Y992" s="49"/>
    </row>
    <row r="993" spans="20:25" x14ac:dyDescent="0.25">
      <c r="T993" s="49"/>
      <c r="U993" s="49"/>
      <c r="V993" s="49">
        <v>990</v>
      </c>
      <c r="W993" s="49">
        <f>((('Pump Design Summary'!$E$16-'Pump Design Summary'!$D$16)/1000)*V993)+'Pump Design Summary'!$D$16</f>
        <v>0</v>
      </c>
      <c r="X993" s="49">
        <f>IF(ISEVEN(V993),MAX('Pump Design Summary'!$D$29:$H$29)+50,0)</f>
        <v>50</v>
      </c>
      <c r="Y993" s="49"/>
    </row>
    <row r="994" spans="20:25" x14ac:dyDescent="0.25">
      <c r="T994" s="49"/>
      <c r="U994" s="49"/>
      <c r="V994" s="49">
        <v>991</v>
      </c>
      <c r="W994" s="49">
        <f>((('Pump Design Summary'!$E$16-'Pump Design Summary'!$D$16)/1000)*V994)+'Pump Design Summary'!$D$16</f>
        <v>0</v>
      </c>
      <c r="X994" s="49">
        <f>IF(ISEVEN(V994),MAX('Pump Design Summary'!$D$29:$H$29)+50,0)</f>
        <v>0</v>
      </c>
      <c r="Y994" s="49"/>
    </row>
    <row r="995" spans="20:25" x14ac:dyDescent="0.25">
      <c r="T995" s="49"/>
      <c r="U995" s="49"/>
      <c r="V995" s="49">
        <v>992</v>
      </c>
      <c r="W995" s="49">
        <f>((('Pump Design Summary'!$E$16-'Pump Design Summary'!$D$16)/1000)*V995)+'Pump Design Summary'!$D$16</f>
        <v>0</v>
      </c>
      <c r="X995" s="49">
        <f>IF(ISEVEN(V995),MAX('Pump Design Summary'!$D$29:$H$29)+50,0)</f>
        <v>50</v>
      </c>
      <c r="Y995" s="49"/>
    </row>
    <row r="996" spans="20:25" x14ac:dyDescent="0.25">
      <c r="T996" s="49"/>
      <c r="U996" s="49"/>
      <c r="V996" s="49">
        <v>993</v>
      </c>
      <c r="W996" s="49">
        <f>((('Pump Design Summary'!$E$16-'Pump Design Summary'!$D$16)/1000)*V996)+'Pump Design Summary'!$D$16</f>
        <v>0</v>
      </c>
      <c r="X996" s="49">
        <f>IF(ISEVEN(V996),MAX('Pump Design Summary'!$D$29:$H$29)+50,0)</f>
        <v>0</v>
      </c>
      <c r="Y996" s="49"/>
    </row>
    <row r="997" spans="20:25" x14ac:dyDescent="0.25">
      <c r="T997" s="49"/>
      <c r="U997" s="49"/>
      <c r="V997" s="49">
        <v>994</v>
      </c>
      <c r="W997" s="49">
        <f>((('Pump Design Summary'!$E$16-'Pump Design Summary'!$D$16)/1000)*V997)+'Pump Design Summary'!$D$16</f>
        <v>0</v>
      </c>
      <c r="X997" s="49">
        <f>IF(ISEVEN(V997),MAX('Pump Design Summary'!$D$29:$H$29)+50,0)</f>
        <v>50</v>
      </c>
      <c r="Y997" s="49"/>
    </row>
    <row r="998" spans="20:25" x14ac:dyDescent="0.25">
      <c r="T998" s="49"/>
      <c r="U998" s="49"/>
      <c r="V998" s="49">
        <v>995</v>
      </c>
      <c r="W998" s="49">
        <f>((('Pump Design Summary'!$E$16-'Pump Design Summary'!$D$16)/1000)*V998)+'Pump Design Summary'!$D$16</f>
        <v>0</v>
      </c>
      <c r="X998" s="49">
        <f>IF(ISEVEN(V998),MAX('Pump Design Summary'!$D$29:$H$29)+50,0)</f>
        <v>0</v>
      </c>
      <c r="Y998" s="49"/>
    </row>
    <row r="999" spans="20:25" x14ac:dyDescent="0.25">
      <c r="T999" s="49"/>
      <c r="U999" s="49"/>
      <c r="V999" s="49">
        <v>996</v>
      </c>
      <c r="W999" s="49">
        <f>((('Pump Design Summary'!$E$16-'Pump Design Summary'!$D$16)/1000)*V999)+'Pump Design Summary'!$D$16</f>
        <v>0</v>
      </c>
      <c r="X999" s="49">
        <f>IF(ISEVEN(V999),MAX('Pump Design Summary'!$D$29:$H$29)+50,0)</f>
        <v>50</v>
      </c>
      <c r="Y999" s="49"/>
    </row>
    <row r="1000" spans="20:25" x14ac:dyDescent="0.25">
      <c r="T1000" s="49"/>
      <c r="U1000" s="49"/>
      <c r="V1000" s="49">
        <v>997</v>
      </c>
      <c r="W1000" s="49">
        <f>((('Pump Design Summary'!$E$16-'Pump Design Summary'!$D$16)/1000)*V1000)+'Pump Design Summary'!$D$16</f>
        <v>0</v>
      </c>
      <c r="X1000" s="49">
        <f>IF(ISEVEN(V1000),MAX('Pump Design Summary'!$D$29:$H$29)+50,0)</f>
        <v>0</v>
      </c>
      <c r="Y1000" s="49"/>
    </row>
    <row r="1001" spans="20:25" x14ac:dyDescent="0.25">
      <c r="T1001" s="49"/>
      <c r="U1001" s="49"/>
      <c r="V1001" s="49">
        <v>998</v>
      </c>
      <c r="W1001" s="49">
        <f>((('Pump Design Summary'!$E$16-'Pump Design Summary'!$D$16)/1000)*V1001)+'Pump Design Summary'!$D$16</f>
        <v>0</v>
      </c>
      <c r="X1001" s="49">
        <f>IF(ISEVEN(V1001),MAX('Pump Design Summary'!$D$29:$H$29)+50,0)</f>
        <v>50</v>
      </c>
      <c r="Y1001" s="49"/>
    </row>
    <row r="1002" spans="20:25" x14ac:dyDescent="0.25">
      <c r="T1002" s="49"/>
      <c r="U1002" s="49"/>
      <c r="V1002" s="49">
        <v>999</v>
      </c>
      <c r="W1002" s="49">
        <f>((('Pump Design Summary'!$E$16-'Pump Design Summary'!$D$16)/1000)*V1002)+'Pump Design Summary'!$D$16</f>
        <v>0</v>
      </c>
      <c r="X1002" s="49">
        <f>IF(ISEVEN(V1002),MAX('Pump Design Summary'!$D$29:$H$29)+50,0)</f>
        <v>0</v>
      </c>
      <c r="Y1002" s="49"/>
    </row>
    <row r="1003" spans="20:25" x14ac:dyDescent="0.25">
      <c r="T1003" s="49"/>
      <c r="U1003" s="49"/>
      <c r="V1003" s="49">
        <v>1000</v>
      </c>
      <c r="W1003" s="49">
        <f>((('Pump Design Summary'!$E$16-'Pump Design Summary'!$D$16)/1000)*V1003)+'Pump Design Summary'!$D$16</f>
        <v>0</v>
      </c>
      <c r="X1003" s="49">
        <f>IF(ISEVEN(V1003),MAX('Pump Design Summary'!$D$29:$H$29)+50,0)</f>
        <v>50</v>
      </c>
      <c r="Y1003" s="49"/>
    </row>
    <row r="1004" spans="20:25" x14ac:dyDescent="0.25">
      <c r="T1004" s="49"/>
      <c r="U1004" s="49"/>
      <c r="V1004" s="49"/>
      <c r="W1004" s="49"/>
      <c r="X1004" s="49"/>
      <c r="Y1004" s="49"/>
    </row>
  </sheetData>
  <mergeCells count="12">
    <mergeCell ref="C71:H71"/>
    <mergeCell ref="A75:A83"/>
    <mergeCell ref="C40:E40"/>
    <mergeCell ref="F40:H40"/>
    <mergeCell ref="B3:B7"/>
    <mergeCell ref="E8:E9"/>
    <mergeCell ref="B8:B18"/>
    <mergeCell ref="B19:B24"/>
    <mergeCell ref="B25:B30"/>
    <mergeCell ref="C8:C9"/>
    <mergeCell ref="D8:D9"/>
    <mergeCell ref="F8:H8"/>
  </mergeCells>
  <pageMargins left="0.7" right="0.7" top="0.75" bottom="0.75" header="0.3" footer="0.3"/>
  <pageSetup orientation="portrait" horizontalDpi="300" verticalDpi="0" copies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</sheetPr>
  <dimension ref="B1:K74"/>
  <sheetViews>
    <sheetView tabSelected="1" topLeftCell="A4" zoomScaleNormal="100" workbookViewId="0">
      <selection activeCell="D29" sqref="D29:F31"/>
    </sheetView>
  </sheetViews>
  <sheetFormatPr defaultRowHeight="15" x14ac:dyDescent="0.25"/>
  <cols>
    <col min="1" max="2" width="9.140625" style="49"/>
    <col min="3" max="3" width="19.140625" style="49" bestFit="1" customWidth="1"/>
    <col min="4" max="8" width="12.140625" style="49" customWidth="1"/>
    <col min="9" max="16384" width="9.140625" style="49"/>
  </cols>
  <sheetData>
    <row r="1" spans="2:6" ht="21" x14ac:dyDescent="0.35">
      <c r="B1" s="73" t="s">
        <v>32</v>
      </c>
    </row>
    <row r="2" spans="2:6" x14ac:dyDescent="0.25">
      <c r="B2" s="60" t="s">
        <v>101</v>
      </c>
      <c r="C2" s="2" t="s">
        <v>139</v>
      </c>
    </row>
    <row r="3" spans="2:6" x14ac:dyDescent="0.25">
      <c r="B3" s="60" t="s">
        <v>34</v>
      </c>
      <c r="C3" s="2" t="s">
        <v>140</v>
      </c>
    </row>
    <row r="4" spans="2:6" x14ac:dyDescent="0.25">
      <c r="B4" s="60" t="s">
        <v>36</v>
      </c>
      <c r="C4" s="2" t="s">
        <v>141</v>
      </c>
    </row>
    <row r="6" spans="2:6" ht="15.75" thickBot="1" x14ac:dyDescent="0.3">
      <c r="B6" s="60" t="s">
        <v>109</v>
      </c>
    </row>
    <row r="7" spans="2:6" x14ac:dyDescent="0.25">
      <c r="B7" s="265" t="s">
        <v>33</v>
      </c>
      <c r="C7" s="124" t="s">
        <v>54</v>
      </c>
      <c r="D7" s="129">
        <f>'System Curve'!D15</f>
        <v>12306.096000000001</v>
      </c>
      <c r="E7" s="141"/>
      <c r="F7" s="6"/>
    </row>
    <row r="8" spans="2:6" x14ac:dyDescent="0.25">
      <c r="B8" s="266"/>
      <c r="C8" s="264" t="s">
        <v>55</v>
      </c>
      <c r="D8" s="130" t="s">
        <v>56</v>
      </c>
      <c r="E8" s="142" t="s">
        <v>57</v>
      </c>
      <c r="F8" s="8"/>
    </row>
    <row r="9" spans="2:6" x14ac:dyDescent="0.25">
      <c r="B9" s="266"/>
      <c r="C9" s="264"/>
      <c r="D9" s="130">
        <f>'System Curve'!D16</f>
        <v>800</v>
      </c>
      <c r="E9" s="142">
        <f>'System Curve'!E16</f>
        <v>300</v>
      </c>
      <c r="F9" s="8"/>
    </row>
    <row r="10" spans="2:6" ht="15.75" thickBot="1" x14ac:dyDescent="0.3">
      <c r="B10" s="267"/>
      <c r="C10" s="126" t="s">
        <v>78</v>
      </c>
      <c r="D10" s="131">
        <f>'System Curve'!D17</f>
        <v>0.25637700000000002</v>
      </c>
      <c r="E10" s="143">
        <f>'System Curve'!E17</f>
        <v>0.68367200000000006</v>
      </c>
      <c r="F10" s="10"/>
    </row>
    <row r="11" spans="2:6" x14ac:dyDescent="0.25">
      <c r="B11" s="268" t="s">
        <v>22</v>
      </c>
      <c r="C11" s="124" t="s">
        <v>16</v>
      </c>
      <c r="D11" s="138">
        <f>'Pump Curve'!D3</f>
        <v>0</v>
      </c>
      <c r="E11" s="11"/>
      <c r="F11" s="6"/>
    </row>
    <row r="12" spans="2:6" x14ac:dyDescent="0.25">
      <c r="B12" s="269"/>
      <c r="C12" s="125" t="s">
        <v>17</v>
      </c>
      <c r="D12" s="139">
        <f>'Pump Curve'!D4</f>
        <v>0</v>
      </c>
      <c r="E12" s="12"/>
      <c r="F12" s="8"/>
    </row>
    <row r="13" spans="2:6" x14ac:dyDescent="0.25">
      <c r="B13" s="269"/>
      <c r="C13" s="125" t="s">
        <v>60</v>
      </c>
      <c r="D13" s="139">
        <f>'Pump Curve'!D5</f>
        <v>0</v>
      </c>
      <c r="E13" s="12"/>
      <c r="F13" s="8"/>
    </row>
    <row r="14" spans="2:6" x14ac:dyDescent="0.25">
      <c r="B14" s="269"/>
      <c r="C14" s="125" t="s">
        <v>58</v>
      </c>
      <c r="D14" s="130">
        <f>'Pump Curve'!D6</f>
        <v>0</v>
      </c>
      <c r="E14" s="12"/>
      <c r="F14" s="8"/>
    </row>
    <row r="15" spans="2:6" x14ac:dyDescent="0.25">
      <c r="B15" s="269"/>
      <c r="C15" s="277" t="s">
        <v>59</v>
      </c>
      <c r="D15" s="130" t="s">
        <v>29</v>
      </c>
      <c r="E15" s="127" t="s">
        <v>30</v>
      </c>
      <c r="F15" s="8"/>
    </row>
    <row r="16" spans="2:6" ht="15.75" thickBot="1" x14ac:dyDescent="0.3">
      <c r="B16" s="270"/>
      <c r="C16" s="278"/>
      <c r="D16" s="140">
        <f>'Pump Curve'!D7</f>
        <v>0</v>
      </c>
      <c r="E16" s="128">
        <f>'Pump Curve'!E7</f>
        <v>0</v>
      </c>
      <c r="F16" s="10"/>
    </row>
    <row r="17" spans="2:8" x14ac:dyDescent="0.25">
      <c r="B17" s="268" t="s">
        <v>23</v>
      </c>
      <c r="C17" s="124" t="s">
        <v>16</v>
      </c>
      <c r="D17" s="134"/>
      <c r="E17" s="11"/>
      <c r="F17" s="6"/>
    </row>
    <row r="18" spans="2:8" x14ac:dyDescent="0.25">
      <c r="B18" s="269"/>
      <c r="C18" s="125" t="s">
        <v>17</v>
      </c>
      <c r="D18" s="135"/>
      <c r="E18" s="12"/>
      <c r="F18" s="8"/>
    </row>
    <row r="19" spans="2:8" x14ac:dyDescent="0.25">
      <c r="B19" s="269"/>
      <c r="C19" s="125" t="s">
        <v>61</v>
      </c>
      <c r="D19" s="136"/>
      <c r="E19" s="12"/>
      <c r="F19" s="8"/>
    </row>
    <row r="20" spans="2:8" x14ac:dyDescent="0.25">
      <c r="B20" s="269"/>
      <c r="C20" s="178" t="s">
        <v>176</v>
      </c>
      <c r="D20" s="179"/>
      <c r="E20" s="12"/>
      <c r="F20" s="8"/>
    </row>
    <row r="21" spans="2:8" ht="15.75" thickBot="1" x14ac:dyDescent="0.3">
      <c r="B21" s="270"/>
      <c r="C21" s="126" t="s">
        <v>12</v>
      </c>
      <c r="D21" s="137"/>
      <c r="E21" s="14"/>
      <c r="F21" s="10"/>
    </row>
    <row r="22" spans="2:8" x14ac:dyDescent="0.25">
      <c r="B22" s="271" t="s">
        <v>24</v>
      </c>
      <c r="C22" s="124" t="s">
        <v>20</v>
      </c>
      <c r="D22" s="132" t="str">
        <f>'System Curve'!D30</f>
        <v>CI</v>
      </c>
      <c r="E22" s="11"/>
      <c r="F22" s="6"/>
    </row>
    <row r="23" spans="2:8" x14ac:dyDescent="0.25">
      <c r="B23" s="272"/>
      <c r="C23" s="125" t="s">
        <v>21</v>
      </c>
      <c r="D23" s="130">
        <f>'System Curve'!D32</f>
        <v>100</v>
      </c>
      <c r="E23" s="7"/>
      <c r="F23" s="15"/>
    </row>
    <row r="24" spans="2:8" x14ac:dyDescent="0.25">
      <c r="B24" s="272"/>
      <c r="C24" s="125" t="s">
        <v>31</v>
      </c>
      <c r="D24" s="130">
        <f>'System Curve'!D31</f>
        <v>51</v>
      </c>
      <c r="E24" s="7"/>
      <c r="F24" s="15"/>
    </row>
    <row r="25" spans="2:8" x14ac:dyDescent="0.25">
      <c r="B25" s="272"/>
      <c r="C25" s="125" t="s">
        <v>62</v>
      </c>
      <c r="D25" s="130">
        <f>'System Curve'!D33</f>
        <v>10</v>
      </c>
      <c r="E25" s="7"/>
      <c r="F25" s="15"/>
    </row>
    <row r="26" spans="2:8" ht="15.75" thickBot="1" x14ac:dyDescent="0.3">
      <c r="B26" s="273"/>
      <c r="C26" s="121" t="s">
        <v>137</v>
      </c>
      <c r="D26" s="133">
        <f>'System Curve'!D42</f>
        <v>47.16</v>
      </c>
      <c r="E26" s="13"/>
      <c r="F26" s="97"/>
    </row>
    <row r="27" spans="2:8" ht="15.75" thickBot="1" x14ac:dyDescent="0.3">
      <c r="B27" s="274" t="s">
        <v>25</v>
      </c>
      <c r="C27" s="17" t="s">
        <v>2</v>
      </c>
      <c r="D27" s="104" t="s">
        <v>190</v>
      </c>
      <c r="E27" s="104" t="s">
        <v>191</v>
      </c>
      <c r="F27" s="104" t="s">
        <v>195</v>
      </c>
      <c r="G27" s="18" t="s">
        <v>192</v>
      </c>
      <c r="H27" s="19" t="s">
        <v>194</v>
      </c>
    </row>
    <row r="28" spans="2:8" x14ac:dyDescent="0.25">
      <c r="B28" s="275"/>
      <c r="C28" s="109" t="s">
        <v>6</v>
      </c>
      <c r="D28" s="110">
        <f>'System Curve'!E8</f>
        <v>22.799999999999997</v>
      </c>
      <c r="E28" s="110">
        <f>'System Curve'!E10</f>
        <v>15.57</v>
      </c>
      <c r="F28" s="110">
        <f>'System Curve'!E9</f>
        <v>22.799999999999997</v>
      </c>
      <c r="G28" s="110">
        <f>'System Curve'!E11</f>
        <v>15.22</v>
      </c>
      <c r="H28" s="111">
        <f>'System Curve'!E12</f>
        <v>2.0099999999999998</v>
      </c>
    </row>
    <row r="29" spans="2:8" x14ac:dyDescent="0.25">
      <c r="B29" s="275"/>
      <c r="C29" s="112" t="s">
        <v>7</v>
      </c>
      <c r="D29" s="113"/>
      <c r="E29" s="113"/>
      <c r="F29" s="113"/>
      <c r="G29" s="113"/>
      <c r="H29" s="114"/>
    </row>
    <row r="30" spans="2:8" x14ac:dyDescent="0.25">
      <c r="B30" s="275"/>
      <c r="C30" s="112" t="s">
        <v>5</v>
      </c>
      <c r="D30" s="113"/>
      <c r="E30" s="113"/>
      <c r="F30" s="113"/>
      <c r="G30" s="113"/>
      <c r="H30" s="114"/>
    </row>
    <row r="31" spans="2:8" x14ac:dyDescent="0.25">
      <c r="B31" s="275"/>
      <c r="C31" s="112" t="s">
        <v>193</v>
      </c>
      <c r="D31" s="113"/>
      <c r="E31" s="113"/>
      <c r="F31" s="113"/>
      <c r="G31" s="113"/>
      <c r="H31" s="114"/>
    </row>
    <row r="32" spans="2:8" x14ac:dyDescent="0.25">
      <c r="B32" s="275"/>
      <c r="C32" s="112"/>
      <c r="D32" s="113"/>
      <c r="E32" s="113"/>
      <c r="F32" s="113"/>
      <c r="G32" s="113"/>
      <c r="H32" s="114"/>
    </row>
    <row r="33" spans="2:8" x14ac:dyDescent="0.25">
      <c r="B33" s="275"/>
      <c r="C33" s="112" t="s">
        <v>11</v>
      </c>
      <c r="D33" s="115" t="e">
        <f>D$30/$D$14</f>
        <v>#DIV/0!</v>
      </c>
      <c r="E33" s="115" t="e">
        <f>E$30/$D$14</f>
        <v>#DIV/0!</v>
      </c>
      <c r="F33" s="115" t="e">
        <f>0.5*F$30/$D$14</f>
        <v>#DIV/0!</v>
      </c>
      <c r="G33" s="115" t="e">
        <f>0.5*G$30/$D$14</f>
        <v>#DIV/0!</v>
      </c>
      <c r="H33" s="116" t="e">
        <f>0.5*H$30/$D$14</f>
        <v>#DIV/0!</v>
      </c>
    </row>
    <row r="34" spans="2:8" x14ac:dyDescent="0.25">
      <c r="B34" s="275"/>
      <c r="C34" s="112" t="s">
        <v>8</v>
      </c>
      <c r="D34" s="117">
        <f>(D30/449)/(0.25*PI()*($D$25/12)^2)</f>
        <v>0</v>
      </c>
      <c r="E34" s="117">
        <f>(E30/449)/(0.25*PI()*($D$25/12)^2)</f>
        <v>0</v>
      </c>
      <c r="F34" s="117">
        <f>(F30/449)/(0.25*PI()*($D$25/12)^2)</f>
        <v>0</v>
      </c>
      <c r="G34" s="117">
        <f>(G30/449)/(0.25*PI()*($D$25/12)^2)</f>
        <v>0</v>
      </c>
      <c r="H34" s="118">
        <f>(H30/449)/(0.25*PI()*($D$25/12)^2)</f>
        <v>0</v>
      </c>
    </row>
    <row r="35" spans="2:8" x14ac:dyDescent="0.25">
      <c r="B35" s="275"/>
      <c r="C35" s="112" t="s">
        <v>9</v>
      </c>
      <c r="D35" s="117" t="e">
        <f>'Pump Curve'!$S$29*('Pump Design Summary'!D30^3)+'Pump Curve'!$S$30*('Pump Design Summary'!D30^2)+'Pump Curve'!$S$31*('Pump Design Summary'!D30)+'Pump Curve'!$S$32</f>
        <v>#VALUE!</v>
      </c>
      <c r="E35" s="117" t="e">
        <f>'Pump Curve'!$S$29*('Pump Design Summary'!E30^3)+'Pump Curve'!$S$30*('Pump Design Summary'!E30^2)+'Pump Curve'!$S$31*('Pump Design Summary'!E30)+'Pump Curve'!$S$32</f>
        <v>#VALUE!</v>
      </c>
      <c r="F35" s="117" t="e">
        <f>'Pump Curve'!$S$29*(('Pump Design Summary'!F30/2)^3)+'Pump Curve'!$S$30*(('Pump Design Summary'!F30/2)^2)+'Pump Curve'!$S$31*(('Pump Design Summary'!F30/2))+'Pump Curve'!$S$32</f>
        <v>#VALUE!</v>
      </c>
      <c r="G35" s="117" t="e">
        <f>'Pump Curve'!$S$29*(('Pump Design Summary'!G30/2)^3)+'Pump Curve'!$S$30*(('Pump Design Summary'!G30/2)^2)+'Pump Curve'!$S$31*(('Pump Design Summary'!G30/2))+'Pump Curve'!$S$32</f>
        <v>#VALUE!</v>
      </c>
      <c r="H35" s="117" t="e">
        <f>'Pump Curve'!$S$29*(('Pump Design Summary'!H30/2)^3)+'Pump Curve'!$S$30*(('Pump Design Summary'!H30/2)^2)+'Pump Curve'!$S$31*(('Pump Design Summary'!H30/2))+'Pump Curve'!$S$32</f>
        <v>#VALUE!</v>
      </c>
    </row>
    <row r="36" spans="2:8" x14ac:dyDescent="0.25">
      <c r="B36" s="275"/>
      <c r="C36" s="112" t="s">
        <v>10</v>
      </c>
      <c r="D36" s="117">
        <f>'Pump Curve'!J26</f>
        <v>33.380000000000003</v>
      </c>
      <c r="E36" s="117">
        <f>'Pump Curve'!J27</f>
        <v>40.61</v>
      </c>
      <c r="F36" s="117">
        <f>'Pump Curve'!J28</f>
        <v>33.380000000000003</v>
      </c>
      <c r="G36" s="117">
        <f>'Pump Curve'!J29</f>
        <v>40.96</v>
      </c>
      <c r="H36" s="118">
        <f>'Pump Curve'!J30</f>
        <v>54.17</v>
      </c>
    </row>
    <row r="37" spans="2:8" x14ac:dyDescent="0.25">
      <c r="B37" s="275"/>
      <c r="C37" s="112" t="s">
        <v>13</v>
      </c>
      <c r="D37" s="119"/>
      <c r="E37" s="119"/>
      <c r="F37" s="119"/>
      <c r="G37" s="119"/>
      <c r="H37" s="120"/>
    </row>
    <row r="38" spans="2:8" x14ac:dyDescent="0.25">
      <c r="B38" s="275"/>
      <c r="C38" s="112" t="s">
        <v>14</v>
      </c>
      <c r="D38" s="117" t="e">
        <f>(D29*D30)/(3960*D37)</f>
        <v>#DIV/0!</v>
      </c>
      <c r="E38" s="117" t="e">
        <f t="shared" ref="E38" si="0">(E29*E30)/(3960*E37)</f>
        <v>#DIV/0!</v>
      </c>
      <c r="F38" s="117" t="e">
        <f>(F29*F30/2)/(3960*F37)</f>
        <v>#DIV/0!</v>
      </c>
      <c r="G38" s="117" t="e">
        <f>(G29*G30/2)/(3960*G37)</f>
        <v>#DIV/0!</v>
      </c>
      <c r="H38" s="118" t="e">
        <f>(H29*H30/2)/(3960*H37)</f>
        <v>#DIV/0!</v>
      </c>
    </row>
    <row r="39" spans="2:8" x14ac:dyDescent="0.25">
      <c r="B39" s="275"/>
      <c r="C39" s="112" t="s">
        <v>15</v>
      </c>
      <c r="D39" s="115" t="e">
        <f>D$38/$D$19</f>
        <v>#DIV/0!</v>
      </c>
      <c r="E39" s="115" t="e">
        <f>E$38/$D$19</f>
        <v>#DIV/0!</v>
      </c>
      <c r="F39" s="115" t="e">
        <f>F$38/$D$19</f>
        <v>#DIV/0!</v>
      </c>
      <c r="G39" s="115" t="e">
        <f>G$38/$D$19</f>
        <v>#DIV/0!</v>
      </c>
      <c r="H39" s="116" t="e">
        <f>H$38/$D$19</f>
        <v>#DIV/0!</v>
      </c>
    </row>
    <row r="40" spans="2:8" ht="15.75" thickBot="1" x14ac:dyDescent="0.3">
      <c r="B40" s="276"/>
      <c r="C40" s="121" t="s">
        <v>26</v>
      </c>
      <c r="D40" s="122">
        <f>D$37*$D$21</f>
        <v>0</v>
      </c>
      <c r="E40" s="122">
        <f>E$37*$D$21</f>
        <v>0</v>
      </c>
      <c r="F40" s="122">
        <f>F$37*$D$21</f>
        <v>0</v>
      </c>
      <c r="G40" s="122">
        <f>G$37*$D$21</f>
        <v>0</v>
      </c>
      <c r="H40" s="123">
        <f>H$37*$D$21</f>
        <v>0</v>
      </c>
    </row>
    <row r="42" spans="2:8" x14ac:dyDescent="0.25">
      <c r="B42" s="60" t="s">
        <v>35</v>
      </c>
    </row>
    <row r="43" spans="2:8" x14ac:dyDescent="0.25">
      <c r="B43" s="263"/>
      <c r="C43" s="263"/>
      <c r="D43" s="263"/>
      <c r="E43" s="263"/>
      <c r="F43" s="263"/>
      <c r="G43" s="263"/>
      <c r="H43" s="263"/>
    </row>
    <row r="44" spans="2:8" x14ac:dyDescent="0.25">
      <c r="B44" s="263"/>
      <c r="C44" s="263"/>
      <c r="D44" s="263"/>
      <c r="E44" s="263"/>
      <c r="F44" s="263"/>
      <c r="G44" s="263"/>
      <c r="H44" s="263"/>
    </row>
    <row r="45" spans="2:8" x14ac:dyDescent="0.25">
      <c r="B45" s="263"/>
      <c r="C45" s="263"/>
      <c r="D45" s="263"/>
      <c r="E45" s="263"/>
      <c r="F45" s="263"/>
      <c r="G45" s="263"/>
      <c r="H45" s="263"/>
    </row>
    <row r="46" spans="2:8" x14ac:dyDescent="0.25">
      <c r="B46" s="263"/>
      <c r="C46" s="263"/>
      <c r="D46" s="263"/>
      <c r="E46" s="263"/>
      <c r="F46" s="263"/>
      <c r="G46" s="263"/>
      <c r="H46" s="263"/>
    </row>
    <row r="47" spans="2:8" x14ac:dyDescent="0.25">
      <c r="B47" s="263"/>
      <c r="C47" s="263"/>
      <c r="D47" s="263"/>
      <c r="E47" s="263"/>
      <c r="F47" s="263"/>
      <c r="G47" s="263"/>
      <c r="H47" s="263"/>
    </row>
    <row r="48" spans="2:8" x14ac:dyDescent="0.25">
      <c r="B48" s="263"/>
      <c r="C48" s="263"/>
      <c r="D48" s="263"/>
      <c r="E48" s="263"/>
      <c r="F48" s="263"/>
      <c r="G48" s="263"/>
      <c r="H48" s="263"/>
    </row>
    <row r="49" spans="2:11" x14ac:dyDescent="0.25">
      <c r="B49" s="263"/>
      <c r="C49" s="263"/>
      <c r="D49" s="263"/>
      <c r="E49" s="263"/>
      <c r="F49" s="263"/>
      <c r="G49" s="263"/>
      <c r="H49" s="263"/>
    </row>
    <row r="50" spans="2:11" x14ac:dyDescent="0.25">
      <c r="B50" s="263"/>
      <c r="C50" s="263"/>
      <c r="D50" s="263"/>
      <c r="E50" s="263"/>
      <c r="F50" s="263"/>
      <c r="G50" s="263"/>
      <c r="H50" s="263"/>
    </row>
    <row r="51" spans="2:11" x14ac:dyDescent="0.25">
      <c r="B51" s="263"/>
      <c r="C51" s="263"/>
      <c r="D51" s="263"/>
      <c r="E51" s="263"/>
      <c r="F51" s="263"/>
      <c r="G51" s="263"/>
      <c r="H51" s="263"/>
    </row>
    <row r="52" spans="2:11" x14ac:dyDescent="0.25">
      <c r="B52" s="263"/>
      <c r="C52" s="263"/>
      <c r="D52" s="263"/>
      <c r="E52" s="263"/>
      <c r="F52" s="263"/>
      <c r="G52" s="263"/>
      <c r="H52" s="263"/>
    </row>
    <row r="62" spans="2:11" x14ac:dyDescent="0.25">
      <c r="J62" s="49" t="s">
        <v>99</v>
      </c>
      <c r="K62" s="49" t="str">
        <f>CONCATENATE(J63,C2,J64,D11,J70,D12,J65,D13,J69,J68,D25,J69,J70,'System Curve'!D30,J66,J67,D23)</f>
        <v>Pump Station #072 Pump Curves: 0 0 Pumps, 0 in. Impeller, 10 in. CI Force Main, C=100</v>
      </c>
    </row>
    <row r="63" spans="2:11" x14ac:dyDescent="0.25">
      <c r="J63" s="74" t="s">
        <v>100</v>
      </c>
    </row>
    <row r="64" spans="2:11" x14ac:dyDescent="0.25">
      <c r="J64" s="74" t="s">
        <v>107</v>
      </c>
    </row>
    <row r="65" spans="10:11" x14ac:dyDescent="0.25">
      <c r="J65" s="74" t="s">
        <v>105</v>
      </c>
    </row>
    <row r="66" spans="10:11" x14ac:dyDescent="0.25">
      <c r="J66" s="74" t="s">
        <v>104</v>
      </c>
    </row>
    <row r="67" spans="10:11" x14ac:dyDescent="0.25">
      <c r="J67" s="74" t="s">
        <v>102</v>
      </c>
    </row>
    <row r="68" spans="10:11" x14ac:dyDescent="0.25">
      <c r="J68" s="74" t="s">
        <v>103</v>
      </c>
    </row>
    <row r="69" spans="10:11" x14ac:dyDescent="0.25">
      <c r="J69" s="74" t="s">
        <v>106</v>
      </c>
    </row>
    <row r="70" spans="10:11" x14ac:dyDescent="0.25">
      <c r="J70" s="74" t="s">
        <v>108</v>
      </c>
    </row>
    <row r="72" spans="10:11" x14ac:dyDescent="0.25">
      <c r="J72" s="74"/>
      <c r="K72" s="71"/>
    </row>
    <row r="73" spans="10:11" x14ac:dyDescent="0.25">
      <c r="J73" s="74"/>
      <c r="K73" s="71"/>
    </row>
    <row r="74" spans="10:11" x14ac:dyDescent="0.25">
      <c r="J74" s="74"/>
      <c r="K74" s="71"/>
    </row>
  </sheetData>
  <mergeCells count="17">
    <mergeCell ref="C8:C9"/>
    <mergeCell ref="B7:B10"/>
    <mergeCell ref="B44:H44"/>
    <mergeCell ref="B45:H45"/>
    <mergeCell ref="B46:H46"/>
    <mergeCell ref="B11:B16"/>
    <mergeCell ref="B17:B21"/>
    <mergeCell ref="B22:B26"/>
    <mergeCell ref="B27:B40"/>
    <mergeCell ref="C15:C16"/>
    <mergeCell ref="B43:H43"/>
    <mergeCell ref="B50:H50"/>
    <mergeCell ref="B51:H51"/>
    <mergeCell ref="B52:H52"/>
    <mergeCell ref="B47:H47"/>
    <mergeCell ref="B48:H48"/>
    <mergeCell ref="B49:H49"/>
  </mergeCells>
  <conditionalFormatting sqref="D34:H34">
    <cfRule type="cellIs" dxfId="8" priority="6" operator="greaterThan">
      <formula>10</formula>
    </cfRule>
    <cfRule type="cellIs" dxfId="7" priority="7" operator="lessThan">
      <formula>2</formula>
    </cfRule>
    <cfRule type="expression" dxfId="6" priority="8">
      <formula>"&lt;=2"</formula>
    </cfRule>
    <cfRule type="expression" dxfId="5" priority="9">
      <formula>"&gt;=10"</formula>
    </cfRule>
  </conditionalFormatting>
  <conditionalFormatting sqref="D36">
    <cfRule type="cellIs" dxfId="4" priority="5" operator="lessThan">
      <formula>$D$35*2.5</formula>
    </cfRule>
  </conditionalFormatting>
  <conditionalFormatting sqref="E36">
    <cfRule type="cellIs" dxfId="3" priority="4" operator="lessThan">
      <formula>$E$35*2.5</formula>
    </cfRule>
  </conditionalFormatting>
  <conditionalFormatting sqref="F36">
    <cfRule type="cellIs" dxfId="2" priority="3" operator="lessThan">
      <formula>$F$35*2.5</formula>
    </cfRule>
  </conditionalFormatting>
  <conditionalFormatting sqref="G36">
    <cfRule type="cellIs" dxfId="1" priority="2" operator="lessThan">
      <formula>$G$35*2.5</formula>
    </cfRule>
  </conditionalFormatting>
  <conditionalFormatting sqref="H36">
    <cfRule type="cellIs" dxfId="0" priority="1" operator="lessThan">
      <formula>$H$35*2.5</formula>
    </cfRule>
  </conditionalFormatting>
  <pageMargins left="0.7" right="0.7" top="0.75" bottom="0.75" header="0.3" footer="0.3"/>
  <pageSetup paperSize="3" scale="47" orientation="portrait" horizontalDpi="3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System Curve</vt:lpstr>
      <vt:lpstr>VS Pump Data</vt:lpstr>
      <vt:lpstr>Pump Curve</vt:lpstr>
      <vt:lpstr>Pump Design Summary</vt:lpstr>
      <vt:lpstr>Size_Index</vt:lpstr>
    </vt:vector>
  </TitlesOfParts>
  <Company>Seattle Public Utilities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Nofziger, Jesse</dc:creator>
  <cp:lastModifiedBy>Nofziger, Jesse</cp:lastModifiedBy>
  <dcterms:created xsi:type="dcterms:W3CDTF">2014-12-29T21:02:58Z</dcterms:created>
  <dcterms:modified xsi:type="dcterms:W3CDTF">2020-05-11T23:05:47Z</dcterms:modified>
</cp:coreProperties>
</file>