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attlegov.sharepoint.com/sites/SDOT_Dev_Rev_GRP/Shared Documents/BGS Modernization/2026 LAUNCH/"/>
    </mc:Choice>
  </mc:AlternateContent>
  <xr:revisionPtr revIDLastSave="0" documentId="8_{1A5D7CFD-C169-474B-B0E2-2E252A0B354A}" xr6:coauthVersionLast="47" xr6:coauthVersionMax="47" xr10:uidLastSave="{00000000-0000-0000-0000-000000000000}"/>
  <workbookProtection workbookAlgorithmName="SHA-512" workbookHashValue="HroR2llp3GoLe65tr8pkvGX2PEWS+TT5HHsMHBq65QvfssnWIfZyap5IVbX2hf2na0Zc9t/E7APrOw8zRa8Z4A==" workbookSaltValue="xX1Gt+nqqMuokW8E/HJKDw==" workbookSpinCount="100000" lockStructure="1"/>
  <bookViews>
    <workbookView xWindow="-29600" yWindow="4510" windowWidth="28800" windowHeight="15370" tabRatio="487" xr2:uid="{E594E252-72BA-4460-829E-CF1FD832EBA5}"/>
  </bookViews>
  <sheets>
    <sheet name="Non-Curbed Roadway Worksheet" sheetId="1" r:id="rId1"/>
    <sheet name="NC Calcs" sheetId="3" state="hidden" r:id="rId2"/>
    <sheet name="Errors" sheetId="5" state="hidden" r:id="rId3"/>
    <sheet name="Global Constants" sheetId="4" state="hidden" r:id="rId4"/>
    <sheet name="Data Tables" sheetId="2" state="hidden" r:id="rId5"/>
  </sheets>
  <definedNames>
    <definedName name="_nc_ErrorFlag">Errors!$B$12</definedName>
    <definedName name="_nc_ErrorFlag_Emax">Errors!$K$12</definedName>
    <definedName name="_nc_ErrorFlag_Emin">Errors!$J$12</definedName>
    <definedName name="_nc_ErrorFlag_F">Errors!$G$12</definedName>
    <definedName name="_nc_ErrorFlag_R">Errors!$H$12</definedName>
    <definedName name="_nc_ErrorFlag_S">Errors!$I$12</definedName>
    <definedName name="_nc_errorList">Errors!$B$2:$B$11</definedName>
    <definedName name="_nc_errorString">Errors!$B$13</definedName>
    <definedName name="G_H_CURB">'Global Constants'!$E$5</definedName>
    <definedName name="G_S_MAX">'Global Constants'!$E$6</definedName>
    <definedName name="G_S_MAXBACKIN">'Global Constants'!$E$7</definedName>
    <definedName name="G_S_R">'Global Constants'!$E$3</definedName>
    <definedName name="G_S_W">'Global Constants'!$E$4</definedName>
    <definedName name="List_StreetTypes">_xlfn.ANCHORARRAY('Data Tables'!$G$19)</definedName>
    <definedName name="List_ZoneCategories">_xlfn.ANCHORARRAY('Data Tables'!$G$32)</definedName>
    <definedName name="maxSlopeBackup">'Global Constants'!$E$4</definedName>
    <definedName name="maxSlopeForward">'Global Constants'!$E$3</definedName>
    <definedName name="nc_C">'NC Calcs'!$E$17</definedName>
    <definedName name="nc_E_max">'NC Calcs'!$E$30</definedName>
    <definedName name="nc_E_min">'NC Calcs'!$E$31</definedName>
    <definedName name="nc_enter_C">'Non-Curbed Roadway Worksheet'!$AS$19</definedName>
    <definedName name="nc_enter_L">'Non-Curbed Roadway Worksheet'!$R$13</definedName>
    <definedName name="nc_enter_P">'Non-Curbed Roadway Worksheet'!$AK$13</definedName>
    <definedName name="NC_enter_PZone_bool">'Non-Curbed Roadway Worksheet'!$I$6</definedName>
    <definedName name="nc_enter_RapidRide_bool">'Non-Curbed Roadway Worksheet'!$AA$6</definedName>
    <definedName name="nc_enter_StreetType">'Non-Curbed Roadway Worksheet'!$P$5</definedName>
    <definedName name="NC_enter_ZoneCategory">'Non-Curbed Roadway Worksheet'!$G$5</definedName>
    <definedName name="nc_F">'NC Calcs'!$E$25</definedName>
    <definedName name="nc_G">'NC Calcs'!$E$27</definedName>
    <definedName name="nc_H_curb">'NC Calcs'!$E$6</definedName>
    <definedName name="nc_L">'NC Calcs'!$E$19</definedName>
    <definedName name="nc_L_dway">'NC Calcs'!$E$29</definedName>
    <definedName name="nc_P">'NC Calcs'!$E$18</definedName>
    <definedName name="nc_Pzone_bool">'NC Calcs'!$E$14</definedName>
    <definedName name="nc_R">'NC Calcs'!$E$28</definedName>
    <definedName name="nc_RapidRide_bool">'NC Calcs'!$E$15</definedName>
    <definedName name="nc_S_max">'NC Calcs'!$E$7</definedName>
    <definedName name="nc_S_maxbackin">'NC Calcs'!$E$8</definedName>
    <definedName name="nc_S_r">'NC Calcs'!$E$4</definedName>
    <definedName name="nc_S_T_max">'NC Calcs'!$E$23</definedName>
    <definedName name="nc_S_w">'NC Calcs'!$E$5</definedName>
    <definedName name="nc_StreetType">'NC Calcs'!$E$12</definedName>
    <definedName name="nc_TurnAround_bool">'NC Calcs'!$E$13</definedName>
    <definedName name="nc_W_r">'NC Calcs'!$E$26</definedName>
    <definedName name="nc_W_row">'NC Calcs'!$E$21</definedName>
    <definedName name="nc_W_S_min">'NC Calcs'!$E$22</definedName>
    <definedName name="nc_ZoneCategory">'NC Calcs'!$E$11</definedName>
    <definedName name="_xlnm.Print_Area" localSheetId="0">'Non-Curbed Roadway Worksheet'!$A$1:$AW$35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 a="1"/>
  <c r="F10" i="5" s="1"/>
  <c r="I27" i="1"/>
  <c r="E13" i="3"/>
  <c r="E19" i="3" l="1" a="1"/>
  <c r="E19" i="3" s="1"/>
  <c r="E18" i="3" a="1"/>
  <c r="E18" i="3" s="1"/>
  <c r="B8" i="5" s="1"/>
  <c r="E17" i="3" a="1"/>
  <c r="E17" i="3" s="1"/>
  <c r="B7" i="5" s="1"/>
  <c r="E15" i="3" a="1"/>
  <c r="E15" i="3" s="1"/>
  <c r="B6" i="5" s="1"/>
  <c r="E14" i="3" a="1"/>
  <c r="E14" i="3" s="1"/>
  <c r="B5" i="5" s="1"/>
  <c r="E12" i="3" a="1"/>
  <c r="E12" i="3" s="1"/>
  <c r="B3" i="5" s="1"/>
  <c r="E11" i="3" a="1"/>
  <c r="E11" i="3" s="1"/>
  <c r="E21" i="3" s="1"/>
  <c r="E3" i="5"/>
  <c r="E5" i="5"/>
  <c r="E6" i="5"/>
  <c r="AO35" i="1"/>
  <c r="E9" i="5"/>
  <c r="E8" i="5"/>
  <c r="E7" i="5"/>
  <c r="E4" i="5"/>
  <c r="E2" i="5"/>
  <c r="E5" i="3"/>
  <c r="E4" i="3"/>
  <c r="E22" i="3" l="1" a="1"/>
  <c r="E22" i="3" s="1"/>
  <c r="E26" i="3" s="1"/>
  <c r="E25" i="3"/>
  <c r="E29" i="3" s="1"/>
  <c r="B2" i="5"/>
  <c r="B4" i="5"/>
  <c r="B9" i="5"/>
  <c r="E6" i="3"/>
  <c r="G32" i="2" a="1"/>
  <c r="G32" i="2" s="1"/>
  <c r="T3" i="2"/>
  <c r="X3" i="2" s="1"/>
  <c r="T4" i="2"/>
  <c r="AB4" i="2" s="1"/>
  <c r="T5" i="2"/>
  <c r="X5" i="2" s="1"/>
  <c r="T6" i="2"/>
  <c r="AB6" i="2" s="1"/>
  <c r="T7" i="2"/>
  <c r="AB7" i="2" s="1"/>
  <c r="T8" i="2"/>
  <c r="AB8" i="2" s="1"/>
  <c r="T9" i="2"/>
  <c r="X9" i="2" s="1"/>
  <c r="T10" i="2"/>
  <c r="AB10" i="2" s="1"/>
  <c r="T11" i="2"/>
  <c r="X11" i="2" s="1"/>
  <c r="T12" i="2"/>
  <c r="AB12" i="2" s="1"/>
  <c r="T13" i="2"/>
  <c r="X13" i="2" s="1"/>
  <c r="T14" i="2"/>
  <c r="AB14" i="2" s="1"/>
  <c r="T15" i="2"/>
  <c r="AB15" i="2" s="1"/>
  <c r="T16" i="2"/>
  <c r="AB16" i="2" s="1"/>
  <c r="S3" i="2"/>
  <c r="W3" i="2" s="1"/>
  <c r="S4" i="2"/>
  <c r="AA4" i="2" s="1"/>
  <c r="S5" i="2"/>
  <c r="W5" i="2" s="1"/>
  <c r="S6" i="2"/>
  <c r="AA6" i="2" s="1"/>
  <c r="S7" i="2"/>
  <c r="W7" i="2" s="1"/>
  <c r="S8" i="2"/>
  <c r="AA8" i="2" s="1"/>
  <c r="S9" i="2"/>
  <c r="W9" i="2" s="1"/>
  <c r="S10" i="2"/>
  <c r="AA10" i="2" s="1"/>
  <c r="S11" i="2"/>
  <c r="W11" i="2" s="1"/>
  <c r="S12" i="2"/>
  <c r="AA12" i="2" s="1"/>
  <c r="S13" i="2"/>
  <c r="W13" i="2" s="1"/>
  <c r="S14" i="2"/>
  <c r="AA14" i="2" s="1"/>
  <c r="S15" i="2"/>
  <c r="W15" i="2" s="1"/>
  <c r="S16" i="2"/>
  <c r="AA16" i="2" s="1"/>
  <c r="R3" i="2"/>
  <c r="V3" i="2" s="1"/>
  <c r="R4" i="2"/>
  <c r="Z4" i="2" s="1"/>
  <c r="R5" i="2"/>
  <c r="Z5" i="2" s="1"/>
  <c r="R6" i="2"/>
  <c r="V6" i="2" s="1"/>
  <c r="R7" i="2"/>
  <c r="V7" i="2" s="1"/>
  <c r="R8" i="2"/>
  <c r="V8" i="2" s="1"/>
  <c r="R9" i="2"/>
  <c r="V9" i="2" s="1"/>
  <c r="R10" i="2"/>
  <c r="Z10" i="2" s="1"/>
  <c r="R11" i="2"/>
  <c r="V11" i="2" s="1"/>
  <c r="R12" i="2"/>
  <c r="Z12" i="2" s="1"/>
  <c r="R13" i="2"/>
  <c r="V13" i="2" s="1"/>
  <c r="R14" i="2"/>
  <c r="Z14" i="2" s="1"/>
  <c r="R15" i="2"/>
  <c r="V15" i="2" s="1"/>
  <c r="R16" i="2"/>
  <c r="V16" i="2" s="1"/>
  <c r="Q3" i="2"/>
  <c r="U3" i="2" s="1"/>
  <c r="Q4" i="2"/>
  <c r="Y4" i="2" s="1"/>
  <c r="Q5" i="2"/>
  <c r="U5" i="2" s="1"/>
  <c r="Q6" i="2"/>
  <c r="Y6" i="2" s="1"/>
  <c r="Q7" i="2"/>
  <c r="U7" i="2" s="1"/>
  <c r="Q8" i="2"/>
  <c r="U8" i="2" s="1"/>
  <c r="Q9" i="2"/>
  <c r="U9" i="2" s="1"/>
  <c r="Q10" i="2"/>
  <c r="U10" i="2" s="1"/>
  <c r="Q11" i="2"/>
  <c r="U11" i="2" s="1"/>
  <c r="Q12" i="2"/>
  <c r="Y12" i="2" s="1"/>
  <c r="Q13" i="2"/>
  <c r="U13" i="2" s="1"/>
  <c r="Q14" i="2"/>
  <c r="Y14" i="2" s="1"/>
  <c r="Q15" i="2"/>
  <c r="U15" i="2" s="1"/>
  <c r="Q16" i="2"/>
  <c r="Y16" i="2" s="1"/>
  <c r="G19" i="2" a="1"/>
  <c r="G19" i="2" s="1"/>
  <c r="E27" i="3" l="1" a="1"/>
  <c r="E27" i="3" s="1"/>
  <c r="E28" i="3" s="1" a="1"/>
  <c r="E28" i="3" s="1"/>
  <c r="B11" i="5"/>
  <c r="AB9" i="2"/>
  <c r="AB11" i="2"/>
  <c r="Y9" i="2"/>
  <c r="Z15" i="2"/>
  <c r="Z7" i="2"/>
  <c r="AA13" i="2"/>
  <c r="AA5" i="2"/>
  <c r="Y10" i="2"/>
  <c r="Y15" i="2"/>
  <c r="Y7" i="2"/>
  <c r="Z13" i="2"/>
  <c r="AA11" i="2"/>
  <c r="Z16" i="2"/>
  <c r="Z6" i="2"/>
  <c r="Y13" i="2"/>
  <c r="Y5" i="2"/>
  <c r="Z11" i="2"/>
  <c r="Z3" i="2"/>
  <c r="AA9" i="2"/>
  <c r="Z8" i="2"/>
  <c r="Y8" i="2"/>
  <c r="AB13" i="2"/>
  <c r="AB5" i="2"/>
  <c r="Y11" i="2"/>
  <c r="Y3" i="2"/>
  <c r="Z9" i="2"/>
  <c r="AA15" i="2"/>
  <c r="AA7" i="2"/>
  <c r="AB3" i="2"/>
  <c r="AA3" i="2"/>
  <c r="U16" i="2"/>
  <c r="W12" i="2"/>
  <c r="U14" i="2"/>
  <c r="U6" i="2"/>
  <c r="V12" i="2"/>
  <c r="V4" i="2"/>
  <c r="W10" i="2"/>
  <c r="X16" i="2"/>
  <c r="X8" i="2"/>
  <c r="V14" i="2"/>
  <c r="V5" i="2"/>
  <c r="X15" i="2"/>
  <c r="X7" i="2"/>
  <c r="X10" i="2"/>
  <c r="U12" i="2"/>
  <c r="U4" i="2"/>
  <c r="V10" i="2"/>
  <c r="W16" i="2"/>
  <c r="W8" i="2"/>
  <c r="X14" i="2"/>
  <c r="X6" i="2"/>
  <c r="W4" i="2"/>
  <c r="W14" i="2"/>
  <c r="W6" i="2"/>
  <c r="X12" i="2"/>
  <c r="X4" i="2"/>
  <c r="E32" i="2" l="1"/>
  <c r="E33" i="2"/>
  <c r="E34" i="2"/>
  <c r="E35" i="2"/>
  <c r="E36" i="2"/>
  <c r="E37" i="2"/>
  <c r="E38" i="2"/>
  <c r="E8" i="3"/>
  <c r="E7" i="3"/>
  <c r="E23" i="3" s="1" a="1"/>
  <c r="E23" i="3" s="1"/>
  <c r="E31" i="3" s="1"/>
  <c r="E30" i="3" l="1"/>
  <c r="B10" i="5"/>
  <c r="D12" i="5" s="1" a="1"/>
  <c r="D12" i="5" s="1"/>
  <c r="K12" i="5" l="1" a="1"/>
  <c r="K12" i="5" s="1"/>
  <c r="J12" i="5" a="1"/>
  <c r="J12" i="5" s="1"/>
  <c r="I12" i="5" a="1"/>
  <c r="I12" i="5" s="1"/>
  <c r="G12" i="5" a="1"/>
  <c r="G12" i="5" s="1"/>
  <c r="H12" i="5" a="1"/>
  <c r="H12" i="5" s="1"/>
  <c r="B12" i="5" a="1"/>
  <c r="B12" i="5" s="1"/>
  <c r="C28" i="1" l="1" a="1"/>
  <c r="C28" i="1" s="1"/>
  <c r="V10" i="1" a="1"/>
  <c r="V10" i="1" s="1"/>
  <c r="C14" i="1" a="1"/>
  <c r="C14" i="1" s="1"/>
  <c r="AI26" i="1" a="1"/>
  <c r="AI26" i="1" s="1"/>
  <c r="E11" i="5" l="1"/>
  <c r="E10" i="5"/>
  <c r="B13" i="5" l="1" a="1"/>
  <c r="B13" i="5" s="1"/>
  <c r="J27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<sst xmlns="http://schemas.openxmlformats.org/spreadsheetml/2006/main" count="365" uniqueCount="317">
  <si>
    <t>DRIVEWAY AND FRONTAGE SELECTIONS</t>
  </si>
  <si>
    <t>PROJECT INFORMATION</t>
  </si>
  <si>
    <t>Fill out all blue fields. Results are displayed in the green fields.</t>
  </si>
  <si>
    <t xml:space="preserve">Click here for detailed instructions on the SDOT website </t>
  </si>
  <si>
    <t xml:space="preserve">SDCI Permit No: </t>
  </si>
  <si>
    <t xml:space="preserve">Street Address: </t>
  </si>
  <si>
    <t>Zone Category:</t>
  </si>
  <si>
    <t>Street Type:</t>
  </si>
  <si>
    <t xml:space="preserve">Driveway Identifier: </t>
  </si>
  <si>
    <t>Urban Village P-Zone:</t>
  </si>
  <si>
    <t>Is the driveway within a block of a RapidRide stop:</t>
  </si>
  <si>
    <t xml:space="preserve">Date Prepared: </t>
  </si>
  <si>
    <t>Required ROW Setback or ROW Dedication "F" =</t>
  </si>
  <si>
    <t>EXISTING PROPERTY LINE TO FACE OF PARKING</t>
  </si>
  <si>
    <t>CENTERLINE TO EXISTING PROPERTY LINE</t>
  </si>
  <si>
    <t>MAX ELEVATION</t>
  </si>
  <si>
    <t xml:space="preserve">Distance "L" = </t>
  </si>
  <si>
    <t xml:space="preserve">Distance "P" =  </t>
  </si>
  <si>
    <r>
      <t>E</t>
    </r>
    <r>
      <rPr>
        <b/>
        <vertAlign val="subscript"/>
        <sz val="11"/>
        <color theme="1"/>
        <rFont val="Aptos Narrow"/>
        <family val="2"/>
        <scheme val="minor"/>
      </rPr>
      <t>max</t>
    </r>
    <r>
      <rPr>
        <b/>
        <sz val="11"/>
        <color theme="1"/>
        <rFont val="Aptos Narrow"/>
        <family val="2"/>
        <scheme val="minor"/>
      </rPr>
      <t>=</t>
    </r>
  </si>
  <si>
    <t>ROW Dedication or ROW Setback line</t>
  </si>
  <si>
    <t>Existing Property Line</t>
  </si>
  <si>
    <t>Range of Allowable Parking Area Elevations</t>
  </si>
  <si>
    <t>ROADWAY RIGHT-OF-WAY CENTERLINE</t>
  </si>
  <si>
    <t>Face of Parking Area</t>
  </si>
  <si>
    <t xml:space="preserve">Elevation "C" =  </t>
  </si>
  <si>
    <t>Max Slope = 15%</t>
  </si>
  <si>
    <t>Edge of Roadway</t>
  </si>
  <si>
    <t>Shoulder</t>
  </si>
  <si>
    <t>Roadway Pavement</t>
  </si>
  <si>
    <t xml:space="preserve">Elevation "R" = </t>
  </si>
  <si>
    <t>MIN ELEVATION</t>
  </si>
  <si>
    <t>Hold elevation, Begin Vertical Curve / Driveway Grade Break</t>
  </si>
  <si>
    <r>
      <t>E</t>
    </r>
    <r>
      <rPr>
        <b/>
        <vertAlign val="subscript"/>
        <sz val="11"/>
        <color theme="1"/>
        <rFont val="Aptos Narrow"/>
        <family val="2"/>
        <scheme val="minor"/>
      </rPr>
      <t>min</t>
    </r>
    <r>
      <rPr>
        <b/>
        <sz val="11"/>
        <color theme="1"/>
        <rFont val="Aptos Narrow"/>
        <family val="2"/>
        <scheme val="minor"/>
      </rPr>
      <t>=</t>
    </r>
  </si>
  <si>
    <t>Applicant notes (optional):</t>
  </si>
  <si>
    <t>PARKING AND DRIVEWAY TO STREET CONNECTION CALCULATOR</t>
  </si>
  <si>
    <t>Non-Curbed Roadway Version NC.2607</t>
  </si>
  <si>
    <t>Step</t>
  </si>
  <si>
    <t>Name</t>
  </si>
  <si>
    <t>Letter</t>
  </si>
  <si>
    <t>Excel Named Range</t>
  </si>
  <si>
    <t>Value</t>
  </si>
  <si>
    <t>Units</t>
  </si>
  <si>
    <t>Type</t>
  </si>
  <si>
    <t>Notes</t>
  </si>
  <si>
    <t>Input Variables</t>
  </si>
  <si>
    <t>Constant Variables (Copied from Global Constants Tab)</t>
  </si>
  <si>
    <t>C1</t>
  </si>
  <si>
    <t>Non-Non-Curbed Roadway Roadway Slope</t>
  </si>
  <si>
    <r>
      <t>S</t>
    </r>
    <r>
      <rPr>
        <vertAlign val="subscript"/>
        <sz val="11"/>
        <color theme="1"/>
        <rFont val="Aptos Narrow"/>
        <family val="2"/>
        <scheme val="minor"/>
      </rPr>
      <t>R</t>
    </r>
  </si>
  <si>
    <t>nc_S_r</t>
  </si>
  <si>
    <t>percent</t>
  </si>
  <si>
    <t>C2</t>
  </si>
  <si>
    <t>Non-Non-Curbed Roadway Sidewalk Slope</t>
  </si>
  <si>
    <r>
      <t>S</t>
    </r>
    <r>
      <rPr>
        <vertAlign val="subscript"/>
        <sz val="11"/>
        <color theme="1"/>
        <rFont val="Aptos Narrow"/>
        <family val="2"/>
        <scheme val="minor"/>
      </rPr>
      <t>W</t>
    </r>
  </si>
  <si>
    <t>nc_S_w</t>
  </si>
  <si>
    <t>C3</t>
  </si>
  <si>
    <t>Non-Curbed Roadway Curb Height</t>
  </si>
  <si>
    <r>
      <t>H</t>
    </r>
    <r>
      <rPr>
        <vertAlign val="subscript"/>
        <sz val="11"/>
        <color theme="1"/>
        <rFont val="Aptos Narrow"/>
        <family val="2"/>
        <scheme val="minor"/>
      </rPr>
      <t>CURB</t>
    </r>
  </si>
  <si>
    <t>nc_H_curb</t>
  </si>
  <si>
    <t>ft</t>
  </si>
  <si>
    <t>number</t>
  </si>
  <si>
    <t>C4</t>
  </si>
  <si>
    <t>Non-Curbed Roadway Max Driveway Slope</t>
  </si>
  <si>
    <r>
      <t>S</t>
    </r>
    <r>
      <rPr>
        <vertAlign val="subscript"/>
        <sz val="11"/>
        <color theme="1"/>
        <rFont val="Aptos Narrow"/>
        <family val="2"/>
        <scheme val="minor"/>
      </rPr>
      <t>MAX</t>
    </r>
  </si>
  <si>
    <t>nc_S_max</t>
  </si>
  <si>
    <t>C5</t>
  </si>
  <si>
    <t>Non-Curbed Roadway Max Back-In Driveway Slope</t>
  </si>
  <si>
    <r>
      <t>S</t>
    </r>
    <r>
      <rPr>
        <vertAlign val="subscript"/>
        <sz val="11"/>
        <color theme="1"/>
        <rFont val="Aptos Narrow"/>
        <family val="2"/>
        <scheme val="minor"/>
      </rPr>
      <t>MAX-BACKIN</t>
    </r>
  </si>
  <si>
    <t>nc_S_maxbackin</t>
  </si>
  <si>
    <t>Only used if Step S3 is used to indicate that the driveway doesn't accommodate turning around requiring backing into the right-of-way</t>
  </si>
  <si>
    <t>Non-Curbed Roadway User Input</t>
  </si>
  <si>
    <t>Non-Curbed Roadway Driveway and Frontage Information</t>
  </si>
  <si>
    <t>S1</t>
  </si>
  <si>
    <t>Non-Curbed Roadway Zone Category</t>
  </si>
  <si>
    <t>nc_ZoneCategory</t>
  </si>
  <si>
    <t>string</t>
  </si>
  <si>
    <t>S2</t>
  </si>
  <si>
    <t>Non-Curbed Roadway Street Type</t>
  </si>
  <si>
    <t>nc_StreetType</t>
  </si>
  <si>
    <t>S3</t>
  </si>
  <si>
    <t>Non-Curbed Roadway Turn Around in Driveway</t>
  </si>
  <si>
    <t>nc_TurnAround_bool</t>
  </si>
  <si>
    <t>bool</t>
  </si>
  <si>
    <t>Currently locked to "yes", add user input on worksheet in a range named "nc_enter_TurnAround_bool" with options "Yes" and "No" to enable switching</t>
  </si>
  <si>
    <t>S4</t>
  </si>
  <si>
    <t>Non-Curbed Roadway Urban Village P-Zone</t>
  </si>
  <si>
    <t>nc_Pzone_bool</t>
  </si>
  <si>
    <t>S5</t>
  </si>
  <si>
    <t>Non-Curbed Roadway Rapid Ride Station</t>
  </si>
  <si>
    <t>nc_RapidRide_bool</t>
  </si>
  <si>
    <t>Non-Curbed Roadway Worksheet Values</t>
  </si>
  <si>
    <t>W1</t>
  </si>
  <si>
    <t>Non-Curbed Roadway ROW Centerline Elevation</t>
  </si>
  <si>
    <t>C</t>
  </si>
  <si>
    <t>nc_C</t>
  </si>
  <si>
    <t>W2</t>
  </si>
  <si>
    <t>Centerline To Existing Property Line Or Proposed Setback</t>
  </si>
  <si>
    <t>P</t>
  </si>
  <si>
    <t>nc_P</t>
  </si>
  <si>
    <t>W3</t>
  </si>
  <si>
    <t>Existing Property Line To Face Of Parking</t>
  </si>
  <si>
    <t>L</t>
  </si>
  <si>
    <t>nc_L</t>
  </si>
  <si>
    <t>Non-Curbed Roadway Data Lookup and Constants Calculation</t>
  </si>
  <si>
    <t>L1</t>
  </si>
  <si>
    <t>Non-Curbed Roadway Minimum ROW by Zone Category</t>
  </si>
  <si>
    <r>
      <t>W</t>
    </r>
    <r>
      <rPr>
        <vertAlign val="subscript"/>
        <sz val="11"/>
        <color theme="1"/>
        <rFont val="Aptos Narrow"/>
        <family val="2"/>
        <scheme val="minor"/>
      </rPr>
      <t>ROW</t>
    </r>
  </si>
  <si>
    <t>nc_W_row</t>
  </si>
  <si>
    <t>L2</t>
  </si>
  <si>
    <t>Minimum Sidewalk Width by Street Type, P-Zone, and Rapid Ride</t>
  </si>
  <si>
    <r>
      <t>W</t>
    </r>
    <r>
      <rPr>
        <vertAlign val="subscript"/>
        <sz val="11"/>
        <color theme="1"/>
        <rFont val="Aptos Narrow"/>
        <family val="2"/>
        <scheme val="minor"/>
      </rPr>
      <t>S-MIN</t>
    </r>
  </si>
  <si>
    <t>nc_W_S_min</t>
  </si>
  <si>
    <t>L3</t>
  </si>
  <si>
    <t>Non-Curbed Roadway Max Driveway Slope by vehicle turnaround in driveway</t>
  </si>
  <si>
    <r>
      <t>S</t>
    </r>
    <r>
      <rPr>
        <vertAlign val="subscript"/>
        <sz val="11"/>
        <color theme="1"/>
        <rFont val="Aptos Narrow"/>
        <family val="2"/>
        <scheme val="minor"/>
      </rPr>
      <t>T-Max</t>
    </r>
  </si>
  <si>
    <t>nc_S_T_max</t>
  </si>
  <si>
    <t>Non-Curbed Roadway Calculations</t>
  </si>
  <si>
    <t>NC1</t>
  </si>
  <si>
    <t>Non-Curbed Roadway Future Required ROW Offset</t>
  </si>
  <si>
    <t>F</t>
  </si>
  <si>
    <t>nc_F</t>
  </si>
  <si>
    <t>NC2</t>
  </si>
  <si>
    <t>Non-Curbed Roadway Half Pavement Width</t>
  </si>
  <si>
    <r>
      <t>W</t>
    </r>
    <r>
      <rPr>
        <vertAlign val="subscript"/>
        <sz val="11"/>
        <color theme="1"/>
        <rFont val="Aptos Narrow"/>
        <family val="2"/>
        <scheme val="minor"/>
      </rPr>
      <t>R</t>
    </r>
  </si>
  <si>
    <t>nc_W_r</t>
  </si>
  <si>
    <t>NC3</t>
  </si>
  <si>
    <t>Non-Curbed Roadway Top of Curb Elevation</t>
  </si>
  <si>
    <t>G</t>
  </si>
  <si>
    <t>nc_G</t>
  </si>
  <si>
    <t>NC4</t>
  </si>
  <si>
    <t>Non-Curbed Roadway Future Property Line Elevation</t>
  </si>
  <si>
    <t>R</t>
  </si>
  <si>
    <t>nc_R</t>
  </si>
  <si>
    <t>NC5</t>
  </si>
  <si>
    <t>Non-Curbed Roadway Driveway Length</t>
  </si>
  <si>
    <r>
      <t>L</t>
    </r>
    <r>
      <rPr>
        <vertAlign val="subscript"/>
        <sz val="11"/>
        <color theme="1"/>
        <rFont val="Aptos Narrow"/>
        <family val="2"/>
        <scheme val="minor"/>
      </rPr>
      <t>DWAY</t>
    </r>
  </si>
  <si>
    <t>nc_L_dway</t>
  </si>
  <si>
    <t>NC6</t>
  </si>
  <si>
    <t>Non-Curbed Roadway Max Elevation</t>
  </si>
  <si>
    <r>
      <t>E</t>
    </r>
    <r>
      <rPr>
        <vertAlign val="subscript"/>
        <sz val="11"/>
        <color theme="1"/>
        <rFont val="Aptos Narrow"/>
        <family val="2"/>
        <scheme val="minor"/>
      </rPr>
      <t>MAX</t>
    </r>
  </si>
  <si>
    <t>nc_E_max</t>
  </si>
  <si>
    <t>NC7</t>
  </si>
  <si>
    <t>Non-Curbed Roadway Min Elevation</t>
  </si>
  <si>
    <r>
      <t>E</t>
    </r>
    <r>
      <rPr>
        <vertAlign val="subscript"/>
        <sz val="11"/>
        <color theme="1"/>
        <rFont val="Aptos Narrow"/>
        <family val="2"/>
        <scheme val="minor"/>
      </rPr>
      <t>MIN</t>
    </r>
  </si>
  <si>
    <t>nc_E_min</t>
  </si>
  <si>
    <t>Error Name</t>
  </si>
  <si>
    <t>Error Logic</t>
  </si>
  <si>
    <t>Error Priority</t>
  </si>
  <si>
    <t>Use String</t>
  </si>
  <si>
    <t>Error User Language</t>
  </si>
  <si>
    <t>Error F</t>
  </si>
  <si>
    <t>Error R</t>
  </si>
  <si>
    <t>Error S</t>
  </si>
  <si>
    <t>Error Emin</t>
  </si>
  <si>
    <t>Error Emax</t>
  </si>
  <si>
    <t>S1 Input Missing</t>
  </si>
  <si>
    <t>Zone Category</t>
  </si>
  <si>
    <t>S2 Input Missing</t>
  </si>
  <si>
    <t>Street Type</t>
  </si>
  <si>
    <t>S3 Input Missing</t>
  </si>
  <si>
    <t>Turnaround in Driveway</t>
  </si>
  <si>
    <t>S4 Input Missing</t>
  </si>
  <si>
    <t>P-Zone</t>
  </si>
  <si>
    <t>S5 Input Missing</t>
  </si>
  <si>
    <t>Rapid Ride</t>
  </si>
  <si>
    <t>W1 Input Missing</t>
  </si>
  <si>
    <t>Elevation "C"</t>
  </si>
  <si>
    <t>W2 Input Missing</t>
  </si>
  <si>
    <t>Distance "P"</t>
  </si>
  <si>
    <t>W3 Input Missing</t>
  </si>
  <si>
    <t>Distance "L"</t>
  </si>
  <si>
    <t>Required Input Missing</t>
  </si>
  <si>
    <t>cr_error_MissingInput</t>
  </si>
  <si>
    <t>Driveway is shorter than Future ROW</t>
  </si>
  <si>
    <t>cr_error_DrivewayLength</t>
  </si>
  <si>
    <t>- Distance "L" is too short to accommodate the setback</t>
  </si>
  <si>
    <t>Error Flag</t>
  </si>
  <si>
    <t>cr_ErrorFlag</t>
  </si>
  <si>
    <t>Error String</t>
  </si>
  <si>
    <t>cr_errorString</t>
  </si>
  <si>
    <t>_nc_ErrorFlag_F</t>
  </si>
  <si>
    <t>_nc_ErrorFlag_R</t>
  </si>
  <si>
    <t>_nc_ErrorFlag_S</t>
  </si>
  <si>
    <t>_nc_ErrorFlag_Emin</t>
  </si>
  <si>
    <t>_nc_ErrorFlag_Emax</t>
  </si>
  <si>
    <t>Number</t>
  </si>
  <si>
    <t>Symbol</t>
  </si>
  <si>
    <t>Fixed by Code/Standards</t>
  </si>
  <si>
    <t>Roadway Pavement Slope</t>
  </si>
  <si>
    <t>G_S_R</t>
  </si>
  <si>
    <t>Standard Plan 400</t>
  </si>
  <si>
    <t>Sidewalk Slope</t>
  </si>
  <si>
    <t>G_S_W</t>
  </si>
  <si>
    <t>Curb Height</t>
  </si>
  <si>
    <t>G_H_CURB</t>
  </si>
  <si>
    <t>Standard Plan 410</t>
  </si>
  <si>
    <t>Max Driveway Slope</t>
  </si>
  <si>
    <t>G_S_MAX</t>
  </si>
  <si>
    <t>SMC 23.54.030.D.3.</t>
  </si>
  <si>
    <t>Max Back-In Driveway Slope</t>
  </si>
  <si>
    <t>G_S_MAXBACKIN</t>
  </si>
  <si>
    <t>SI 3.1 Construction of Roadways / Access Easements and Driveways Figure J</t>
  </si>
  <si>
    <t>Zones</t>
  </si>
  <si>
    <t>Abbreviated</t>
  </si>
  <si>
    <t>Existing Required ROW (ft) (Table A 23.53.015)</t>
  </si>
  <si>
    <t>ROW Width for Alleys Considered to be Improved (ft) (Table B 23.53.030)</t>
  </si>
  <si>
    <t>Warning</t>
  </si>
  <si>
    <t>STREET RIGHT-OF-WAY WIDTHS PER ROWIM</t>
  </si>
  <si>
    <r>
      <rPr>
        <b/>
        <sz val="11"/>
        <color theme="1"/>
        <rFont val="Aptos Narrow"/>
        <family val="2"/>
        <scheme val="minor"/>
      </rPr>
      <t>PDZ =</t>
    </r>
    <r>
      <rPr>
        <sz val="11"/>
        <color theme="1"/>
        <rFont val="Aptos Narrow"/>
        <family val="2"/>
        <scheme val="minor"/>
      </rPr>
      <t xml:space="preserve"> P-Zone
</t>
    </r>
    <r>
      <rPr>
        <b/>
        <sz val="11"/>
        <color theme="1"/>
        <rFont val="Aptos Narrow"/>
        <family val="2"/>
        <scheme val="minor"/>
      </rPr>
      <t xml:space="preserve">RR = </t>
    </r>
    <r>
      <rPr>
        <sz val="11"/>
        <color theme="1"/>
        <rFont val="Aptos Narrow"/>
        <family val="2"/>
        <scheme val="minor"/>
      </rPr>
      <t>Within a block of Rapid Ride Station</t>
    </r>
  </si>
  <si>
    <t>Residential, Neighborhood</t>
  </si>
  <si>
    <t>NR</t>
  </si>
  <si>
    <t>Include?</t>
  </si>
  <si>
    <t>40' Row</t>
  </si>
  <si>
    <t>52' ROW</t>
  </si>
  <si>
    <t>Desirable Frontage Zone</t>
  </si>
  <si>
    <t>Ped Clear Zone</t>
  </si>
  <si>
    <t>PDZ Ped Clear Zone</t>
  </si>
  <si>
    <t>RR Ped Clear Zone</t>
  </si>
  <si>
    <t>Landscape Zone</t>
  </si>
  <si>
    <t>RR Landscape Zone</t>
  </si>
  <si>
    <t>Total Minimum Width</t>
  </si>
  <si>
    <t>RR Total Minimum Width</t>
  </si>
  <si>
    <t>PDZ Total Minimum Width</t>
  </si>
  <si>
    <t>PDZ + RR Total Minimum Width</t>
  </si>
  <si>
    <t>40' ROW Pavement Width</t>
  </si>
  <si>
    <t>40' ROW RR Pavement Width</t>
  </si>
  <si>
    <t>40' ROW PDZ Pavement Width</t>
  </si>
  <si>
    <t>40' ROW PDZ+RR Pavement Width</t>
  </si>
  <si>
    <t>52' ROW Pavement Width</t>
  </si>
  <si>
    <t>52' ROW RR Pavement Width</t>
  </si>
  <si>
    <t>52' ROW PDZ Pavement Width</t>
  </si>
  <si>
    <t>52' ROW PDZ+RR Pavement Width</t>
  </si>
  <si>
    <t>Residential, Multifamily, Lowrise 1</t>
  </si>
  <si>
    <t>LR1</t>
  </si>
  <si>
    <t>Downtown</t>
  </si>
  <si>
    <t>Residential, Multifamily, Lowrise 2</t>
  </si>
  <si>
    <t>LR2</t>
  </si>
  <si>
    <t>Downtown Neighborhood</t>
  </si>
  <si>
    <t>Residential, Multifamily, Lowrise 3</t>
  </si>
  <si>
    <t>LR3</t>
  </si>
  <si>
    <t>Downtown Neighborhood Access</t>
  </si>
  <si>
    <t>Residential, Multifamily, Midrise</t>
  </si>
  <si>
    <t>MR</t>
  </si>
  <si>
    <t>Urban Village Main</t>
  </si>
  <si>
    <t>Residential, Multifamily, Highrise</t>
  </si>
  <si>
    <t>HR</t>
  </si>
  <si>
    <t>Urban Village Neighborhood</t>
  </si>
  <si>
    <t>Neighborhood Commercial 1</t>
  </si>
  <si>
    <t>Urban Village Neighborhood Access</t>
  </si>
  <si>
    <t>Neighborhood Commercial 2</t>
  </si>
  <si>
    <t>If the NC2 height limit is more than 40 feet, select the NC3 zone instead</t>
  </si>
  <si>
    <t>Urban Center Connector</t>
  </si>
  <si>
    <t>Neighborhood Commercial 3</t>
  </si>
  <si>
    <t>Neighborhood Corridor</t>
  </si>
  <si>
    <t>Seattle Mixed—South Lake Union</t>
  </si>
  <si>
    <t>SM-SLU</t>
  </si>
  <si>
    <t>Industrial Access</t>
  </si>
  <si>
    <t>Seattle Mixed—Dravus</t>
  </si>
  <si>
    <t>SM-D</t>
  </si>
  <si>
    <t>Minor Industrial Access</t>
  </si>
  <si>
    <t>Seattle Mixed—North Rainier</t>
  </si>
  <si>
    <t>SM-NR</t>
  </si>
  <si>
    <t>Neighborhood Yield</t>
  </si>
  <si>
    <t>Seattle Mixed - Rainier Beach</t>
  </si>
  <si>
    <t>SM-RB</t>
  </si>
  <si>
    <t>Neighborhood Yield (40' ROW)</t>
  </si>
  <si>
    <t>Seattle Mixed—University District</t>
  </si>
  <si>
    <t>SM-U</t>
  </si>
  <si>
    <t>Urban Curbless Street</t>
  </si>
  <si>
    <t>Seattle Mixed—Uptown</t>
  </si>
  <si>
    <t>SM-UP</t>
  </si>
  <si>
    <t>Neighborhood Curbless Street</t>
  </si>
  <si>
    <t>Seattle Mixed—Northgate</t>
  </si>
  <si>
    <t>SM-NG</t>
  </si>
  <si>
    <t>Commercial 1</t>
  </si>
  <si>
    <t>Street Types List</t>
  </si>
  <si>
    <t>Commercial 2</t>
  </si>
  <si>
    <t>Master Planned Community—Yesler Terrace</t>
  </si>
  <si>
    <t>MPC-YT</t>
  </si>
  <si>
    <t>Downtown Office Core 1</t>
  </si>
  <si>
    <t>DOC1</t>
  </si>
  <si>
    <t>Downtown Office Core 2</t>
  </si>
  <si>
    <t>DOC2</t>
  </si>
  <si>
    <t>Downtown Retail Core</t>
  </si>
  <si>
    <t>DRC</t>
  </si>
  <si>
    <t>Downtown Mixed Commercial</t>
  </si>
  <si>
    <t>DMC</t>
  </si>
  <si>
    <t>Downtown Mixed Residential</t>
  </si>
  <si>
    <t>DMR</t>
  </si>
  <si>
    <t>Pioneer Square Mixed</t>
  </si>
  <si>
    <t>PSM</t>
  </si>
  <si>
    <t>International District Mixed</t>
  </si>
  <si>
    <t>IDM</t>
  </si>
  <si>
    <t>International District Residential</t>
  </si>
  <si>
    <t>IDR</t>
  </si>
  <si>
    <t>Downtown Harborfront 1</t>
  </si>
  <si>
    <t>DH1</t>
  </si>
  <si>
    <t>Downtown Harborfront 2</t>
  </si>
  <si>
    <t>DH2</t>
  </si>
  <si>
    <t>Pike Market Mixed</t>
  </si>
  <si>
    <t>PMM</t>
  </si>
  <si>
    <t>Zone Category List</t>
  </si>
  <si>
    <t>General Industrial 1</t>
  </si>
  <si>
    <t>IG1</t>
  </si>
  <si>
    <t>General Industrial 2</t>
  </si>
  <si>
    <t>IG2</t>
  </si>
  <si>
    <t>Industrial Buffer</t>
  </si>
  <si>
    <t>IB</t>
  </si>
  <si>
    <t>Industrial Commercial</t>
  </si>
  <si>
    <t>IC</t>
  </si>
  <si>
    <t>Maritime Manufacturing and Logistics</t>
  </si>
  <si>
    <t>MML</t>
  </si>
  <si>
    <t>Industry and Innovation</t>
  </si>
  <si>
    <t>II</t>
  </si>
  <si>
    <t>Urban Industrial</t>
  </si>
  <si>
    <t>UI</t>
  </si>
  <si>
    <t>Table last updated per ORD 127376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</si>
</sst>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FT&quot;"/>
    <numFmt numFmtId="165" formatCode="0.0000"/>
  </numFmts>
  <fonts count="3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0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sz val="11"/>
      <name val="Aptos Display"/>
      <family val="2"/>
      <scheme val="major"/>
    </font>
    <font>
      <sz val="9"/>
      <color theme="1"/>
      <name val="Aptos Mono"/>
      <family val="3"/>
    </font>
    <font>
      <b/>
      <sz val="10"/>
      <color theme="1" tint="0.1499679555650502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vertAlign val="subscript"/>
      <sz val="11"/>
      <color theme="1"/>
      <name val="Aptos Narrow"/>
      <family val="2"/>
      <scheme val="minor"/>
    </font>
    <font>
      <b/>
      <sz val="11"/>
      <color theme="0"/>
      <name val="Aptos Display"/>
      <family val="2"/>
      <scheme val="major"/>
    </font>
    <font>
      <sz val="8"/>
      <name val="Aptos Narrow"/>
      <family val="2"/>
      <scheme val="minor"/>
    </font>
    <font>
      <sz val="10"/>
      <color theme="1" tint="0.499984740745262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 tint="-0.499984740745262"/>
      <name val="Aptos Display"/>
      <family val="2"/>
      <scheme val="major"/>
    </font>
    <font>
      <b/>
      <sz val="12"/>
      <color theme="0"/>
      <name val="Aptos Serif"/>
      <family val="1"/>
    </font>
    <font>
      <b/>
      <sz val="10"/>
      <color theme="1"/>
      <name val="Aptos Serif"/>
      <family val="1"/>
    </font>
    <font>
      <sz val="8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Serif"/>
      <family val="1"/>
    </font>
    <font>
      <sz val="9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color rgb="FF004089"/>
      <name val="Aptos Narrow"/>
      <family val="2"/>
      <scheme val="minor"/>
    </font>
    <font>
      <b/>
      <sz val="11"/>
      <color rgb="FF0D3512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46AD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7F7F7F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2060"/>
      </left>
      <right style="thin">
        <color indexed="64"/>
      </right>
      <top/>
      <bottom/>
      <diagonal/>
    </border>
    <border>
      <left style="thin">
        <color rgb="FF0046AD"/>
      </left>
      <right/>
      <top style="thin">
        <color rgb="FF0046AD"/>
      </top>
      <bottom style="thin">
        <color rgb="FF0046AD"/>
      </bottom>
      <diagonal/>
    </border>
    <border>
      <left/>
      <right/>
      <top style="thin">
        <color rgb="FF0046AD"/>
      </top>
      <bottom style="thin">
        <color rgb="FF0046AD"/>
      </bottom>
      <diagonal/>
    </border>
    <border>
      <left/>
      <right style="thin">
        <color rgb="FF0046AD"/>
      </right>
      <top style="thin">
        <color rgb="FF0046AD"/>
      </top>
      <bottom style="thin">
        <color rgb="FF0046AD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34" fillId="13" borderId="30" applyNumberFormat="0" applyAlignment="0" applyProtection="0"/>
    <xf numFmtId="0" fontId="5" fillId="2" borderId="0" applyBorder="0">
      <alignment horizontal="right"/>
    </xf>
    <xf numFmtId="164" fontId="33" fillId="3" borderId="10" applyNumberFormat="0" applyProtection="0">
      <alignment horizontal="center" vertical="center"/>
    </xf>
    <xf numFmtId="10" fontId="20" fillId="4" borderId="0" applyNumberFormat="0" applyAlignment="0">
      <alignment horizontal="center" vertical="center"/>
    </xf>
    <xf numFmtId="0" fontId="13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11" fillId="6" borderId="0" xfId="0" applyFont="1" applyFill="1" applyAlignment="1">
      <alignment horizontal="center"/>
    </xf>
    <xf numFmtId="10" fontId="0" fillId="6" borderId="0" xfId="1" applyNumberFormat="1" applyFont="1" applyFill="1" applyAlignment="1">
      <alignment horizontal="center"/>
    </xf>
    <xf numFmtId="0" fontId="2" fillId="2" borderId="0" xfId="0" applyFont="1" applyFill="1"/>
    <xf numFmtId="2" fontId="0" fillId="2" borderId="0" xfId="0" applyNumberFormat="1" applyFill="1" applyAlignment="1">
      <alignment horizontal="center"/>
    </xf>
    <xf numFmtId="0" fontId="15" fillId="8" borderId="0" xfId="0" applyFont="1" applyFill="1"/>
    <xf numFmtId="0" fontId="15" fillId="8" borderId="0" xfId="0" applyFont="1" applyFill="1" applyAlignment="1">
      <alignment horizontal="center"/>
    </xf>
    <xf numFmtId="0" fontId="3" fillId="10" borderId="0" xfId="0" applyFont="1" applyFill="1" applyAlignment="1">
      <alignment horizontal="centerContinuous"/>
    </xf>
    <xf numFmtId="0" fontId="0" fillId="10" borderId="0" xfId="0" applyFill="1" applyAlignment="1">
      <alignment horizontal="centerContinuous"/>
    </xf>
    <xf numFmtId="0" fontId="3" fillId="11" borderId="0" xfId="0" applyFont="1" applyFill="1" applyAlignment="1">
      <alignment horizontal="centerContinuous"/>
    </xf>
    <xf numFmtId="0" fontId="0" fillId="11" borderId="0" xfId="0" applyFill="1" applyAlignment="1">
      <alignment horizontal="centerContinuous"/>
    </xf>
    <xf numFmtId="0" fontId="0" fillId="12" borderId="16" xfId="0" applyFill="1" applyBorder="1"/>
    <xf numFmtId="0" fontId="0" fillId="0" borderId="0" xfId="0" applyAlignment="1">
      <alignment wrapText="1"/>
    </xf>
    <xf numFmtId="0" fontId="14" fillId="10" borderId="0" xfId="0" applyFont="1" applyFill="1" applyAlignment="1">
      <alignment horizontal="centerContinuous"/>
    </xf>
    <xf numFmtId="0" fontId="0" fillId="14" borderId="0" xfId="0" applyFill="1"/>
    <xf numFmtId="0" fontId="0" fillId="14" borderId="0" xfId="0" applyFill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1" xfId="0" applyBorder="1"/>
    <xf numFmtId="0" fontId="15" fillId="8" borderId="22" xfId="0" applyFont="1" applyFill="1" applyBorder="1" applyAlignment="1">
      <alignment horizontal="center"/>
    </xf>
    <xf numFmtId="0" fontId="15" fillId="8" borderId="23" xfId="0" applyFont="1" applyFill="1" applyBorder="1" applyAlignment="1">
      <alignment horizontal="center"/>
    </xf>
    <xf numFmtId="0" fontId="15" fillId="8" borderId="24" xfId="0" applyFont="1" applyFill="1" applyBorder="1" applyAlignment="1">
      <alignment horizontal="center"/>
    </xf>
    <xf numFmtId="2" fontId="0" fillId="0" borderId="23" xfId="0" applyNumberFormat="1" applyBorder="1"/>
    <xf numFmtId="2" fontId="0" fillId="6" borderId="0" xfId="1" applyNumberFormat="1" applyFont="1" applyFill="1" applyAlignment="1">
      <alignment horizontal="center"/>
    </xf>
    <xf numFmtId="0" fontId="3" fillId="9" borderId="0" xfId="0" applyFont="1" applyFill="1" applyAlignment="1">
      <alignment horizontal="centerContinuous"/>
    </xf>
    <xf numFmtId="0" fontId="14" fillId="9" borderId="0" xfId="0" applyFont="1" applyFill="1" applyAlignment="1">
      <alignment horizontal="centerContinuous"/>
    </xf>
    <xf numFmtId="0" fontId="0" fillId="7" borderId="0" xfId="0" applyFill="1" applyAlignment="1">
      <alignment horizontal="center"/>
    </xf>
    <xf numFmtId="0" fontId="0" fillId="7" borderId="0" xfId="0" applyFill="1"/>
    <xf numFmtId="2" fontId="0" fillId="7" borderId="0" xfId="0" applyNumberFormat="1" applyFill="1" applyAlignment="1">
      <alignment horizontal="center"/>
    </xf>
    <xf numFmtId="0" fontId="3" fillId="17" borderId="0" xfId="0" applyFont="1" applyFill="1" applyAlignment="1">
      <alignment horizontal="centerContinuous"/>
    </xf>
    <xf numFmtId="0" fontId="14" fillId="17" borderId="0" xfId="0" applyFont="1" applyFill="1" applyAlignment="1">
      <alignment horizontal="centerContinuous"/>
    </xf>
    <xf numFmtId="0" fontId="3" fillId="5" borderId="0" xfId="0" applyFont="1" applyFill="1" applyAlignment="1">
      <alignment horizontal="centerContinuous"/>
    </xf>
    <xf numFmtId="1" fontId="0" fillId="0" borderId="23" xfId="0" applyNumberFormat="1" applyBorder="1" applyAlignment="1">
      <alignment horizontal="center"/>
    </xf>
    <xf numFmtId="0" fontId="0" fillId="0" borderId="31" xfId="0" applyBorder="1"/>
    <xf numFmtId="0" fontId="0" fillId="0" borderId="31" xfId="0" applyBorder="1" applyAlignment="1">
      <alignment wrapText="1"/>
    </xf>
    <xf numFmtId="1" fontId="0" fillId="0" borderId="21" xfId="0" applyNumberFormat="1" applyBorder="1" applyAlignment="1">
      <alignment horizontal="center"/>
    </xf>
    <xf numFmtId="1" fontId="0" fillId="0" borderId="32" xfId="0" applyNumberFormat="1" applyBorder="1" applyAlignment="1">
      <alignment horizontal="center"/>
    </xf>
    <xf numFmtId="0" fontId="0" fillId="0" borderId="31" xfId="0" quotePrefix="1" applyBorder="1"/>
    <xf numFmtId="0" fontId="26" fillId="0" borderId="0" xfId="0" applyFont="1"/>
    <xf numFmtId="0" fontId="29" fillId="4" borderId="2" xfId="6" applyFont="1" applyFill="1" applyBorder="1" applyAlignment="1" applyProtection="1">
      <alignment vertical="center" wrapText="1"/>
    </xf>
    <xf numFmtId="0" fontId="29" fillId="4" borderId="3" xfId="6" applyFont="1" applyFill="1" applyBorder="1" applyAlignment="1" applyProtection="1">
      <alignment vertical="center" wrapText="1"/>
    </xf>
    <xf numFmtId="0" fontId="29" fillId="4" borderId="5" xfId="6" applyFont="1" applyFill="1" applyBorder="1" applyAlignment="1" applyProtection="1">
      <alignment vertical="center" wrapText="1"/>
    </xf>
    <xf numFmtId="0" fontId="0" fillId="0" borderId="0" xfId="0" applyAlignment="1">
      <alignment horizontal="center" wrapText="1"/>
    </xf>
    <xf numFmtId="0" fontId="31" fillId="2" borderId="0" xfId="0" applyFont="1" applyFill="1"/>
    <xf numFmtId="0" fontId="32" fillId="2" borderId="0" xfId="0" applyFont="1" applyFill="1" applyAlignment="1">
      <alignment wrapText="1"/>
    </xf>
    <xf numFmtId="0" fontId="15" fillId="8" borderId="42" xfId="0" applyFont="1" applyFill="1" applyBorder="1" applyAlignment="1">
      <alignment horizontal="left" indent="1"/>
    </xf>
    <xf numFmtId="0" fontId="4" fillId="9" borderId="42" xfId="0" applyFont="1" applyFill="1" applyBorder="1" applyAlignment="1">
      <alignment horizontal="left" indent="1"/>
    </xf>
    <xf numFmtId="0" fontId="4" fillId="10" borderId="42" xfId="0" applyFont="1" applyFill="1" applyBorder="1" applyAlignment="1">
      <alignment horizontal="left" indent="1"/>
    </xf>
    <xf numFmtId="0" fontId="4" fillId="6" borderId="42" xfId="0" applyFont="1" applyFill="1" applyBorder="1" applyAlignment="1">
      <alignment horizontal="left" indent="1"/>
    </xf>
    <xf numFmtId="0" fontId="4" fillId="6" borderId="42" xfId="0" applyFont="1" applyFill="1" applyBorder="1" applyAlignment="1">
      <alignment horizontal="left" vertical="center" wrapText="1" indent="1"/>
    </xf>
    <xf numFmtId="0" fontId="4" fillId="11" borderId="42" xfId="0" applyFont="1" applyFill="1" applyBorder="1" applyAlignment="1">
      <alignment horizontal="left" vertical="center" wrapText="1" indent="1"/>
    </xf>
    <xf numFmtId="0" fontId="4" fillId="17" borderId="42" xfId="0" applyFont="1" applyFill="1" applyBorder="1" applyAlignment="1">
      <alignment horizontal="left" indent="1"/>
    </xf>
    <xf numFmtId="0" fontId="4" fillId="7" borderId="42" xfId="0" applyFont="1" applyFill="1" applyBorder="1" applyAlignment="1">
      <alignment horizontal="left" indent="1"/>
    </xf>
    <xf numFmtId="0" fontId="4" fillId="0" borderId="0" xfId="0" applyFont="1"/>
    <xf numFmtId="49" fontId="15" fillId="8" borderId="0" xfId="0" applyNumberFormat="1" applyFont="1" applyFill="1" applyAlignment="1">
      <alignment horizontal="center"/>
    </xf>
    <xf numFmtId="49" fontId="14" fillId="9" borderId="0" xfId="0" applyNumberFormat="1" applyFont="1" applyFill="1" applyAlignment="1">
      <alignment horizontal="centerContinuous"/>
    </xf>
    <xf numFmtId="49" fontId="0" fillId="10" borderId="0" xfId="0" applyNumberFormat="1" applyFill="1" applyAlignment="1">
      <alignment horizontal="centerContinuous"/>
    </xf>
    <xf numFmtId="49" fontId="0" fillId="6" borderId="0" xfId="0" applyNumberFormat="1" applyFill="1" applyAlignment="1">
      <alignment horizontal="center"/>
    </xf>
    <xf numFmtId="49" fontId="0" fillId="11" borderId="0" xfId="0" applyNumberFormat="1" applyFill="1" applyAlignment="1">
      <alignment horizontal="centerContinuous"/>
    </xf>
    <xf numFmtId="49" fontId="14" fillId="17" borderId="0" xfId="0" applyNumberFormat="1" applyFont="1" applyFill="1" applyAlignment="1">
      <alignment horizontal="centerContinuous"/>
    </xf>
    <xf numFmtId="49" fontId="0" fillId="7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4" fontId="33" fillId="18" borderId="7" xfId="4" applyNumberFormat="1" applyFill="1" applyBorder="1" applyProtection="1">
      <alignment horizontal="center" vertical="center"/>
    </xf>
    <xf numFmtId="0" fontId="4" fillId="18" borderId="40" xfId="0" applyFont="1" applyFill="1" applyBorder="1"/>
    <xf numFmtId="0" fontId="4" fillId="18" borderId="0" xfId="0" applyFont="1" applyFill="1"/>
    <xf numFmtId="0" fontId="0" fillId="18" borderId="0" xfId="0" applyFill="1"/>
    <xf numFmtId="0" fontId="0" fillId="18" borderId="15" xfId="0" applyFill="1" applyBorder="1"/>
    <xf numFmtId="0" fontId="0" fillId="18" borderId="19" xfId="0" applyFill="1" applyBorder="1"/>
    <xf numFmtId="0" fontId="0" fillId="18" borderId="40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41" xfId="0" applyFill="1" applyBorder="1" applyAlignment="1">
      <alignment vertical="center"/>
    </xf>
    <xf numFmtId="0" fontId="0" fillId="18" borderId="37" xfId="0" applyFill="1" applyBorder="1"/>
    <xf numFmtId="0" fontId="0" fillId="18" borderId="5" xfId="0" applyFill="1" applyBorder="1"/>
    <xf numFmtId="0" fontId="0" fillId="18" borderId="4" xfId="0" applyFill="1" applyBorder="1"/>
    <xf numFmtId="0" fontId="0" fillId="18" borderId="43" xfId="0" applyFill="1" applyBorder="1"/>
    <xf numFmtId="0" fontId="0" fillId="18" borderId="0" xfId="0" applyFill="1" applyAlignment="1">
      <alignment vertical="center"/>
    </xf>
    <xf numFmtId="0" fontId="0" fillId="18" borderId="6" xfId="0" applyFill="1" applyBorder="1"/>
    <xf numFmtId="0" fontId="0" fillId="18" borderId="7" xfId="0" applyFill="1" applyBorder="1"/>
    <xf numFmtId="0" fontId="0" fillId="18" borderId="8" xfId="0" applyFill="1" applyBorder="1"/>
    <xf numFmtId="0" fontId="0" fillId="18" borderId="7" xfId="0" applyFill="1" applyBorder="1" applyAlignment="1">
      <alignment horizontal="right" vertical="center"/>
    </xf>
    <xf numFmtId="0" fontId="3" fillId="2" borderId="4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6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vertical="center"/>
    </xf>
    <xf numFmtId="164" fontId="20" fillId="2" borderId="0" xfId="5" applyNumberFormat="1" applyFill="1" applyAlignment="1">
      <alignment vertical="center" shrinkToFit="1"/>
    </xf>
    <xf numFmtId="0" fontId="0" fillId="2" borderId="5" xfId="0" applyFill="1" applyBorder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wrapText="1"/>
    </xf>
    <xf numFmtId="0" fontId="0" fillId="2" borderId="4" xfId="0" applyFill="1" applyBorder="1"/>
    <xf numFmtId="0" fontId="9" fillId="2" borderId="0" xfId="0" applyFont="1" applyFill="1"/>
    <xf numFmtId="0" fontId="0" fillId="2" borderId="0" xfId="0" applyFill="1" applyAlignment="1">
      <alignment horizontal="right"/>
    </xf>
    <xf numFmtId="10" fontId="20" fillId="2" borderId="0" xfId="5" applyNumberFormat="1" applyFill="1" applyAlignment="1">
      <alignment vertical="center" shrinkToFit="1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9" fillId="2" borderId="0" xfId="0" applyFont="1" applyFill="1" applyAlignment="1">
      <alignment horizontal="right"/>
    </xf>
    <xf numFmtId="0" fontId="0" fillId="2" borderId="0" xfId="0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 wrapText="1"/>
    </xf>
    <xf numFmtId="164" fontId="20" fillId="2" borderId="0" xfId="5" applyNumberFormat="1" applyFill="1" applyAlignment="1"/>
    <xf numFmtId="0" fontId="22" fillId="2" borderId="0" xfId="0" applyFont="1" applyFill="1"/>
    <xf numFmtId="0" fontId="27" fillId="2" borderId="5" xfId="0" applyFont="1" applyFill="1" applyBorder="1" applyAlignment="1">
      <alignment horizontal="right"/>
    </xf>
    <xf numFmtId="0" fontId="22" fillId="2" borderId="4" xfId="0" applyFont="1" applyFill="1" applyBorder="1"/>
    <xf numFmtId="0" fontId="22" fillId="2" borderId="0" xfId="0" applyFont="1" applyFill="1" applyAlignment="1">
      <alignment vertical="top" wrapText="1"/>
    </xf>
    <xf numFmtId="0" fontId="22" fillId="2" borderId="5" xfId="0" applyFont="1" applyFill="1" applyBorder="1" applyAlignment="1">
      <alignment vertical="top"/>
    </xf>
    <xf numFmtId="0" fontId="0" fillId="2" borderId="16" xfId="0" applyFill="1" applyBorder="1"/>
    <xf numFmtId="0" fontId="22" fillId="4" borderId="2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22" fillId="4" borderId="5" xfId="0" applyFont="1" applyFill="1" applyBorder="1"/>
    <xf numFmtId="0" fontId="22" fillId="2" borderId="6" xfId="0" applyFont="1" applyFill="1" applyBorder="1"/>
    <xf numFmtId="0" fontId="28" fillId="2" borderId="7" xfId="0" applyFont="1" applyFill="1" applyBorder="1" applyAlignment="1">
      <alignment vertical="top" wrapText="1"/>
    </xf>
    <xf numFmtId="0" fontId="29" fillId="2" borderId="7" xfId="0" applyFont="1" applyFill="1" applyBorder="1" applyAlignment="1">
      <alignment vertical="center"/>
    </xf>
    <xf numFmtId="0" fontId="22" fillId="4" borderId="8" xfId="0" applyFont="1" applyFill="1" applyBorder="1"/>
    <xf numFmtId="0" fontId="0" fillId="19" borderId="0" xfId="0" applyFill="1"/>
    <xf numFmtId="0" fontId="0" fillId="19" borderId="0" xfId="0" applyFill="1" applyAlignment="1">
      <alignment shrinkToFit="1"/>
    </xf>
    <xf numFmtId="165" fontId="0" fillId="19" borderId="0" xfId="0" applyNumberFormat="1" applyFill="1"/>
    <xf numFmtId="0" fontId="37" fillId="18" borderId="0" xfId="7" applyFont="1" applyFill="1" applyAlignment="1"/>
    <xf numFmtId="0" fontId="21" fillId="2" borderId="0" xfId="0" applyFont="1" applyFill="1" applyAlignment="1">
      <alignment textRotation="90" shrinkToFit="1"/>
    </xf>
    <xf numFmtId="0" fontId="35" fillId="2" borderId="0" xfId="0" applyFont="1" applyFill="1" applyAlignment="1">
      <alignment horizontal="left" vertical="top" wrapText="1"/>
    </xf>
    <xf numFmtId="0" fontId="9" fillId="2" borderId="4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33" fillId="3" borderId="10" xfId="4" applyNumberFormat="1" applyAlignment="1" applyProtection="1">
      <alignment horizontal="center" vertical="center"/>
      <protection locked="0"/>
    </xf>
    <xf numFmtId="0" fontId="4" fillId="4" borderId="17" xfId="0" applyFont="1" applyFill="1" applyBorder="1" applyAlignment="1">
      <alignment horizontal="left" vertical="center" shrinkToFit="1"/>
    </xf>
    <xf numFmtId="0" fontId="4" fillId="4" borderId="18" xfId="0" applyFont="1" applyFill="1" applyBorder="1" applyAlignment="1">
      <alignment horizontal="left" vertical="center" shrinkToFit="1"/>
    </xf>
    <xf numFmtId="0" fontId="4" fillId="4" borderId="26" xfId="0" applyFont="1" applyFill="1" applyBorder="1" applyAlignment="1">
      <alignment horizontal="left" vertical="center" shrinkToFit="1"/>
    </xf>
    <xf numFmtId="164" fontId="34" fillId="13" borderId="30" xfId="2" applyNumberFormat="1" applyAlignment="1" applyProtection="1">
      <alignment horizontal="center" vertical="center"/>
    </xf>
    <xf numFmtId="0" fontId="6" fillId="2" borderId="4" xfId="0" applyFont="1" applyFill="1" applyBorder="1" applyAlignment="1">
      <alignment horizontal="left" indent="1"/>
    </xf>
    <xf numFmtId="0" fontId="6" fillId="2" borderId="0" xfId="0" applyFont="1" applyFill="1" applyAlignment="1">
      <alignment horizontal="left" indent="1"/>
    </xf>
    <xf numFmtId="0" fontId="4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0" fillId="2" borderId="0" xfId="0" applyFill="1" applyAlignment="1">
      <alignment vertical="center" textRotation="90"/>
    </xf>
    <xf numFmtId="0" fontId="18" fillId="15" borderId="34" xfId="0" applyFont="1" applyFill="1" applyBorder="1" applyAlignment="1">
      <alignment horizontal="center" vertical="center"/>
    </xf>
    <xf numFmtId="0" fontId="18" fillId="15" borderId="35" xfId="0" applyFont="1" applyFill="1" applyBorder="1" applyAlignment="1">
      <alignment horizontal="center" vertical="center"/>
    </xf>
    <xf numFmtId="0" fontId="18" fillId="15" borderId="33" xfId="0" applyFont="1" applyFill="1" applyBorder="1" applyAlignment="1">
      <alignment horizontal="center" vertical="center"/>
    </xf>
    <xf numFmtId="0" fontId="18" fillId="15" borderId="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right" vertical="center"/>
    </xf>
    <xf numFmtId="0" fontId="4" fillId="4" borderId="27" xfId="0" applyFont="1" applyFill="1" applyBorder="1" applyAlignment="1">
      <alignment horizontal="right" vertical="center"/>
    </xf>
    <xf numFmtId="0" fontId="37" fillId="2" borderId="44" xfId="7" applyFont="1" applyFill="1" applyBorder="1" applyAlignment="1">
      <alignment horizontal="center"/>
    </xf>
    <xf numFmtId="0" fontId="37" fillId="2" borderId="45" xfId="7" applyFont="1" applyFill="1" applyBorder="1" applyAlignment="1">
      <alignment horizontal="center"/>
    </xf>
    <xf numFmtId="0" fontId="37" fillId="2" borderId="46" xfId="7" applyFont="1" applyFill="1" applyBorder="1" applyAlignment="1">
      <alignment horizontal="center"/>
    </xf>
    <xf numFmtId="0" fontId="4" fillId="4" borderId="17" xfId="0" applyFont="1" applyFill="1" applyBorder="1" applyAlignment="1">
      <alignment horizontal="right" vertical="center"/>
    </xf>
    <xf numFmtId="0" fontId="4" fillId="4" borderId="26" xfId="0" applyFont="1" applyFill="1" applyBorder="1" applyAlignment="1">
      <alignment horizontal="right" vertical="center"/>
    </xf>
    <xf numFmtId="14" fontId="33" fillId="3" borderId="13" xfId="4" applyNumberFormat="1" applyBorder="1" applyAlignment="1" applyProtection="1">
      <alignment horizontal="center" vertical="center"/>
      <protection locked="0"/>
    </xf>
    <xf numFmtId="14" fontId="33" fillId="3" borderId="10" xfId="4" applyNumberFormat="1" applyAlignment="1" applyProtection="1">
      <alignment horizontal="center" vertical="center"/>
      <protection locked="0"/>
    </xf>
    <xf numFmtId="0" fontId="4" fillId="4" borderId="27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164" fontId="34" fillId="13" borderId="30" xfId="2" applyNumberFormat="1" applyAlignment="1" applyProtection="1">
      <alignment horizontal="center" vertical="center" shrinkToFi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/>
    </xf>
    <xf numFmtId="164" fontId="33" fillId="3" borderId="10" xfId="4" applyNumberFormat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 textRotation="90" wrapText="1"/>
    </xf>
    <xf numFmtId="164" fontId="33" fillId="3" borderId="11" xfId="4" applyNumberFormat="1" applyBorder="1" applyAlignment="1" applyProtection="1">
      <alignment horizontal="center" vertical="center"/>
      <protection locked="0"/>
    </xf>
    <xf numFmtId="164" fontId="33" fillId="3" borderId="12" xfId="4" applyNumberFormat="1" applyBorder="1" applyAlignment="1" applyProtection="1">
      <alignment horizontal="center" vertical="center"/>
      <protection locked="0"/>
    </xf>
    <xf numFmtId="164" fontId="33" fillId="3" borderId="13" xfId="4" applyNumberFormat="1" applyBorder="1" applyAlignment="1" applyProtection="1">
      <alignment horizontal="center" vertical="center"/>
      <protection locked="0"/>
    </xf>
    <xf numFmtId="0" fontId="6" fillId="2" borderId="0" xfId="3" applyFont="1" applyBorder="1" applyAlignment="1">
      <alignment horizontal="center" vertical="top"/>
    </xf>
    <xf numFmtId="0" fontId="6" fillId="2" borderId="9" xfId="3" applyFont="1" applyBorder="1" applyAlignment="1">
      <alignment horizontal="center" vertical="top"/>
    </xf>
    <xf numFmtId="0" fontId="6" fillId="2" borderId="0" xfId="3" applyFont="1" applyBorder="1" applyAlignment="1">
      <alignment horizontal="center"/>
    </xf>
    <xf numFmtId="0" fontId="6" fillId="2" borderId="9" xfId="3" applyFont="1" applyBorder="1" applyAlignment="1">
      <alignment horizontal="center"/>
    </xf>
    <xf numFmtId="0" fontId="30" fillId="4" borderId="29" xfId="0" applyFont="1" applyFill="1" applyBorder="1" applyAlignment="1">
      <alignment horizontal="center" vertical="center" shrinkToFit="1"/>
    </xf>
    <xf numFmtId="14" fontId="14" fillId="15" borderId="36" xfId="2" applyNumberFormat="1" applyFont="1" applyFill="1" applyBorder="1" applyAlignment="1" applyProtection="1">
      <alignment horizontal="center"/>
    </xf>
    <xf numFmtId="14" fontId="14" fillId="15" borderId="29" xfId="2" applyNumberFormat="1" applyFont="1" applyFill="1" applyBorder="1" applyAlignment="1" applyProtection="1">
      <alignment horizontal="center"/>
    </xf>
    <xf numFmtId="14" fontId="14" fillId="15" borderId="28" xfId="2" applyNumberFormat="1" applyFont="1" applyFill="1" applyBorder="1" applyAlignment="1" applyProtection="1">
      <alignment horizontal="center"/>
    </xf>
    <xf numFmtId="0" fontId="33" fillId="3" borderId="10" xfId="4" applyNumberFormat="1" applyAlignment="1" applyProtection="1">
      <alignment horizontal="left" vertical="top" wrapText="1"/>
      <protection locked="0"/>
    </xf>
    <xf numFmtId="0" fontId="4" fillId="2" borderId="16" xfId="0" applyFont="1" applyFill="1" applyBorder="1" applyAlignment="1">
      <alignment horizontal="left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24" fillId="15" borderId="14" xfId="0" applyFont="1" applyFill="1" applyBorder="1" applyAlignment="1">
      <alignment horizontal="center" vertical="center" wrapText="1"/>
    </xf>
    <xf numFmtId="0" fontId="24" fillId="15" borderId="15" xfId="0" applyFont="1" applyFill="1" applyBorder="1" applyAlignment="1">
      <alignment horizontal="center" vertical="center" wrapText="1"/>
    </xf>
    <xf numFmtId="0" fontId="24" fillId="15" borderId="38" xfId="0" applyFont="1" applyFill="1" applyBorder="1" applyAlignment="1">
      <alignment horizontal="center" vertical="center" wrapText="1"/>
    </xf>
    <xf numFmtId="0" fontId="24" fillId="15" borderId="42" xfId="0" applyFont="1" applyFill="1" applyBorder="1" applyAlignment="1">
      <alignment horizontal="center" vertical="center" wrapText="1"/>
    </xf>
    <xf numFmtId="0" fontId="24" fillId="15" borderId="0" xfId="0" applyFont="1" applyFill="1" applyAlignment="1">
      <alignment horizontal="center" vertical="center" wrapText="1"/>
    </xf>
    <xf numFmtId="0" fontId="24" fillId="15" borderId="39" xfId="0" applyFont="1" applyFill="1" applyBorder="1" applyAlignment="1">
      <alignment horizontal="center" vertical="center" wrapText="1"/>
    </xf>
    <xf numFmtId="0" fontId="25" fillId="16" borderId="17" xfId="0" applyFont="1" applyFill="1" applyBorder="1" applyAlignment="1">
      <alignment horizontal="center" vertical="center" wrapText="1"/>
    </xf>
    <xf numFmtId="0" fontId="25" fillId="16" borderId="18" xfId="0" applyFont="1" applyFill="1" applyBorder="1" applyAlignment="1">
      <alignment horizontal="center" vertical="center" wrapText="1"/>
    </xf>
    <xf numFmtId="0" fontId="25" fillId="16" borderId="2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2" fillId="2" borderId="0" xfId="0" applyFont="1" applyFill="1" applyAlignment="1">
      <alignment horizontal="center"/>
    </xf>
  </cellXfs>
  <cellStyles count="8">
    <cellStyle name="BGS Input" xfId="4" xr:uid="{92D3910D-4AC5-4652-A68D-4CECA66F2580}"/>
    <cellStyle name="Hyperlink" xfId="7" builtinId="8"/>
    <cellStyle name="Input Label" xfId="3" xr:uid="{2008C704-F175-49D7-9526-7F64F29743DF}"/>
    <cellStyle name="Normal" xfId="0" builtinId="0"/>
    <cellStyle name="Output" xfId="2" builtinId="21" customBuiltin="1"/>
    <cellStyle name="Percent" xfId="1" builtinId="5"/>
    <cellStyle name="Ref Output" xfId="5" xr:uid="{41359888-8A9C-4CBA-BA0B-7E2ED0DCF55C}"/>
    <cellStyle name="Title" xfId="6" builtinId="15"/>
  </cellStyles>
  <dxfs count="2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</dxf>
    <dxf>
      <font>
        <color rgb="FF9C0006"/>
      </font>
    </dxf>
    <dxf>
      <font>
        <color rgb="FF0046AD"/>
      </font>
      <fill>
        <patternFill patternType="none">
          <bgColor auto="1"/>
        </patternFill>
      </fill>
      <border>
        <left style="thin">
          <color rgb="FF0046AD"/>
        </left>
        <right style="thin">
          <color rgb="FF0046AD"/>
        </right>
        <top style="thin">
          <color rgb="FF0046AD"/>
        </top>
        <bottom style="thin">
          <color rgb="FF0046AD"/>
        </bottom>
      </border>
    </dxf>
    <dxf>
      <font>
        <b/>
        <i val="0"/>
        <color theme="0"/>
      </font>
      <fill>
        <patternFill>
          <bgColor rgb="FF0046AD"/>
        </patternFill>
      </fill>
      <border>
        <left style="thin">
          <color rgb="FF0046AD"/>
        </left>
        <right style="thin">
          <color rgb="FF0046AD"/>
        </right>
        <top style="thin">
          <color rgb="FF0046AD"/>
        </top>
        <bottom style="thin">
          <color rgb="FF0046AD"/>
        </bottom>
      </border>
    </dxf>
  </dxfs>
  <tableStyles count="0" defaultTableStyle="TableStyleMedium2" defaultPivotStyle="PivotStyleLight16"/>
  <colors>
    <mruColors>
      <color rgb="FF0046AD"/>
      <color rgb="FF0D3512"/>
      <color rgb="FF004089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</xdr:colOff>
      <xdr:row>9</xdr:row>
      <xdr:rowOff>74868</xdr:rowOff>
    </xdr:from>
    <xdr:to>
      <xdr:col>48</xdr:col>
      <xdr:colOff>34120</xdr:colOff>
      <xdr:row>27</xdr:row>
      <xdr:rowOff>78293</xdr:rowOff>
    </xdr:to>
    <xdr:grpSp>
      <xdr:nvGrpSpPr>
        <xdr:cNvPr id="279" name="Group 278">
          <a:extLst>
            <a:ext uri="{FF2B5EF4-FFF2-40B4-BE49-F238E27FC236}">
              <a16:creationId xmlns:a16="http://schemas.microsoft.com/office/drawing/2014/main" id="{D393FE51-CF9F-A8EA-ED2C-2970EBFF6B0C}"/>
            </a:ext>
          </a:extLst>
        </xdr:cNvPr>
        <xdr:cNvGrpSpPr/>
      </xdr:nvGrpSpPr>
      <xdr:grpSpPr>
        <a:xfrm>
          <a:off x="181610" y="1789368"/>
          <a:ext cx="8539310" cy="3432425"/>
          <a:chOff x="905104" y="657225"/>
          <a:chExt cx="8539886" cy="3438775"/>
        </a:xfrm>
      </xdr:grpSpPr>
      <xdr:cxnSp macro="">
        <xdr:nvCxnSpPr>
          <xdr:cNvPr id="209" name="Straight Connector 208">
            <a:extLst>
              <a:ext uri="{FF2B5EF4-FFF2-40B4-BE49-F238E27FC236}">
                <a16:creationId xmlns:a16="http://schemas.microsoft.com/office/drawing/2014/main" id="{C8E11B9D-696E-4920-8705-66105C3B96C3}"/>
              </a:ext>
            </a:extLst>
          </xdr:cNvPr>
          <xdr:cNvCxnSpPr>
            <a:stCxn id="6" idx="1"/>
          </xdr:cNvCxnSpPr>
        </xdr:nvCxnSpPr>
        <xdr:spPr>
          <a:xfrm flipV="1">
            <a:off x="1985440" y="962025"/>
            <a:ext cx="7899" cy="2664620"/>
          </a:xfrm>
          <a:prstGeom prst="line">
            <a:avLst/>
          </a:prstGeom>
          <a:ln w="12700">
            <a:solidFill>
              <a:sysClr val="windowText" lastClr="000000"/>
            </a:solidFill>
            <a:prstDash val="sys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Freeform: Shape 3">
            <a:extLst>
              <a:ext uri="{FF2B5EF4-FFF2-40B4-BE49-F238E27FC236}">
                <a16:creationId xmlns:a16="http://schemas.microsoft.com/office/drawing/2014/main" id="{8471D865-5F5B-44AE-B6C8-00AE75D09EEA}"/>
              </a:ext>
            </a:extLst>
          </xdr:cNvPr>
          <xdr:cNvSpPr/>
        </xdr:nvSpPr>
        <xdr:spPr>
          <a:xfrm>
            <a:off x="4345099" y="2683673"/>
            <a:ext cx="1085851" cy="192878"/>
          </a:xfrm>
          <a:custGeom>
            <a:avLst/>
            <a:gdLst>
              <a:gd name="connsiteX0" fmla="*/ 2337142 w 2337142"/>
              <a:gd name="connsiteY0" fmla="*/ 0 h 666750"/>
              <a:gd name="connsiteX1" fmla="*/ 1194142 w 2337142"/>
              <a:gd name="connsiteY1" fmla="*/ 95250 h 666750"/>
              <a:gd name="connsiteX2" fmla="*/ 3517 w 2337142"/>
              <a:gd name="connsiteY2" fmla="*/ 441614 h 666750"/>
              <a:gd name="connsiteX3" fmla="*/ 899733 w 2337142"/>
              <a:gd name="connsiteY3" fmla="*/ 666750 h 666750"/>
              <a:gd name="connsiteX0" fmla="*/ 2333625 w 2333625"/>
              <a:gd name="connsiteY0" fmla="*/ 0 h 441614"/>
              <a:gd name="connsiteX1" fmla="*/ 1190625 w 2333625"/>
              <a:gd name="connsiteY1" fmla="*/ 95250 h 441614"/>
              <a:gd name="connsiteX2" fmla="*/ 0 w 2333625"/>
              <a:gd name="connsiteY2" fmla="*/ 441614 h 44161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1975 h 434930"/>
              <a:gd name="connsiteX1" fmla="*/ 1181967 w 2324967"/>
              <a:gd name="connsiteY1" fmla="*/ 97225 h 434930"/>
              <a:gd name="connsiteX2" fmla="*/ 0 w 2324967"/>
              <a:gd name="connsiteY2" fmla="*/ 434930 h 434930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72078 w 2372078"/>
              <a:gd name="connsiteY0" fmla="*/ 1905 h 446885"/>
              <a:gd name="connsiteX1" fmla="*/ 1229078 w 2372078"/>
              <a:gd name="connsiteY1" fmla="*/ 97155 h 446885"/>
              <a:gd name="connsiteX2" fmla="*/ 0 w 2372078"/>
              <a:gd name="connsiteY2" fmla="*/ 446885 h 446885"/>
              <a:gd name="connsiteX0" fmla="*/ 2364809 w 2364809"/>
              <a:gd name="connsiteY0" fmla="*/ 1905 h 442123"/>
              <a:gd name="connsiteX1" fmla="*/ 1221809 w 2364809"/>
              <a:gd name="connsiteY1" fmla="*/ 97155 h 442123"/>
              <a:gd name="connsiteX2" fmla="*/ 0 w 2364809"/>
              <a:gd name="connsiteY2" fmla="*/ 442123 h 442123"/>
              <a:gd name="connsiteX0" fmla="*/ 2348263 w 2348263"/>
              <a:gd name="connsiteY0" fmla="*/ 1905 h 474549"/>
              <a:gd name="connsiteX1" fmla="*/ 1205263 w 2348263"/>
              <a:gd name="connsiteY1" fmla="*/ 97155 h 474549"/>
              <a:gd name="connsiteX2" fmla="*/ 0 w 2348263"/>
              <a:gd name="connsiteY2" fmla="*/ 474549 h 474549"/>
              <a:gd name="connsiteX0" fmla="*/ 2364810 w 2364810"/>
              <a:gd name="connsiteY0" fmla="*/ 1905 h 494815"/>
              <a:gd name="connsiteX1" fmla="*/ 1221810 w 2364810"/>
              <a:gd name="connsiteY1" fmla="*/ 97155 h 494815"/>
              <a:gd name="connsiteX2" fmla="*/ 0 w 2364810"/>
              <a:gd name="connsiteY2" fmla="*/ 494815 h 494815"/>
              <a:gd name="connsiteX0" fmla="*/ 2331877 w 2331877"/>
              <a:gd name="connsiteY0" fmla="*/ 1905 h 472214"/>
              <a:gd name="connsiteX1" fmla="*/ 1188877 w 2331877"/>
              <a:gd name="connsiteY1" fmla="*/ 97155 h 472214"/>
              <a:gd name="connsiteX2" fmla="*/ 0 w 2331877"/>
              <a:gd name="connsiteY2" fmla="*/ 472214 h 472214"/>
              <a:gd name="connsiteX0" fmla="*/ 2361516 w 2361516"/>
              <a:gd name="connsiteY0" fmla="*/ 1905 h 478672"/>
              <a:gd name="connsiteX1" fmla="*/ 1218516 w 2361516"/>
              <a:gd name="connsiteY1" fmla="*/ 97155 h 478672"/>
              <a:gd name="connsiteX2" fmla="*/ 0 w 2361516"/>
              <a:gd name="connsiteY2" fmla="*/ 478672 h 478672"/>
              <a:gd name="connsiteX0" fmla="*/ 2391291 w 2391291"/>
              <a:gd name="connsiteY0" fmla="*/ 1905 h 393680"/>
              <a:gd name="connsiteX1" fmla="*/ 1248291 w 2391291"/>
              <a:gd name="connsiteY1" fmla="*/ 97155 h 393680"/>
              <a:gd name="connsiteX2" fmla="*/ 0 w 2391291"/>
              <a:gd name="connsiteY2" fmla="*/ 393680 h 393680"/>
              <a:gd name="connsiteX0" fmla="*/ 2380900 w 2380900"/>
              <a:gd name="connsiteY0" fmla="*/ 1905 h 288224"/>
              <a:gd name="connsiteX1" fmla="*/ 1237900 w 2380900"/>
              <a:gd name="connsiteY1" fmla="*/ 97155 h 288224"/>
              <a:gd name="connsiteX2" fmla="*/ 0 w 2380900"/>
              <a:gd name="connsiteY2" fmla="*/ 288224 h 288224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41395 h 327714"/>
              <a:gd name="connsiteX1" fmla="*/ 0 w 2380900"/>
              <a:gd name="connsiteY1" fmla="*/ 327714 h 327714"/>
              <a:gd name="connsiteX0" fmla="*/ 2368991 w 2368991"/>
              <a:gd name="connsiteY0" fmla="*/ 44496 h 319092"/>
              <a:gd name="connsiteX1" fmla="*/ 0 w 2368991"/>
              <a:gd name="connsiteY1" fmla="*/ 319092 h 319092"/>
              <a:gd name="connsiteX0" fmla="*/ 2368991 w 2368991"/>
              <a:gd name="connsiteY0" fmla="*/ 64084 h 338680"/>
              <a:gd name="connsiteX1" fmla="*/ 0 w 2368991"/>
              <a:gd name="connsiteY1" fmla="*/ 338680 h 338680"/>
              <a:gd name="connsiteX0" fmla="*/ 2376265 w 2376265"/>
              <a:gd name="connsiteY0" fmla="*/ 63217 h 340194"/>
              <a:gd name="connsiteX1" fmla="*/ 0 w 2376265"/>
              <a:gd name="connsiteY1" fmla="*/ 340194 h 340194"/>
              <a:gd name="connsiteX0" fmla="*/ 2404550 w 2404550"/>
              <a:gd name="connsiteY0" fmla="*/ 66655 h 334340"/>
              <a:gd name="connsiteX1" fmla="*/ 0 w 2404550"/>
              <a:gd name="connsiteY1" fmla="*/ 334340 h 334340"/>
              <a:gd name="connsiteX0" fmla="*/ 2404550 w 2404550"/>
              <a:gd name="connsiteY0" fmla="*/ 50981 h 318666"/>
              <a:gd name="connsiteX1" fmla="*/ 0 w 2404550"/>
              <a:gd name="connsiteY1" fmla="*/ 318666 h 318666"/>
              <a:gd name="connsiteX0" fmla="*/ 2399835 w 2399835"/>
              <a:gd name="connsiteY0" fmla="*/ 45602 h 327226"/>
              <a:gd name="connsiteX1" fmla="*/ 0 w 2399835"/>
              <a:gd name="connsiteY1" fmla="*/ 327226 h 327226"/>
              <a:gd name="connsiteX0" fmla="*/ 2399835 w 2399835"/>
              <a:gd name="connsiteY0" fmla="*/ 40539 h 322163"/>
              <a:gd name="connsiteX1" fmla="*/ 0 w 2399835"/>
              <a:gd name="connsiteY1" fmla="*/ 322163 h 322163"/>
              <a:gd name="connsiteX0" fmla="*/ 2694634 w 2694634"/>
              <a:gd name="connsiteY0" fmla="*/ 46998 h 312294"/>
              <a:gd name="connsiteX1" fmla="*/ 0 w 2694634"/>
              <a:gd name="connsiteY1" fmla="*/ 312294 h 312294"/>
              <a:gd name="connsiteX0" fmla="*/ 2694634 w 2694634"/>
              <a:gd name="connsiteY0" fmla="*/ 35843 h 301139"/>
              <a:gd name="connsiteX1" fmla="*/ 0 w 2694634"/>
              <a:gd name="connsiteY1" fmla="*/ 301139 h 301139"/>
              <a:gd name="connsiteX0" fmla="*/ 2741324 w 2741324"/>
              <a:gd name="connsiteY0" fmla="*/ 33228 h 304669"/>
              <a:gd name="connsiteX1" fmla="*/ 0 w 2741324"/>
              <a:gd name="connsiteY1" fmla="*/ 304669 h 304669"/>
              <a:gd name="connsiteX0" fmla="*/ 2587973 w 2587973"/>
              <a:gd name="connsiteY0" fmla="*/ 30173 h 309036"/>
              <a:gd name="connsiteX1" fmla="*/ 0 w 2587973"/>
              <a:gd name="connsiteY1" fmla="*/ 309036 h 309036"/>
              <a:gd name="connsiteX0" fmla="*/ 2706128 w 2706128"/>
              <a:gd name="connsiteY0" fmla="*/ 30173 h 309036"/>
              <a:gd name="connsiteX1" fmla="*/ 0 w 2706128"/>
              <a:gd name="connsiteY1" fmla="*/ 309036 h 309036"/>
              <a:gd name="connsiteX0" fmla="*/ 2785971 w 2785971"/>
              <a:gd name="connsiteY0" fmla="*/ 30173 h 309036"/>
              <a:gd name="connsiteX1" fmla="*/ 0 w 2785971"/>
              <a:gd name="connsiteY1" fmla="*/ 309036 h 309036"/>
              <a:gd name="connsiteX0" fmla="*/ 2786893 w 2786893"/>
              <a:gd name="connsiteY0" fmla="*/ 29833 h 309540"/>
              <a:gd name="connsiteX1" fmla="*/ 0 w 2786893"/>
              <a:gd name="connsiteY1" fmla="*/ 309540 h 309540"/>
              <a:gd name="connsiteX0" fmla="*/ 2786893 w 2786893"/>
              <a:gd name="connsiteY0" fmla="*/ 48718 h 328425"/>
              <a:gd name="connsiteX1" fmla="*/ 0 w 2786893"/>
              <a:gd name="connsiteY1" fmla="*/ 328425 h 328425"/>
              <a:gd name="connsiteX0" fmla="*/ 2786893 w 2786893"/>
              <a:gd name="connsiteY0" fmla="*/ 10416 h 290123"/>
              <a:gd name="connsiteX1" fmla="*/ 0 w 2786893"/>
              <a:gd name="connsiteY1" fmla="*/ 290123 h 290123"/>
              <a:gd name="connsiteX0" fmla="*/ 2786893 w 2786893"/>
              <a:gd name="connsiteY0" fmla="*/ 12425 h 292132"/>
              <a:gd name="connsiteX1" fmla="*/ 0 w 2786893"/>
              <a:gd name="connsiteY1" fmla="*/ 292132 h 292132"/>
              <a:gd name="connsiteX0" fmla="*/ 2792621 w 2792621"/>
              <a:gd name="connsiteY0" fmla="*/ 11062 h 308252"/>
              <a:gd name="connsiteX1" fmla="*/ 0 w 2792621"/>
              <a:gd name="connsiteY1" fmla="*/ 308252 h 308252"/>
              <a:gd name="connsiteX0" fmla="*/ 2792621 w 2792621"/>
              <a:gd name="connsiteY0" fmla="*/ 10141 h 307331"/>
              <a:gd name="connsiteX1" fmla="*/ 0 w 2792621"/>
              <a:gd name="connsiteY1" fmla="*/ 307331 h 307331"/>
              <a:gd name="connsiteX0" fmla="*/ 2792280 w 2792280"/>
              <a:gd name="connsiteY0" fmla="*/ 11310 h 291018"/>
              <a:gd name="connsiteX1" fmla="*/ 0 w 2792280"/>
              <a:gd name="connsiteY1" fmla="*/ 291018 h 291018"/>
              <a:gd name="connsiteX0" fmla="*/ 2792280 w 2792280"/>
              <a:gd name="connsiteY0" fmla="*/ 3490 h 283198"/>
              <a:gd name="connsiteX1" fmla="*/ 0 w 2792280"/>
              <a:gd name="connsiteY1" fmla="*/ 283198 h 28319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2792280" h="283198">
                <a:moveTo>
                  <a:pt x="2792280" y="3490"/>
                </a:moveTo>
                <a:cubicBezTo>
                  <a:pt x="1905534" y="-16841"/>
                  <a:pt x="1144798" y="48514"/>
                  <a:pt x="0" y="283198"/>
                </a:cubicBezTo>
              </a:path>
            </a:pathLst>
          </a:custGeom>
          <a:ln/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8CA4C0FA-D214-47F0-AE1A-3FCFC13C9823}"/>
              </a:ext>
            </a:extLst>
          </xdr:cNvPr>
          <xdr:cNvSpPr/>
        </xdr:nvSpPr>
        <xdr:spPr>
          <a:xfrm>
            <a:off x="1985440" y="3257551"/>
            <a:ext cx="1454785" cy="369105"/>
          </a:xfrm>
          <a:custGeom>
            <a:avLst/>
            <a:gdLst>
              <a:gd name="connsiteX0" fmla="*/ 2415702 w 2494902"/>
              <a:gd name="connsiteY0" fmla="*/ 0 h 453958"/>
              <a:gd name="connsiteX1" fmla="*/ 2196830 w 2494902"/>
              <a:gd name="connsiteY1" fmla="*/ 97277 h 453958"/>
              <a:gd name="connsiteX2" fmla="*/ 0 w 2494902"/>
              <a:gd name="connsiteY2" fmla="*/ 453958 h 453958"/>
              <a:gd name="connsiteX0" fmla="*/ 2415702 w 2423608"/>
              <a:gd name="connsiteY0" fmla="*/ 0 h 453958"/>
              <a:gd name="connsiteX1" fmla="*/ 1374032 w 2423608"/>
              <a:gd name="connsiteY1" fmla="*/ 336415 h 453958"/>
              <a:gd name="connsiteX2" fmla="*/ 0 w 2423608"/>
              <a:gd name="connsiteY2" fmla="*/ 453958 h 453958"/>
              <a:gd name="connsiteX0" fmla="*/ 2415702 w 2415702"/>
              <a:gd name="connsiteY0" fmla="*/ 0 h 453958"/>
              <a:gd name="connsiteX1" fmla="*/ 0 w 2415702"/>
              <a:gd name="connsiteY1" fmla="*/ 453958 h 453958"/>
              <a:gd name="connsiteX0" fmla="*/ 2415702 w 2415702"/>
              <a:gd name="connsiteY0" fmla="*/ 0 h 453958"/>
              <a:gd name="connsiteX1" fmla="*/ 0 w 2415702"/>
              <a:gd name="connsiteY1" fmla="*/ 453958 h 453958"/>
              <a:gd name="connsiteX0" fmla="*/ 2415702 w 2415702"/>
              <a:gd name="connsiteY0" fmla="*/ 0 h 454002"/>
              <a:gd name="connsiteX1" fmla="*/ 0 w 2415702"/>
              <a:gd name="connsiteY1" fmla="*/ 453958 h 454002"/>
              <a:gd name="connsiteX0" fmla="*/ 2379935 w 2379935"/>
              <a:gd name="connsiteY0" fmla="*/ 0 h 428854"/>
              <a:gd name="connsiteX1" fmla="*/ 0 w 2379935"/>
              <a:gd name="connsiteY1" fmla="*/ 428798 h 428854"/>
              <a:gd name="connsiteX0" fmla="*/ 2408548 w 2408548"/>
              <a:gd name="connsiteY0" fmla="*/ 0 h 443225"/>
              <a:gd name="connsiteX1" fmla="*/ 0 w 2408548"/>
              <a:gd name="connsiteY1" fmla="*/ 443176 h 443225"/>
              <a:gd name="connsiteX0" fmla="*/ 2355469 w 2355469"/>
              <a:gd name="connsiteY0" fmla="*/ 0 h 414666"/>
              <a:gd name="connsiteX1" fmla="*/ 0 w 2355469"/>
              <a:gd name="connsiteY1" fmla="*/ 414601 h 414666"/>
              <a:gd name="connsiteX0" fmla="*/ 2325379 w 2325379"/>
              <a:gd name="connsiteY0" fmla="*/ 0 h 502117"/>
              <a:gd name="connsiteX1" fmla="*/ 0 w 2325379"/>
              <a:gd name="connsiteY1" fmla="*/ 502085 h 502117"/>
              <a:gd name="connsiteX0" fmla="*/ 2325379 w 2325379"/>
              <a:gd name="connsiteY0" fmla="*/ 0 h 607276"/>
              <a:gd name="connsiteX1" fmla="*/ 0 w 2325379"/>
              <a:gd name="connsiteY1" fmla="*/ 607257 h 607276"/>
              <a:gd name="connsiteX0" fmla="*/ 2391577 w 2391577"/>
              <a:gd name="connsiteY0" fmla="*/ 0 h 641643"/>
              <a:gd name="connsiteX1" fmla="*/ 0 w 2391577"/>
              <a:gd name="connsiteY1" fmla="*/ 641627 h 641643"/>
              <a:gd name="connsiteX0" fmla="*/ 2379541 w 2379541"/>
              <a:gd name="connsiteY0" fmla="*/ 0 h 638519"/>
              <a:gd name="connsiteX1" fmla="*/ 0 w 2379541"/>
              <a:gd name="connsiteY1" fmla="*/ 638502 h 638519"/>
              <a:gd name="connsiteX0" fmla="*/ 2388568 w 2388568"/>
              <a:gd name="connsiteY0" fmla="*/ 0 h 638519"/>
              <a:gd name="connsiteX1" fmla="*/ 0 w 2388568"/>
              <a:gd name="connsiteY1" fmla="*/ 638502 h 638519"/>
              <a:gd name="connsiteX0" fmla="*/ 2391577 w 2391577"/>
              <a:gd name="connsiteY0" fmla="*/ 0 h 641644"/>
              <a:gd name="connsiteX1" fmla="*/ 0 w 2391577"/>
              <a:gd name="connsiteY1" fmla="*/ 641627 h 641644"/>
              <a:gd name="connsiteX0" fmla="*/ 2391577 w 2391577"/>
              <a:gd name="connsiteY0" fmla="*/ 0 h 641627"/>
              <a:gd name="connsiteX1" fmla="*/ 0 w 2391577"/>
              <a:gd name="connsiteY1" fmla="*/ 641627 h 641627"/>
              <a:gd name="connsiteX0" fmla="*/ 2414597 w 2414597"/>
              <a:gd name="connsiteY0" fmla="*/ 0 h 550347"/>
              <a:gd name="connsiteX1" fmla="*/ 0 w 2414597"/>
              <a:gd name="connsiteY1" fmla="*/ 550347 h 550347"/>
              <a:gd name="connsiteX0" fmla="*/ 2414597 w 2414597"/>
              <a:gd name="connsiteY0" fmla="*/ 0 h 550347"/>
              <a:gd name="connsiteX1" fmla="*/ 0 w 2414597"/>
              <a:gd name="connsiteY1" fmla="*/ 550347 h 550347"/>
              <a:gd name="connsiteX0" fmla="*/ 2414597 w 2414597"/>
              <a:gd name="connsiteY0" fmla="*/ 0 h 550377"/>
              <a:gd name="connsiteX1" fmla="*/ 0 w 2414597"/>
              <a:gd name="connsiteY1" fmla="*/ 550347 h 550377"/>
              <a:gd name="connsiteX0" fmla="*/ 2414597 w 2414597"/>
              <a:gd name="connsiteY0" fmla="*/ 0 h 550368"/>
              <a:gd name="connsiteX1" fmla="*/ 0 w 2414597"/>
              <a:gd name="connsiteY1" fmla="*/ 550347 h 550368"/>
              <a:gd name="connsiteX0" fmla="*/ 2414595 w 2414595"/>
              <a:gd name="connsiteY0" fmla="*/ 0 h 533170"/>
              <a:gd name="connsiteX1" fmla="*/ 0 w 2414595"/>
              <a:gd name="connsiteY1" fmla="*/ 533148 h 533170"/>
              <a:gd name="connsiteX0" fmla="*/ 2414595 w 2414595"/>
              <a:gd name="connsiteY0" fmla="*/ 0 h 533164"/>
              <a:gd name="connsiteX1" fmla="*/ 0 w 2414595"/>
              <a:gd name="connsiteY1" fmla="*/ 533148 h 53316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2414595" h="533164">
                <a:moveTo>
                  <a:pt x="2414595" y="0"/>
                </a:moveTo>
                <a:cubicBezTo>
                  <a:pt x="1880463" y="193889"/>
                  <a:pt x="1017293" y="535895"/>
                  <a:pt x="0" y="533148"/>
                </a:cubicBezTo>
              </a:path>
            </a:pathLst>
          </a:custGeom>
          <a:ln/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A9A7AEEE-E635-4F7B-8531-06CE94E5D7FC}"/>
              </a:ext>
            </a:extLst>
          </xdr:cNvPr>
          <xdr:cNvCxnSpPr>
            <a:cxnSpLocks/>
            <a:stCxn id="6" idx="1"/>
          </xdr:cNvCxnSpPr>
        </xdr:nvCxnSpPr>
        <xdr:spPr>
          <a:xfrm flipH="1" flipV="1">
            <a:off x="905895" y="3626643"/>
            <a:ext cx="1079545" cy="2"/>
          </a:xfrm>
          <a:prstGeom prst="line">
            <a:avLst/>
          </a:prstGeom>
          <a:ln>
            <a:headEnd type="diamond" w="lg" len="med"/>
            <a:tailEnd w="lg" len="med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334166BC-0D15-4E95-8995-0CE587338A20}"/>
              </a:ext>
            </a:extLst>
          </xdr:cNvPr>
          <xdr:cNvCxnSpPr>
            <a:endCxn id="148" idx="1"/>
          </xdr:cNvCxnSpPr>
        </xdr:nvCxnSpPr>
        <xdr:spPr>
          <a:xfrm>
            <a:off x="3440226" y="2114550"/>
            <a:ext cx="908188" cy="386014"/>
          </a:xfrm>
          <a:prstGeom prst="line">
            <a:avLst/>
          </a:prstGeom>
          <a:ln>
            <a:headEnd type="diamond" w="lg" len="sm"/>
            <a:tailEnd type="diamond" w="lg" len="sm"/>
          </a:ln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</xdr:cxnSp>
      <xdr:cxnSp macro="">
        <xdr:nvCxnSpPr>
          <xdr:cNvPr id="31" name="Straight Connector 30">
            <a:extLst>
              <a:ext uri="{FF2B5EF4-FFF2-40B4-BE49-F238E27FC236}">
                <a16:creationId xmlns:a16="http://schemas.microsoft.com/office/drawing/2014/main" id="{3C124905-C1A3-4C2D-BC85-974C8B5AF403}"/>
              </a:ext>
            </a:extLst>
          </xdr:cNvPr>
          <xdr:cNvCxnSpPr>
            <a:cxnSpLocks/>
          </xdr:cNvCxnSpPr>
        </xdr:nvCxnSpPr>
        <xdr:spPr>
          <a:xfrm flipH="1">
            <a:off x="905104" y="1912143"/>
            <a:ext cx="1086008" cy="0"/>
          </a:xfrm>
          <a:prstGeom prst="line">
            <a:avLst/>
          </a:prstGeom>
          <a:ln>
            <a:headEnd type="diamond" w="lg" len="med"/>
            <a:tailEnd w="lg" len="med"/>
          </a:ln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</xdr:cxnSp>
      <xdr:cxnSp macro="">
        <xdr:nvCxnSpPr>
          <xdr:cNvPr id="37" name="Straight Connector 36">
            <a:extLst>
              <a:ext uri="{FF2B5EF4-FFF2-40B4-BE49-F238E27FC236}">
                <a16:creationId xmlns:a16="http://schemas.microsoft.com/office/drawing/2014/main" id="{B0346959-F3BE-4DD2-8798-E87157106D9E}"/>
              </a:ext>
            </a:extLst>
          </xdr:cNvPr>
          <xdr:cNvCxnSpPr/>
        </xdr:nvCxnSpPr>
        <xdr:spPr>
          <a:xfrm flipV="1">
            <a:off x="7122821" y="2971381"/>
            <a:ext cx="1564872" cy="83762"/>
          </a:xfrm>
          <a:prstGeom prst="line">
            <a:avLst/>
          </a:prstGeom>
          <a:ln>
            <a:headEnd type="none" w="lg" len="med"/>
            <a:tailEnd type="oval" w="med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42" name="Straight Connector 41">
            <a:extLst>
              <a:ext uri="{FF2B5EF4-FFF2-40B4-BE49-F238E27FC236}">
                <a16:creationId xmlns:a16="http://schemas.microsoft.com/office/drawing/2014/main" id="{D177C8CC-75CB-4109-AD84-6B4C625EAF43}"/>
              </a:ext>
            </a:extLst>
          </xdr:cNvPr>
          <xdr:cNvCxnSpPr/>
        </xdr:nvCxnSpPr>
        <xdr:spPr>
          <a:xfrm flipH="1">
            <a:off x="3440226" y="2876550"/>
            <a:ext cx="904874" cy="381000"/>
          </a:xfrm>
          <a:prstGeom prst="line">
            <a:avLst/>
          </a:prstGeom>
          <a:ln>
            <a:headEnd type="diamond" w="lg" len="sm"/>
            <a:tailEnd type="diamond" w="lg" len="sm"/>
          </a:ln>
        </xdr:spPr>
        <xdr:style>
          <a:lnRef idx="3">
            <a:schemeClr val="accent2"/>
          </a:lnRef>
          <a:fillRef idx="0">
            <a:schemeClr val="accent2"/>
          </a:fillRef>
          <a:effectRef idx="2">
            <a:schemeClr val="accent2"/>
          </a:effectRef>
          <a:fontRef idx="minor">
            <a:schemeClr val="tx1"/>
          </a:fontRef>
        </xdr:style>
      </xdr:cxnSp>
      <xdr:cxnSp macro="">
        <xdr:nvCxnSpPr>
          <xdr:cNvPr id="47" name="Straight Connector 46">
            <a:extLst>
              <a:ext uri="{FF2B5EF4-FFF2-40B4-BE49-F238E27FC236}">
                <a16:creationId xmlns:a16="http://schemas.microsoft.com/office/drawing/2014/main" id="{DD437784-312D-4457-B3C3-4B6F057E0354}"/>
              </a:ext>
            </a:extLst>
          </xdr:cNvPr>
          <xdr:cNvCxnSpPr/>
        </xdr:nvCxnSpPr>
        <xdr:spPr>
          <a:xfrm flipH="1" flipV="1">
            <a:off x="8692876" y="2971381"/>
            <a:ext cx="717957" cy="26503"/>
          </a:xfrm>
          <a:prstGeom prst="line">
            <a:avLst/>
          </a:prstGeom>
          <a:ln>
            <a:headEnd type="none" w="lg" len="med"/>
            <a:tailEnd type="none" w="lg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E652B3D1-B0A4-45D0-82EB-C2AD2FDC997B}"/>
              </a:ext>
            </a:extLst>
          </xdr:cNvPr>
          <xdr:cNvGrpSpPr/>
        </xdr:nvGrpSpPr>
        <xdr:grpSpPr>
          <a:xfrm>
            <a:off x="9377016" y="2869698"/>
            <a:ext cx="67974" cy="247650"/>
            <a:chOff x="11894820" y="3326130"/>
            <a:chExt cx="240030" cy="632460"/>
          </a:xfrm>
        </xdr:grpSpPr>
        <xdr:cxnSp macro="">
          <xdr:nvCxnSpPr>
            <xdr:cNvPr id="51" name="Straight Connector 50">
              <a:extLst>
                <a:ext uri="{FF2B5EF4-FFF2-40B4-BE49-F238E27FC236}">
                  <a16:creationId xmlns:a16="http://schemas.microsoft.com/office/drawing/2014/main" id="{D2CBCEC4-C7FA-2A50-F5EB-7A45A13E9E9C}"/>
                </a:ext>
              </a:extLst>
            </xdr:cNvPr>
            <xdr:cNvCxnSpPr/>
          </xdr:nvCxnSpPr>
          <xdr:spPr>
            <a:xfrm>
              <a:off x="12012930" y="3326130"/>
              <a:ext cx="0" cy="20955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2" name="Straight Connector 51">
              <a:extLst>
                <a:ext uri="{FF2B5EF4-FFF2-40B4-BE49-F238E27FC236}">
                  <a16:creationId xmlns:a16="http://schemas.microsoft.com/office/drawing/2014/main" id="{5D5C4FF4-434F-180A-81E1-0E28C8079331}"/>
                </a:ext>
              </a:extLst>
            </xdr:cNvPr>
            <xdr:cNvCxnSpPr/>
          </xdr:nvCxnSpPr>
          <xdr:spPr>
            <a:xfrm>
              <a:off x="12012931" y="3539491"/>
              <a:ext cx="118111" cy="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3" name="Straight Connector 52">
              <a:extLst>
                <a:ext uri="{FF2B5EF4-FFF2-40B4-BE49-F238E27FC236}">
                  <a16:creationId xmlns:a16="http://schemas.microsoft.com/office/drawing/2014/main" id="{0DA5CC10-2D08-18CF-C346-C49853CE723B}"/>
                </a:ext>
              </a:extLst>
            </xdr:cNvPr>
            <xdr:cNvCxnSpPr/>
          </xdr:nvCxnSpPr>
          <xdr:spPr>
            <a:xfrm flipH="1">
              <a:off x="11894820" y="3547110"/>
              <a:ext cx="240030" cy="24003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4" name="Straight Connector 53">
              <a:extLst>
                <a:ext uri="{FF2B5EF4-FFF2-40B4-BE49-F238E27FC236}">
                  <a16:creationId xmlns:a16="http://schemas.microsoft.com/office/drawing/2014/main" id="{95087EBB-A8C5-5709-E431-192E3F388B2E}"/>
                </a:ext>
              </a:extLst>
            </xdr:cNvPr>
            <xdr:cNvCxnSpPr/>
          </xdr:nvCxnSpPr>
          <xdr:spPr>
            <a:xfrm>
              <a:off x="11898630" y="3787140"/>
              <a:ext cx="118110" cy="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5" name="Straight Connector 54">
              <a:extLst>
                <a:ext uri="{FF2B5EF4-FFF2-40B4-BE49-F238E27FC236}">
                  <a16:creationId xmlns:a16="http://schemas.microsoft.com/office/drawing/2014/main" id="{EF5CD19F-94FD-2726-8266-EEEE71EC8BD1}"/>
                </a:ext>
              </a:extLst>
            </xdr:cNvPr>
            <xdr:cNvCxnSpPr/>
          </xdr:nvCxnSpPr>
          <xdr:spPr>
            <a:xfrm>
              <a:off x="12016740" y="3794760"/>
              <a:ext cx="0" cy="163830"/>
            </a:xfrm>
            <a:prstGeom prst="line">
              <a:avLst/>
            </a:prstGeom>
            <a:ln cap="rnd">
              <a:round/>
            </a:ln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62" name="Straight Connector 61">
            <a:extLst>
              <a:ext uri="{FF2B5EF4-FFF2-40B4-BE49-F238E27FC236}">
                <a16:creationId xmlns:a16="http://schemas.microsoft.com/office/drawing/2014/main" id="{5B2D6263-EE45-4B78-98CA-852A7624C263}"/>
              </a:ext>
            </a:extLst>
          </xdr:cNvPr>
          <xdr:cNvCxnSpPr/>
        </xdr:nvCxnSpPr>
        <xdr:spPr>
          <a:xfrm flipV="1">
            <a:off x="8687693" y="2583223"/>
            <a:ext cx="0" cy="281420"/>
          </a:xfrm>
          <a:prstGeom prst="line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4" name="Freeform: Shape 83">
            <a:extLst>
              <a:ext uri="{FF2B5EF4-FFF2-40B4-BE49-F238E27FC236}">
                <a16:creationId xmlns:a16="http://schemas.microsoft.com/office/drawing/2014/main" id="{645459B5-0EF5-436E-9B24-75C917A52E2A}"/>
              </a:ext>
            </a:extLst>
          </xdr:cNvPr>
          <xdr:cNvSpPr/>
        </xdr:nvSpPr>
        <xdr:spPr>
          <a:xfrm flipH="1" flipV="1">
            <a:off x="7808595" y="3024662"/>
            <a:ext cx="294093" cy="330599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610798 w 610798"/>
              <a:gd name="connsiteY0" fmla="*/ 722197 h 722197"/>
              <a:gd name="connsiteX1" fmla="*/ 0 w 610798"/>
              <a:gd name="connsiteY1" fmla="*/ 38 h 722197"/>
              <a:gd name="connsiteX0" fmla="*/ 610798 w 610798"/>
              <a:gd name="connsiteY0" fmla="*/ 722205 h 722205"/>
              <a:gd name="connsiteX1" fmla="*/ 0 w 610798"/>
              <a:gd name="connsiteY1" fmla="*/ 46 h 722205"/>
              <a:gd name="connsiteX0" fmla="*/ 616492 w 616492"/>
              <a:gd name="connsiteY0" fmla="*/ 709108 h 709108"/>
              <a:gd name="connsiteX1" fmla="*/ 0 w 616492"/>
              <a:gd name="connsiteY1" fmla="*/ 48 h 709108"/>
              <a:gd name="connsiteX0" fmla="*/ 616492 w 616492"/>
              <a:gd name="connsiteY0" fmla="*/ 349563 h 349563"/>
              <a:gd name="connsiteX1" fmla="*/ 0 w 616492"/>
              <a:gd name="connsiteY1" fmla="*/ 607 h 349563"/>
              <a:gd name="connsiteX0" fmla="*/ 624038 w 624038"/>
              <a:gd name="connsiteY0" fmla="*/ 397023 h 397023"/>
              <a:gd name="connsiteX1" fmla="*/ 0 w 624038"/>
              <a:gd name="connsiteY1" fmla="*/ 256 h 397023"/>
              <a:gd name="connsiteX0" fmla="*/ 608944 w 608944"/>
              <a:gd name="connsiteY0" fmla="*/ 384034 h 384035"/>
              <a:gd name="connsiteX1" fmla="*/ 0 w 608944"/>
              <a:gd name="connsiteY1" fmla="*/ 306 h 38403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608944" h="384035">
                <a:moveTo>
                  <a:pt x="608944" y="384034"/>
                </a:moveTo>
                <a:cubicBezTo>
                  <a:pt x="487343" y="48436"/>
                  <a:pt x="367416" y="-4690"/>
                  <a:pt x="0" y="306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86" name="Freeform: Shape 85">
            <a:extLst>
              <a:ext uri="{FF2B5EF4-FFF2-40B4-BE49-F238E27FC236}">
                <a16:creationId xmlns:a16="http://schemas.microsoft.com/office/drawing/2014/main" id="{374340F2-81FC-4243-83E6-F313C8DB32BC}"/>
              </a:ext>
            </a:extLst>
          </xdr:cNvPr>
          <xdr:cNvSpPr/>
        </xdr:nvSpPr>
        <xdr:spPr>
          <a:xfrm flipV="1">
            <a:off x="7102968" y="2769392"/>
            <a:ext cx="155082" cy="289464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432899" h="646386">
                <a:moveTo>
                  <a:pt x="0" y="0"/>
                </a:moveTo>
                <a:cubicBezTo>
                  <a:pt x="271717" y="337697"/>
                  <a:pt x="242496" y="653953"/>
                  <a:pt x="432899" y="646248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93" name="Straight Connector 92">
            <a:extLst>
              <a:ext uri="{FF2B5EF4-FFF2-40B4-BE49-F238E27FC236}">
                <a16:creationId xmlns:a16="http://schemas.microsoft.com/office/drawing/2014/main" id="{B17433D1-8D4F-41A2-BE04-904B8DCA2505}"/>
              </a:ext>
            </a:extLst>
          </xdr:cNvPr>
          <xdr:cNvCxnSpPr>
            <a:cxnSpLocks/>
          </xdr:cNvCxnSpPr>
        </xdr:nvCxnSpPr>
        <xdr:spPr>
          <a:xfrm flipH="1" flipV="1">
            <a:off x="5430116" y="2686050"/>
            <a:ext cx="1707714" cy="372807"/>
          </a:xfrm>
          <a:prstGeom prst="line">
            <a:avLst/>
          </a:prstGeom>
          <a:ln cap="rnd">
            <a:round/>
            <a:headEnd type="none" w="lg" len="med"/>
            <a:tailEnd type="diamond" w="lg" len="med"/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95" name="Straight Connector 94">
            <a:extLst>
              <a:ext uri="{FF2B5EF4-FFF2-40B4-BE49-F238E27FC236}">
                <a16:creationId xmlns:a16="http://schemas.microsoft.com/office/drawing/2014/main" id="{1A072B70-5288-4E3F-83FB-52CA0DA44217}"/>
              </a:ext>
            </a:extLst>
          </xdr:cNvPr>
          <xdr:cNvCxnSpPr/>
        </xdr:nvCxnSpPr>
        <xdr:spPr>
          <a:xfrm flipV="1">
            <a:off x="5795779" y="962025"/>
            <a:ext cx="0" cy="1714500"/>
          </a:xfrm>
          <a:prstGeom prst="line">
            <a:avLst/>
          </a:prstGeom>
          <a:ln w="9525">
            <a:solidFill>
              <a:schemeClr val="tx1">
                <a:lumMod val="85000"/>
                <a:lumOff val="15000"/>
              </a:schemeClr>
            </a:solidFill>
            <a:prstDash val="lgDashDot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Straight Connector 95">
            <a:extLst>
              <a:ext uri="{FF2B5EF4-FFF2-40B4-BE49-F238E27FC236}">
                <a16:creationId xmlns:a16="http://schemas.microsoft.com/office/drawing/2014/main" id="{A4CCBF9C-890F-4D2B-9EC2-B31172247D4C}"/>
              </a:ext>
            </a:extLst>
          </xdr:cNvPr>
          <xdr:cNvCxnSpPr/>
        </xdr:nvCxnSpPr>
        <xdr:spPr>
          <a:xfrm flipV="1">
            <a:off x="5429383" y="1343025"/>
            <a:ext cx="0" cy="1364140"/>
          </a:xfrm>
          <a:prstGeom prst="line">
            <a:avLst/>
          </a:prstGeom>
          <a:ln w="15875">
            <a:solidFill>
              <a:schemeClr val="tx1">
                <a:lumMod val="85000"/>
                <a:lumOff val="15000"/>
              </a:schemeClr>
            </a:solidFill>
            <a:prstDash val="lgDashDotDot"/>
            <a:tailEnd w="lg" len="sm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9" name="Straight Arrow Connector 108">
            <a:extLst>
              <a:ext uri="{FF2B5EF4-FFF2-40B4-BE49-F238E27FC236}">
                <a16:creationId xmlns:a16="http://schemas.microsoft.com/office/drawing/2014/main" id="{4B27C9CB-5DAF-47E8-88F6-225C1395E055}"/>
              </a:ext>
            </a:extLst>
          </xdr:cNvPr>
          <xdr:cNvCxnSpPr/>
        </xdr:nvCxnSpPr>
        <xdr:spPr>
          <a:xfrm>
            <a:off x="5428685" y="1533525"/>
            <a:ext cx="361950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1" name="Freeform: Shape 110">
            <a:extLst>
              <a:ext uri="{FF2B5EF4-FFF2-40B4-BE49-F238E27FC236}">
                <a16:creationId xmlns:a16="http://schemas.microsoft.com/office/drawing/2014/main" id="{62ED55EF-A412-43CC-97F3-B607D4F72B60}"/>
              </a:ext>
            </a:extLst>
          </xdr:cNvPr>
          <xdr:cNvSpPr/>
        </xdr:nvSpPr>
        <xdr:spPr>
          <a:xfrm>
            <a:off x="5229225" y="657225"/>
            <a:ext cx="380479" cy="876300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846516 w 846516"/>
              <a:gd name="connsiteY0" fmla="*/ 674812 h 674812"/>
              <a:gd name="connsiteX1" fmla="*/ 0 w 846516"/>
              <a:gd name="connsiteY1" fmla="*/ 17092 h 674812"/>
              <a:gd name="connsiteX0" fmla="*/ 846516 w 846516"/>
              <a:gd name="connsiteY0" fmla="*/ 657720 h 657720"/>
              <a:gd name="connsiteX1" fmla="*/ 0 w 846516"/>
              <a:gd name="connsiteY1" fmla="*/ 0 h 657720"/>
              <a:gd name="connsiteX0" fmla="*/ 460808 w 460808"/>
              <a:gd name="connsiteY0" fmla="*/ 1731860 h 1731860"/>
              <a:gd name="connsiteX1" fmla="*/ 0 w 460808"/>
              <a:gd name="connsiteY1" fmla="*/ 0 h 1731860"/>
              <a:gd name="connsiteX0" fmla="*/ 460808 w 460808"/>
              <a:gd name="connsiteY0" fmla="*/ 1731860 h 1731860"/>
              <a:gd name="connsiteX1" fmla="*/ 0 w 460808"/>
              <a:gd name="connsiteY1" fmla="*/ 0 h 1731860"/>
              <a:gd name="connsiteX0" fmla="*/ 460808 w 460808"/>
              <a:gd name="connsiteY0" fmla="*/ 1655280 h 1655280"/>
              <a:gd name="connsiteX1" fmla="*/ 0 w 460808"/>
              <a:gd name="connsiteY1" fmla="*/ 0 h 1655280"/>
              <a:gd name="connsiteX0" fmla="*/ 460808 w 460808"/>
              <a:gd name="connsiteY0" fmla="*/ 1655280 h 1655280"/>
              <a:gd name="connsiteX1" fmla="*/ 0 w 460808"/>
              <a:gd name="connsiteY1" fmla="*/ 0 h 1655280"/>
              <a:gd name="connsiteX0" fmla="*/ 460808 w 460808"/>
              <a:gd name="connsiteY0" fmla="*/ 1655280 h 1655280"/>
              <a:gd name="connsiteX1" fmla="*/ 0 w 460808"/>
              <a:gd name="connsiteY1" fmla="*/ 0 h 16552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460808" h="1655280">
                <a:moveTo>
                  <a:pt x="460808" y="1655280"/>
                </a:moveTo>
                <a:cubicBezTo>
                  <a:pt x="284146" y="518580"/>
                  <a:pt x="396380" y="53352"/>
                  <a:pt x="0" y="0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112" name="Freeform: Shape 111">
            <a:extLst>
              <a:ext uri="{FF2B5EF4-FFF2-40B4-BE49-F238E27FC236}">
                <a16:creationId xmlns:a16="http://schemas.microsoft.com/office/drawing/2014/main" id="{E0F79CFB-8CB0-453F-8C91-2B82E355DF58}"/>
              </a:ext>
            </a:extLst>
          </xdr:cNvPr>
          <xdr:cNvSpPr/>
        </xdr:nvSpPr>
        <xdr:spPr>
          <a:xfrm flipH="1">
            <a:off x="5795779" y="1813926"/>
            <a:ext cx="337230" cy="100599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31513 w 531513"/>
              <a:gd name="connsiteY0" fmla="*/ 1236146 h 1236146"/>
              <a:gd name="connsiteX1" fmla="*/ 0 w 531513"/>
              <a:gd name="connsiteY1" fmla="*/ 45 h 123614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531513" h="1236146">
                <a:moveTo>
                  <a:pt x="531513" y="1236146"/>
                </a:moveTo>
                <a:cubicBezTo>
                  <a:pt x="190170" y="405766"/>
                  <a:pt x="367416" y="-4951"/>
                  <a:pt x="0" y="45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113" name="Straight Arrow Connector 112">
            <a:extLst>
              <a:ext uri="{FF2B5EF4-FFF2-40B4-BE49-F238E27FC236}">
                <a16:creationId xmlns:a16="http://schemas.microsoft.com/office/drawing/2014/main" id="{DF2FCAE4-6DEB-4168-B262-95EF146178C8}"/>
              </a:ext>
            </a:extLst>
          </xdr:cNvPr>
          <xdr:cNvCxnSpPr/>
        </xdr:nvCxnSpPr>
        <xdr:spPr>
          <a:xfrm>
            <a:off x="5791200" y="1154723"/>
            <a:ext cx="2895600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6" name="Straight Connector 115">
            <a:extLst>
              <a:ext uri="{FF2B5EF4-FFF2-40B4-BE49-F238E27FC236}">
                <a16:creationId xmlns:a16="http://schemas.microsoft.com/office/drawing/2014/main" id="{53178313-0391-4137-8A87-004D64767F61}"/>
              </a:ext>
            </a:extLst>
          </xdr:cNvPr>
          <xdr:cNvCxnSpPr/>
        </xdr:nvCxnSpPr>
        <xdr:spPr>
          <a:xfrm flipV="1">
            <a:off x="8687693" y="939545"/>
            <a:ext cx="0" cy="972598"/>
          </a:xfrm>
          <a:prstGeom prst="line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" name="Freeform: Shape 147">
            <a:extLst>
              <a:ext uri="{FF2B5EF4-FFF2-40B4-BE49-F238E27FC236}">
                <a16:creationId xmlns:a16="http://schemas.microsoft.com/office/drawing/2014/main" id="{A4651001-03E7-BF5A-6E4F-BE68FBD000F9}"/>
              </a:ext>
            </a:extLst>
          </xdr:cNvPr>
          <xdr:cNvSpPr/>
        </xdr:nvSpPr>
        <xdr:spPr>
          <a:xfrm>
            <a:off x="4348414" y="2500564"/>
            <a:ext cx="1081702" cy="185486"/>
          </a:xfrm>
          <a:custGeom>
            <a:avLst/>
            <a:gdLst>
              <a:gd name="connsiteX0" fmla="*/ 1066122 w 1066122"/>
              <a:gd name="connsiteY0" fmla="*/ 290763 h 290763"/>
              <a:gd name="connsiteX1" fmla="*/ 414412 w 1066122"/>
              <a:gd name="connsiteY1" fmla="*/ 260684 h 290763"/>
              <a:gd name="connsiteX2" fmla="*/ 3333 w 1066122"/>
              <a:gd name="connsiteY2" fmla="*/ 110289 h 290763"/>
              <a:gd name="connsiteX3" fmla="*/ 253990 w 1066122"/>
              <a:gd name="connsiteY3" fmla="*/ 0 h 290763"/>
              <a:gd name="connsiteX0" fmla="*/ 1062789 w 1062789"/>
              <a:gd name="connsiteY0" fmla="*/ 180474 h 180474"/>
              <a:gd name="connsiteX1" fmla="*/ 411079 w 1062789"/>
              <a:gd name="connsiteY1" fmla="*/ 150395 h 180474"/>
              <a:gd name="connsiteX2" fmla="*/ 0 w 1062789"/>
              <a:gd name="connsiteY2" fmla="*/ 0 h 180474"/>
              <a:gd name="connsiteX0" fmla="*/ 1062789 w 1062789"/>
              <a:gd name="connsiteY0" fmla="*/ 180474 h 184272"/>
              <a:gd name="connsiteX1" fmla="*/ 355687 w 1062789"/>
              <a:gd name="connsiteY1" fmla="*/ 165511 h 184272"/>
              <a:gd name="connsiteX2" fmla="*/ 0 w 1062789"/>
              <a:gd name="connsiteY2" fmla="*/ 0 h 184272"/>
              <a:gd name="connsiteX0" fmla="*/ 1062789 w 1062789"/>
              <a:gd name="connsiteY0" fmla="*/ 180474 h 180474"/>
              <a:gd name="connsiteX1" fmla="*/ 373723 w 1062789"/>
              <a:gd name="connsiteY1" fmla="*/ 118785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442260 w 1062789"/>
              <a:gd name="connsiteY1" fmla="*/ 122380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442260 w 1062789"/>
              <a:gd name="connsiteY1" fmla="*/ 122380 h 180474"/>
              <a:gd name="connsiteX2" fmla="*/ 0 w 1062789"/>
              <a:gd name="connsiteY2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62789 w 1062789"/>
              <a:gd name="connsiteY0" fmla="*/ 180474 h 180474"/>
              <a:gd name="connsiteX1" fmla="*/ 0 w 1062789"/>
              <a:gd name="connsiteY1" fmla="*/ 0 h 180474"/>
              <a:gd name="connsiteX0" fmla="*/ 1077662 w 1077662"/>
              <a:gd name="connsiteY0" fmla="*/ 185486 h 185486"/>
              <a:gd name="connsiteX1" fmla="*/ 0 w 1077662"/>
              <a:gd name="connsiteY1" fmla="*/ 0 h 185486"/>
              <a:gd name="connsiteX0" fmla="*/ 1079199 w 1079199"/>
              <a:gd name="connsiteY0" fmla="*/ 185486 h 185486"/>
              <a:gd name="connsiteX1" fmla="*/ 0 w 1079199"/>
              <a:gd name="connsiteY1" fmla="*/ 0 h 185486"/>
              <a:gd name="connsiteX0" fmla="*/ 1079199 w 1079199"/>
              <a:gd name="connsiteY0" fmla="*/ 185486 h 185486"/>
              <a:gd name="connsiteX1" fmla="*/ 0 w 1079199"/>
              <a:gd name="connsiteY1" fmla="*/ 0 h 18548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1079199" h="185486">
                <a:moveTo>
                  <a:pt x="1079199" y="185486"/>
                </a:moveTo>
                <a:cubicBezTo>
                  <a:pt x="801314" y="163213"/>
                  <a:pt x="419192" y="164394"/>
                  <a:pt x="0" y="0"/>
                </a:cubicBezTo>
              </a:path>
            </a:pathLst>
          </a:custGeom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0" name="Freeform: Shape 159">
            <a:extLst>
              <a:ext uri="{FF2B5EF4-FFF2-40B4-BE49-F238E27FC236}">
                <a16:creationId xmlns:a16="http://schemas.microsoft.com/office/drawing/2014/main" id="{6F66EBFD-C382-4AD1-87FA-06EFFFD1192B}"/>
              </a:ext>
            </a:extLst>
          </xdr:cNvPr>
          <xdr:cNvSpPr/>
        </xdr:nvSpPr>
        <xdr:spPr>
          <a:xfrm>
            <a:off x="1993338" y="1912095"/>
            <a:ext cx="1446887" cy="202455"/>
          </a:xfrm>
          <a:custGeom>
            <a:avLst/>
            <a:gdLst>
              <a:gd name="connsiteX0" fmla="*/ 2337142 w 2337142"/>
              <a:gd name="connsiteY0" fmla="*/ 0 h 666750"/>
              <a:gd name="connsiteX1" fmla="*/ 1194142 w 2337142"/>
              <a:gd name="connsiteY1" fmla="*/ 95250 h 666750"/>
              <a:gd name="connsiteX2" fmla="*/ 3517 w 2337142"/>
              <a:gd name="connsiteY2" fmla="*/ 441614 h 666750"/>
              <a:gd name="connsiteX3" fmla="*/ 899733 w 2337142"/>
              <a:gd name="connsiteY3" fmla="*/ 666750 h 666750"/>
              <a:gd name="connsiteX0" fmla="*/ 2333625 w 2333625"/>
              <a:gd name="connsiteY0" fmla="*/ 0 h 441614"/>
              <a:gd name="connsiteX1" fmla="*/ 1190625 w 2333625"/>
              <a:gd name="connsiteY1" fmla="*/ 95250 h 441614"/>
              <a:gd name="connsiteX2" fmla="*/ 0 w 2333625"/>
              <a:gd name="connsiteY2" fmla="*/ 441614 h 44161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1987262 w 1987262"/>
              <a:gd name="connsiteY0" fmla="*/ 0 h 541194"/>
              <a:gd name="connsiteX1" fmla="*/ 844262 w 1987262"/>
              <a:gd name="connsiteY1" fmla="*/ 95250 h 541194"/>
              <a:gd name="connsiteX2" fmla="*/ 0 w 1987262"/>
              <a:gd name="connsiteY2" fmla="*/ 541194 h 541194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0 h 432955"/>
              <a:gd name="connsiteX1" fmla="*/ 1181967 w 2324967"/>
              <a:gd name="connsiteY1" fmla="*/ 95250 h 432955"/>
              <a:gd name="connsiteX2" fmla="*/ 0 w 2324967"/>
              <a:gd name="connsiteY2" fmla="*/ 432955 h 432955"/>
              <a:gd name="connsiteX0" fmla="*/ 2324967 w 2324967"/>
              <a:gd name="connsiteY0" fmla="*/ 1975 h 434930"/>
              <a:gd name="connsiteX1" fmla="*/ 1181967 w 2324967"/>
              <a:gd name="connsiteY1" fmla="*/ 97225 h 434930"/>
              <a:gd name="connsiteX2" fmla="*/ 0 w 2324967"/>
              <a:gd name="connsiteY2" fmla="*/ 434930 h 434930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24967 w 2324967"/>
              <a:gd name="connsiteY0" fmla="*/ 1905 h 423654"/>
              <a:gd name="connsiteX1" fmla="*/ 1181967 w 2324967"/>
              <a:gd name="connsiteY1" fmla="*/ 97155 h 423654"/>
              <a:gd name="connsiteX2" fmla="*/ 0 w 2324967"/>
              <a:gd name="connsiteY2" fmla="*/ 423654 h 423654"/>
              <a:gd name="connsiteX0" fmla="*/ 2372078 w 2372078"/>
              <a:gd name="connsiteY0" fmla="*/ 1905 h 446885"/>
              <a:gd name="connsiteX1" fmla="*/ 1229078 w 2372078"/>
              <a:gd name="connsiteY1" fmla="*/ 97155 h 446885"/>
              <a:gd name="connsiteX2" fmla="*/ 0 w 2372078"/>
              <a:gd name="connsiteY2" fmla="*/ 446885 h 446885"/>
              <a:gd name="connsiteX0" fmla="*/ 2364809 w 2364809"/>
              <a:gd name="connsiteY0" fmla="*/ 1905 h 442123"/>
              <a:gd name="connsiteX1" fmla="*/ 1221809 w 2364809"/>
              <a:gd name="connsiteY1" fmla="*/ 97155 h 442123"/>
              <a:gd name="connsiteX2" fmla="*/ 0 w 2364809"/>
              <a:gd name="connsiteY2" fmla="*/ 442123 h 442123"/>
              <a:gd name="connsiteX0" fmla="*/ 2348263 w 2348263"/>
              <a:gd name="connsiteY0" fmla="*/ 1905 h 474549"/>
              <a:gd name="connsiteX1" fmla="*/ 1205263 w 2348263"/>
              <a:gd name="connsiteY1" fmla="*/ 97155 h 474549"/>
              <a:gd name="connsiteX2" fmla="*/ 0 w 2348263"/>
              <a:gd name="connsiteY2" fmla="*/ 474549 h 474549"/>
              <a:gd name="connsiteX0" fmla="*/ 2364810 w 2364810"/>
              <a:gd name="connsiteY0" fmla="*/ 1905 h 494815"/>
              <a:gd name="connsiteX1" fmla="*/ 1221810 w 2364810"/>
              <a:gd name="connsiteY1" fmla="*/ 97155 h 494815"/>
              <a:gd name="connsiteX2" fmla="*/ 0 w 2364810"/>
              <a:gd name="connsiteY2" fmla="*/ 494815 h 494815"/>
              <a:gd name="connsiteX0" fmla="*/ 2331877 w 2331877"/>
              <a:gd name="connsiteY0" fmla="*/ 1905 h 472214"/>
              <a:gd name="connsiteX1" fmla="*/ 1188877 w 2331877"/>
              <a:gd name="connsiteY1" fmla="*/ 97155 h 472214"/>
              <a:gd name="connsiteX2" fmla="*/ 0 w 2331877"/>
              <a:gd name="connsiteY2" fmla="*/ 472214 h 472214"/>
              <a:gd name="connsiteX0" fmla="*/ 2361516 w 2361516"/>
              <a:gd name="connsiteY0" fmla="*/ 1905 h 478672"/>
              <a:gd name="connsiteX1" fmla="*/ 1218516 w 2361516"/>
              <a:gd name="connsiteY1" fmla="*/ 97155 h 478672"/>
              <a:gd name="connsiteX2" fmla="*/ 0 w 2361516"/>
              <a:gd name="connsiteY2" fmla="*/ 478672 h 478672"/>
              <a:gd name="connsiteX0" fmla="*/ 2391291 w 2391291"/>
              <a:gd name="connsiteY0" fmla="*/ 1905 h 393680"/>
              <a:gd name="connsiteX1" fmla="*/ 1248291 w 2391291"/>
              <a:gd name="connsiteY1" fmla="*/ 97155 h 393680"/>
              <a:gd name="connsiteX2" fmla="*/ 0 w 2391291"/>
              <a:gd name="connsiteY2" fmla="*/ 393680 h 393680"/>
              <a:gd name="connsiteX0" fmla="*/ 2380900 w 2380900"/>
              <a:gd name="connsiteY0" fmla="*/ 1905 h 288224"/>
              <a:gd name="connsiteX1" fmla="*/ 1237900 w 2380900"/>
              <a:gd name="connsiteY1" fmla="*/ 97155 h 288224"/>
              <a:gd name="connsiteX2" fmla="*/ 0 w 2380900"/>
              <a:gd name="connsiteY2" fmla="*/ 288224 h 288224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0 h 286319"/>
              <a:gd name="connsiteX1" fmla="*/ 0 w 2380900"/>
              <a:gd name="connsiteY1" fmla="*/ 286319 h 286319"/>
              <a:gd name="connsiteX0" fmla="*/ 2380900 w 2380900"/>
              <a:gd name="connsiteY0" fmla="*/ 41395 h 327714"/>
              <a:gd name="connsiteX1" fmla="*/ 0 w 2380900"/>
              <a:gd name="connsiteY1" fmla="*/ 327714 h 327714"/>
              <a:gd name="connsiteX0" fmla="*/ 2368991 w 2368991"/>
              <a:gd name="connsiteY0" fmla="*/ 44496 h 319092"/>
              <a:gd name="connsiteX1" fmla="*/ 0 w 2368991"/>
              <a:gd name="connsiteY1" fmla="*/ 319092 h 319092"/>
              <a:gd name="connsiteX0" fmla="*/ 2368991 w 2368991"/>
              <a:gd name="connsiteY0" fmla="*/ 64084 h 338680"/>
              <a:gd name="connsiteX1" fmla="*/ 0 w 2368991"/>
              <a:gd name="connsiteY1" fmla="*/ 338680 h 338680"/>
              <a:gd name="connsiteX0" fmla="*/ 2376265 w 2376265"/>
              <a:gd name="connsiteY0" fmla="*/ 63217 h 340194"/>
              <a:gd name="connsiteX1" fmla="*/ 0 w 2376265"/>
              <a:gd name="connsiteY1" fmla="*/ 340194 h 340194"/>
              <a:gd name="connsiteX0" fmla="*/ 2404550 w 2404550"/>
              <a:gd name="connsiteY0" fmla="*/ 66655 h 334340"/>
              <a:gd name="connsiteX1" fmla="*/ 0 w 2404550"/>
              <a:gd name="connsiteY1" fmla="*/ 334340 h 334340"/>
              <a:gd name="connsiteX0" fmla="*/ 2404550 w 2404550"/>
              <a:gd name="connsiteY0" fmla="*/ 50981 h 318666"/>
              <a:gd name="connsiteX1" fmla="*/ 0 w 2404550"/>
              <a:gd name="connsiteY1" fmla="*/ 318666 h 318666"/>
              <a:gd name="connsiteX0" fmla="*/ 2399835 w 2399835"/>
              <a:gd name="connsiteY0" fmla="*/ 45602 h 327226"/>
              <a:gd name="connsiteX1" fmla="*/ 0 w 2399835"/>
              <a:gd name="connsiteY1" fmla="*/ 327226 h 327226"/>
              <a:gd name="connsiteX0" fmla="*/ 2399835 w 2399835"/>
              <a:gd name="connsiteY0" fmla="*/ 40539 h 322163"/>
              <a:gd name="connsiteX1" fmla="*/ 0 w 2399835"/>
              <a:gd name="connsiteY1" fmla="*/ 322163 h 322163"/>
              <a:gd name="connsiteX0" fmla="*/ 2694634 w 2694634"/>
              <a:gd name="connsiteY0" fmla="*/ 46998 h 312294"/>
              <a:gd name="connsiteX1" fmla="*/ 0 w 2694634"/>
              <a:gd name="connsiteY1" fmla="*/ 312294 h 312294"/>
              <a:gd name="connsiteX0" fmla="*/ 2694634 w 2694634"/>
              <a:gd name="connsiteY0" fmla="*/ 35843 h 301139"/>
              <a:gd name="connsiteX1" fmla="*/ 0 w 2694634"/>
              <a:gd name="connsiteY1" fmla="*/ 301139 h 301139"/>
              <a:gd name="connsiteX0" fmla="*/ 2741324 w 2741324"/>
              <a:gd name="connsiteY0" fmla="*/ 33228 h 304669"/>
              <a:gd name="connsiteX1" fmla="*/ 0 w 2741324"/>
              <a:gd name="connsiteY1" fmla="*/ 304669 h 304669"/>
              <a:gd name="connsiteX0" fmla="*/ 2587973 w 2587973"/>
              <a:gd name="connsiteY0" fmla="*/ 30173 h 309036"/>
              <a:gd name="connsiteX1" fmla="*/ 0 w 2587973"/>
              <a:gd name="connsiteY1" fmla="*/ 309036 h 309036"/>
              <a:gd name="connsiteX0" fmla="*/ 2706128 w 2706128"/>
              <a:gd name="connsiteY0" fmla="*/ 30173 h 309036"/>
              <a:gd name="connsiteX1" fmla="*/ 0 w 2706128"/>
              <a:gd name="connsiteY1" fmla="*/ 309036 h 309036"/>
              <a:gd name="connsiteX0" fmla="*/ 2785971 w 2785971"/>
              <a:gd name="connsiteY0" fmla="*/ 30173 h 309036"/>
              <a:gd name="connsiteX1" fmla="*/ 0 w 2785971"/>
              <a:gd name="connsiteY1" fmla="*/ 309036 h 309036"/>
              <a:gd name="connsiteX0" fmla="*/ 2786893 w 2786893"/>
              <a:gd name="connsiteY0" fmla="*/ 29833 h 309540"/>
              <a:gd name="connsiteX1" fmla="*/ 0 w 2786893"/>
              <a:gd name="connsiteY1" fmla="*/ 309540 h 309540"/>
              <a:gd name="connsiteX0" fmla="*/ 2786893 w 2786893"/>
              <a:gd name="connsiteY0" fmla="*/ 48718 h 328425"/>
              <a:gd name="connsiteX1" fmla="*/ 0 w 2786893"/>
              <a:gd name="connsiteY1" fmla="*/ 328425 h 328425"/>
              <a:gd name="connsiteX0" fmla="*/ 2786893 w 2786893"/>
              <a:gd name="connsiteY0" fmla="*/ 10416 h 290123"/>
              <a:gd name="connsiteX1" fmla="*/ 0 w 2786893"/>
              <a:gd name="connsiteY1" fmla="*/ 290123 h 290123"/>
              <a:gd name="connsiteX0" fmla="*/ 2786893 w 2786893"/>
              <a:gd name="connsiteY0" fmla="*/ 12425 h 292132"/>
              <a:gd name="connsiteX1" fmla="*/ 0 w 2786893"/>
              <a:gd name="connsiteY1" fmla="*/ 292132 h 292132"/>
              <a:gd name="connsiteX0" fmla="*/ 3251375 w 3251375"/>
              <a:gd name="connsiteY0" fmla="*/ 361973 h 361972"/>
              <a:gd name="connsiteX1" fmla="*/ 0 w 3251375"/>
              <a:gd name="connsiteY1" fmla="*/ 69841 h 361972"/>
              <a:gd name="connsiteX0" fmla="*/ 3715857 w 3715857"/>
              <a:gd name="connsiteY0" fmla="*/ 350852 h 350853"/>
              <a:gd name="connsiteX1" fmla="*/ 0 w 3715857"/>
              <a:gd name="connsiteY1" fmla="*/ 71146 h 350853"/>
              <a:gd name="connsiteX0" fmla="*/ 3715857 w 3715857"/>
              <a:gd name="connsiteY0" fmla="*/ 365062 h 365062"/>
              <a:gd name="connsiteX1" fmla="*/ 0 w 3715857"/>
              <a:gd name="connsiteY1" fmla="*/ 85356 h 365062"/>
              <a:gd name="connsiteX0" fmla="*/ 3715857 w 3715857"/>
              <a:gd name="connsiteY0" fmla="*/ 279706 h 279706"/>
              <a:gd name="connsiteX1" fmla="*/ 0 w 3715857"/>
              <a:gd name="connsiteY1" fmla="*/ 0 h 279706"/>
              <a:gd name="connsiteX0" fmla="*/ 3715857 w 3715857"/>
              <a:gd name="connsiteY0" fmla="*/ 279784 h 279784"/>
              <a:gd name="connsiteX1" fmla="*/ 0 w 3715857"/>
              <a:gd name="connsiteY1" fmla="*/ 78 h 279784"/>
              <a:gd name="connsiteX0" fmla="*/ 3715514 w 3715514"/>
              <a:gd name="connsiteY0" fmla="*/ 297261 h 297261"/>
              <a:gd name="connsiteX1" fmla="*/ 0 w 3715514"/>
              <a:gd name="connsiteY1" fmla="*/ 69 h 29726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3715514" h="297261">
                <a:moveTo>
                  <a:pt x="3715514" y="297261"/>
                </a:moveTo>
                <a:cubicBezTo>
                  <a:pt x="2877150" y="128885"/>
                  <a:pt x="1407862" y="-3456"/>
                  <a:pt x="0" y="69"/>
                </a:cubicBezTo>
              </a:path>
            </a:pathLst>
          </a:custGeom>
          <a:ln/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212" name="Straight Connector 211">
            <a:extLst>
              <a:ext uri="{FF2B5EF4-FFF2-40B4-BE49-F238E27FC236}">
                <a16:creationId xmlns:a16="http://schemas.microsoft.com/office/drawing/2014/main" id="{2313632F-E1FA-4BFC-9160-EC52A19D020A}"/>
              </a:ext>
            </a:extLst>
          </xdr:cNvPr>
          <xdr:cNvCxnSpPr/>
        </xdr:nvCxnSpPr>
        <xdr:spPr>
          <a:xfrm>
            <a:off x="1086715" y="1924050"/>
            <a:ext cx="0" cy="1714500"/>
          </a:xfrm>
          <a:prstGeom prst="line">
            <a:avLst/>
          </a:prstGeom>
          <a:ln w="9525">
            <a:solidFill>
              <a:sysClr val="windowText" lastClr="000000"/>
            </a:solidFill>
            <a:headEnd type="stealth" w="med" len="med"/>
            <a:tailEnd type="stealth" w="med" len="med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cxnSp macro="">
        <xdr:nvCxnSpPr>
          <xdr:cNvPr id="216" name="Straight Connector 215">
            <a:extLst>
              <a:ext uri="{FF2B5EF4-FFF2-40B4-BE49-F238E27FC236}">
                <a16:creationId xmlns:a16="http://schemas.microsoft.com/office/drawing/2014/main" id="{A2339384-D15A-BD55-4B81-2EAE4C668FC0}"/>
              </a:ext>
            </a:extLst>
          </xdr:cNvPr>
          <xdr:cNvCxnSpPr/>
        </xdr:nvCxnSpPr>
        <xdr:spPr>
          <a:xfrm>
            <a:off x="1849855" y="1440906"/>
            <a:ext cx="105276" cy="375987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0" name="Straight Connector 219">
            <a:extLst>
              <a:ext uri="{FF2B5EF4-FFF2-40B4-BE49-F238E27FC236}">
                <a16:creationId xmlns:a16="http://schemas.microsoft.com/office/drawing/2014/main" id="{F785E7E9-EA6F-B43D-E932-9213C0038149}"/>
              </a:ext>
            </a:extLst>
          </xdr:cNvPr>
          <xdr:cNvCxnSpPr/>
        </xdr:nvCxnSpPr>
        <xdr:spPr>
          <a:xfrm flipV="1">
            <a:off x="1849855" y="3704034"/>
            <a:ext cx="120629" cy="391966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4" name="Straight Arrow Connector 223">
            <a:extLst>
              <a:ext uri="{FF2B5EF4-FFF2-40B4-BE49-F238E27FC236}">
                <a16:creationId xmlns:a16="http://schemas.microsoft.com/office/drawing/2014/main" id="{212E001C-170E-4F45-94FF-F0F37321AE32}"/>
              </a:ext>
            </a:extLst>
          </xdr:cNvPr>
          <xdr:cNvCxnSpPr/>
        </xdr:nvCxnSpPr>
        <xdr:spPr>
          <a:xfrm>
            <a:off x="3701143" y="2158093"/>
            <a:ext cx="477610" cy="201386"/>
          </a:xfrm>
          <a:prstGeom prst="straightConnector1">
            <a:avLst/>
          </a:prstGeom>
          <a:ln w="12700">
            <a:solidFill>
              <a:schemeClr val="bg2">
                <a:lumMod val="10000"/>
              </a:schemeClr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9" name="Straight Arrow Connector 228">
            <a:extLst>
              <a:ext uri="{FF2B5EF4-FFF2-40B4-BE49-F238E27FC236}">
                <a16:creationId xmlns:a16="http://schemas.microsoft.com/office/drawing/2014/main" id="{8908B034-94F6-9A60-5F71-BC184D0041ED}"/>
              </a:ext>
            </a:extLst>
          </xdr:cNvPr>
          <xdr:cNvCxnSpPr/>
        </xdr:nvCxnSpPr>
        <xdr:spPr>
          <a:xfrm flipH="1">
            <a:off x="3596370" y="2914650"/>
            <a:ext cx="477610" cy="201386"/>
          </a:xfrm>
          <a:prstGeom prst="straightConnector1">
            <a:avLst/>
          </a:prstGeom>
          <a:ln w="12700">
            <a:solidFill>
              <a:schemeClr val="bg2">
                <a:lumMod val="10000"/>
              </a:schemeClr>
            </a:solidFill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2" name="Freeform: Shape 231">
            <a:extLst>
              <a:ext uri="{FF2B5EF4-FFF2-40B4-BE49-F238E27FC236}">
                <a16:creationId xmlns:a16="http://schemas.microsoft.com/office/drawing/2014/main" id="{495527CB-B0B1-A772-0EDC-08EB5F71B5C1}"/>
              </a:ext>
            </a:extLst>
          </xdr:cNvPr>
          <xdr:cNvSpPr/>
        </xdr:nvSpPr>
        <xdr:spPr>
          <a:xfrm flipV="1">
            <a:off x="3624492" y="2264838"/>
            <a:ext cx="347977" cy="332745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407991 w 462528"/>
              <a:gd name="connsiteY0" fmla="*/ 419229 h 506633"/>
              <a:gd name="connsiteX1" fmla="*/ 28329 w 462528"/>
              <a:gd name="connsiteY1" fmla="*/ 1 h 506633"/>
              <a:gd name="connsiteX0" fmla="*/ 443540 w 443540"/>
              <a:gd name="connsiteY0" fmla="*/ 899648 h 899648"/>
              <a:gd name="connsiteX1" fmla="*/ 63878 w 443540"/>
              <a:gd name="connsiteY1" fmla="*/ 480420 h 899648"/>
              <a:gd name="connsiteX0" fmla="*/ 594346 w 594346"/>
              <a:gd name="connsiteY0" fmla="*/ 1416473 h 1416473"/>
              <a:gd name="connsiteX1" fmla="*/ 46568 w 594346"/>
              <a:gd name="connsiteY1" fmla="*/ 26475 h 1416473"/>
              <a:gd name="connsiteX0" fmla="*/ 798119 w 798119"/>
              <a:gd name="connsiteY0" fmla="*/ 1426861 h 1426861"/>
              <a:gd name="connsiteX1" fmla="*/ 250341 w 798119"/>
              <a:gd name="connsiteY1" fmla="*/ 36863 h 1426861"/>
              <a:gd name="connsiteX0" fmla="*/ 571312 w 571312"/>
              <a:gd name="connsiteY0" fmla="*/ 1416477 h 1416477"/>
              <a:gd name="connsiteX1" fmla="*/ 23534 w 571312"/>
              <a:gd name="connsiteY1" fmla="*/ 26479 h 1416477"/>
              <a:gd name="connsiteX0" fmla="*/ 320129 w 320129"/>
              <a:gd name="connsiteY0" fmla="*/ 1416477 h 1416477"/>
              <a:gd name="connsiteX1" fmla="*/ 52545 w 320129"/>
              <a:gd name="connsiteY1" fmla="*/ 26479 h 1416477"/>
              <a:gd name="connsiteX0" fmla="*/ 267584 w 267584"/>
              <a:gd name="connsiteY0" fmla="*/ 1437262 h 1437262"/>
              <a:gd name="connsiteX1" fmla="*/ 0 w 267584"/>
              <a:gd name="connsiteY1" fmla="*/ 47264 h 1437262"/>
              <a:gd name="connsiteX0" fmla="*/ 687876 w 687876"/>
              <a:gd name="connsiteY0" fmla="*/ 1418704 h 1418704"/>
              <a:gd name="connsiteX1" fmla="*/ 0 w 687876"/>
              <a:gd name="connsiteY1" fmla="*/ 52384 h 1418704"/>
              <a:gd name="connsiteX0" fmla="*/ 687876 w 687876"/>
              <a:gd name="connsiteY0" fmla="*/ 1387331 h 1387331"/>
              <a:gd name="connsiteX1" fmla="*/ 0 w 687876"/>
              <a:gd name="connsiteY1" fmla="*/ 21011 h 1387331"/>
              <a:gd name="connsiteX0" fmla="*/ 813964 w 813964"/>
              <a:gd name="connsiteY0" fmla="*/ 1465234 h 1465234"/>
              <a:gd name="connsiteX1" fmla="*/ 0 w 813964"/>
              <a:gd name="connsiteY1" fmla="*/ 4202 h 1465234"/>
              <a:gd name="connsiteX0" fmla="*/ 813964 w 813964"/>
              <a:gd name="connsiteY0" fmla="*/ 1461032 h 1461032"/>
              <a:gd name="connsiteX1" fmla="*/ 0 w 813964"/>
              <a:gd name="connsiteY1" fmla="*/ 0 h 1461032"/>
              <a:gd name="connsiteX0" fmla="*/ 813964 w 813964"/>
              <a:gd name="connsiteY0" fmla="*/ 1473730 h 1473730"/>
              <a:gd name="connsiteX1" fmla="*/ 0 w 813964"/>
              <a:gd name="connsiteY1" fmla="*/ 12698 h 1473730"/>
              <a:gd name="connsiteX0" fmla="*/ 962992 w 962992"/>
              <a:gd name="connsiteY0" fmla="*/ 1473730 h 1473730"/>
              <a:gd name="connsiteX1" fmla="*/ 0 w 962992"/>
              <a:gd name="connsiteY1" fmla="*/ 12698 h 1473730"/>
              <a:gd name="connsiteX0" fmla="*/ 928004 w 928004"/>
              <a:gd name="connsiteY0" fmla="*/ 1500527 h 1500527"/>
              <a:gd name="connsiteX1" fmla="*/ 0 w 928004"/>
              <a:gd name="connsiteY1" fmla="*/ 9901 h 1500527"/>
              <a:gd name="connsiteX0" fmla="*/ 893016 w 893016"/>
              <a:gd name="connsiteY0" fmla="*/ 1447494 h 1447494"/>
              <a:gd name="connsiteX1" fmla="*/ 0 w 893016"/>
              <a:gd name="connsiteY1" fmla="*/ 16061 h 14474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893016" h="1447494">
                <a:moveTo>
                  <a:pt x="893016" y="1447494"/>
                </a:moveTo>
                <a:cubicBezTo>
                  <a:pt x="436228" y="-203701"/>
                  <a:pt x="145828" y="92"/>
                  <a:pt x="0" y="16061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233" name="Freeform: Shape 232">
            <a:extLst>
              <a:ext uri="{FF2B5EF4-FFF2-40B4-BE49-F238E27FC236}">
                <a16:creationId xmlns:a16="http://schemas.microsoft.com/office/drawing/2014/main" id="{A3788F1B-527F-4430-9989-67C01D0BBC2B}"/>
              </a:ext>
            </a:extLst>
          </xdr:cNvPr>
          <xdr:cNvSpPr/>
        </xdr:nvSpPr>
        <xdr:spPr>
          <a:xfrm>
            <a:off x="3621061" y="2601369"/>
            <a:ext cx="333988" cy="366918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407991 w 462528"/>
              <a:gd name="connsiteY0" fmla="*/ 419229 h 506633"/>
              <a:gd name="connsiteX1" fmla="*/ 28329 w 462528"/>
              <a:gd name="connsiteY1" fmla="*/ 1 h 506633"/>
              <a:gd name="connsiteX0" fmla="*/ 443540 w 443540"/>
              <a:gd name="connsiteY0" fmla="*/ 899648 h 899648"/>
              <a:gd name="connsiteX1" fmla="*/ 63878 w 443540"/>
              <a:gd name="connsiteY1" fmla="*/ 480420 h 899648"/>
              <a:gd name="connsiteX0" fmla="*/ 594346 w 594346"/>
              <a:gd name="connsiteY0" fmla="*/ 1416473 h 1416473"/>
              <a:gd name="connsiteX1" fmla="*/ 46568 w 594346"/>
              <a:gd name="connsiteY1" fmla="*/ 26475 h 1416473"/>
              <a:gd name="connsiteX0" fmla="*/ 798119 w 798119"/>
              <a:gd name="connsiteY0" fmla="*/ 1426861 h 1426861"/>
              <a:gd name="connsiteX1" fmla="*/ 250341 w 798119"/>
              <a:gd name="connsiteY1" fmla="*/ 36863 h 1426861"/>
              <a:gd name="connsiteX0" fmla="*/ 571312 w 571312"/>
              <a:gd name="connsiteY0" fmla="*/ 1416477 h 1416477"/>
              <a:gd name="connsiteX1" fmla="*/ 23534 w 571312"/>
              <a:gd name="connsiteY1" fmla="*/ 26479 h 1416477"/>
              <a:gd name="connsiteX0" fmla="*/ 320129 w 320129"/>
              <a:gd name="connsiteY0" fmla="*/ 1416477 h 1416477"/>
              <a:gd name="connsiteX1" fmla="*/ 52545 w 320129"/>
              <a:gd name="connsiteY1" fmla="*/ 26479 h 1416477"/>
              <a:gd name="connsiteX0" fmla="*/ 267584 w 267584"/>
              <a:gd name="connsiteY0" fmla="*/ 1437262 h 1437262"/>
              <a:gd name="connsiteX1" fmla="*/ 0 w 267584"/>
              <a:gd name="connsiteY1" fmla="*/ 47264 h 1437262"/>
              <a:gd name="connsiteX0" fmla="*/ 687876 w 687876"/>
              <a:gd name="connsiteY0" fmla="*/ 1418704 h 1418704"/>
              <a:gd name="connsiteX1" fmla="*/ 0 w 687876"/>
              <a:gd name="connsiteY1" fmla="*/ 52384 h 1418704"/>
              <a:gd name="connsiteX0" fmla="*/ 687876 w 687876"/>
              <a:gd name="connsiteY0" fmla="*/ 1387331 h 1387331"/>
              <a:gd name="connsiteX1" fmla="*/ 0 w 687876"/>
              <a:gd name="connsiteY1" fmla="*/ 21011 h 1387331"/>
              <a:gd name="connsiteX0" fmla="*/ 813964 w 813964"/>
              <a:gd name="connsiteY0" fmla="*/ 1465234 h 1465234"/>
              <a:gd name="connsiteX1" fmla="*/ 0 w 813964"/>
              <a:gd name="connsiteY1" fmla="*/ 4202 h 1465234"/>
              <a:gd name="connsiteX0" fmla="*/ 813964 w 813964"/>
              <a:gd name="connsiteY0" fmla="*/ 1461032 h 1461032"/>
              <a:gd name="connsiteX1" fmla="*/ 0 w 813964"/>
              <a:gd name="connsiteY1" fmla="*/ 0 h 1461032"/>
              <a:gd name="connsiteX0" fmla="*/ 813964 w 813964"/>
              <a:gd name="connsiteY0" fmla="*/ 1473730 h 1473730"/>
              <a:gd name="connsiteX1" fmla="*/ 0 w 813964"/>
              <a:gd name="connsiteY1" fmla="*/ 12698 h 1473730"/>
              <a:gd name="connsiteX0" fmla="*/ 765431 w 765431"/>
              <a:gd name="connsiteY0" fmla="*/ 1581601 h 1581601"/>
              <a:gd name="connsiteX1" fmla="*/ 0 w 765431"/>
              <a:gd name="connsiteY1" fmla="*/ 4550 h 1581601"/>
              <a:gd name="connsiteX0" fmla="*/ 736311 w 736311"/>
              <a:gd name="connsiteY0" fmla="*/ 1613579 h 1613579"/>
              <a:gd name="connsiteX1" fmla="*/ 0 w 736311"/>
              <a:gd name="connsiteY1" fmla="*/ 3380 h 1613579"/>
              <a:gd name="connsiteX0" fmla="*/ 736311 w 736311"/>
              <a:gd name="connsiteY0" fmla="*/ 1610199 h 1610199"/>
              <a:gd name="connsiteX1" fmla="*/ 0 w 736311"/>
              <a:gd name="connsiteY1" fmla="*/ 0 h 1610199"/>
              <a:gd name="connsiteX0" fmla="*/ 910298 w 910298"/>
              <a:gd name="connsiteY0" fmla="*/ 1596152 h 1596152"/>
              <a:gd name="connsiteX1" fmla="*/ 0 w 910298"/>
              <a:gd name="connsiteY1" fmla="*/ 0 h 1596152"/>
              <a:gd name="connsiteX0" fmla="*/ 857773 w 857773"/>
              <a:gd name="connsiteY0" fmla="*/ 1596152 h 1596152"/>
              <a:gd name="connsiteX1" fmla="*/ 0 w 857773"/>
              <a:gd name="connsiteY1" fmla="*/ 0 h 159615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857773" h="1596152">
                <a:moveTo>
                  <a:pt x="857773" y="1596152"/>
                </a:moveTo>
                <a:cubicBezTo>
                  <a:pt x="400985" y="-55043"/>
                  <a:pt x="252599" y="33753"/>
                  <a:pt x="0" y="0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cxnSp macro="">
        <xdr:nvCxnSpPr>
          <xdr:cNvPr id="263" name="Straight Connector 262">
            <a:extLst>
              <a:ext uri="{FF2B5EF4-FFF2-40B4-BE49-F238E27FC236}">
                <a16:creationId xmlns:a16="http://schemas.microsoft.com/office/drawing/2014/main" id="{D41571AA-59E2-4455-A2BD-594A4CFE61B7}"/>
              </a:ext>
            </a:extLst>
          </xdr:cNvPr>
          <xdr:cNvCxnSpPr/>
        </xdr:nvCxnSpPr>
        <xdr:spPr>
          <a:xfrm flipH="1" flipV="1">
            <a:off x="5474368" y="2746208"/>
            <a:ext cx="473898" cy="987920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5" name="Straight Arrow Connector 274">
            <a:extLst>
              <a:ext uri="{FF2B5EF4-FFF2-40B4-BE49-F238E27FC236}">
                <a16:creationId xmlns:a16="http://schemas.microsoft.com/office/drawing/2014/main" id="{416C72EC-B633-5E40-7E9D-C5852335A0A4}"/>
              </a:ext>
            </a:extLst>
          </xdr:cNvPr>
          <xdr:cNvCxnSpPr/>
        </xdr:nvCxnSpPr>
        <xdr:spPr>
          <a:xfrm>
            <a:off x="1996990" y="1152525"/>
            <a:ext cx="3793364" cy="0"/>
          </a:xfrm>
          <a:prstGeom prst="straightConnector1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  <a:headEnd type="stealth"/>
            <a:tailEnd type="stealt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Freeform: Shape 4">
            <a:extLst>
              <a:ext uri="{FF2B5EF4-FFF2-40B4-BE49-F238E27FC236}">
                <a16:creationId xmlns:a16="http://schemas.microsoft.com/office/drawing/2014/main" id="{ACAD5558-CD34-1A22-CE84-2C4C1EE32DED}"/>
              </a:ext>
            </a:extLst>
          </xdr:cNvPr>
          <xdr:cNvSpPr/>
        </xdr:nvSpPr>
        <xdr:spPr>
          <a:xfrm flipV="1">
            <a:off x="6364987" y="2890402"/>
            <a:ext cx="133872" cy="266951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73697 w 573697"/>
              <a:gd name="connsiteY0" fmla="*/ 1236124 h 1236124"/>
              <a:gd name="connsiteX1" fmla="*/ 0 w 573697"/>
              <a:gd name="connsiteY1" fmla="*/ 24 h 1236124"/>
              <a:gd name="connsiteX0" fmla="*/ 605098 w 605098"/>
              <a:gd name="connsiteY0" fmla="*/ 1185541 h 1185541"/>
              <a:gd name="connsiteX1" fmla="*/ 0 w 605098"/>
              <a:gd name="connsiteY1" fmla="*/ 24 h 1185541"/>
              <a:gd name="connsiteX0" fmla="*/ 623938 w 623938"/>
              <a:gd name="connsiteY0" fmla="*/ 1094492 h 1094493"/>
              <a:gd name="connsiteX1" fmla="*/ 0 w 623938"/>
              <a:gd name="connsiteY1" fmla="*/ 27 h 1094493"/>
              <a:gd name="connsiteX0" fmla="*/ 682739 w 682739"/>
              <a:gd name="connsiteY0" fmla="*/ 1080925 h 1080926"/>
              <a:gd name="connsiteX1" fmla="*/ 0 w 682739"/>
              <a:gd name="connsiteY1" fmla="*/ 28 h 1080926"/>
              <a:gd name="connsiteX0" fmla="*/ 559691 w 559691"/>
              <a:gd name="connsiteY0" fmla="*/ 1157120 h 1157120"/>
              <a:gd name="connsiteX1" fmla="*/ 0 w 559691"/>
              <a:gd name="connsiteY1" fmla="*/ 25 h 1157120"/>
              <a:gd name="connsiteX0" fmla="*/ 592504 w 592504"/>
              <a:gd name="connsiteY0" fmla="*/ 1157120 h 1157120"/>
              <a:gd name="connsiteX1" fmla="*/ 0 w 592504"/>
              <a:gd name="connsiteY1" fmla="*/ 25 h 1157120"/>
              <a:gd name="connsiteX0" fmla="*/ 93595 w 557215"/>
              <a:gd name="connsiteY0" fmla="*/ 104217 h 750465"/>
              <a:gd name="connsiteX1" fmla="*/ 485477 w 557215"/>
              <a:gd name="connsiteY1" fmla="*/ 750464 h 750465"/>
              <a:gd name="connsiteX0" fmla="*/ 135690 w 527571"/>
              <a:gd name="connsiteY0" fmla="*/ 104217 h 750465"/>
              <a:gd name="connsiteX1" fmla="*/ 527572 w 527571"/>
              <a:gd name="connsiteY1" fmla="*/ 750464 h 750465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391881"/>
              <a:gd name="connsiteY0" fmla="*/ 0 h 646248"/>
              <a:gd name="connsiteX1" fmla="*/ 391882 w 391881"/>
              <a:gd name="connsiteY1" fmla="*/ 646247 h 646248"/>
              <a:gd name="connsiteX0" fmla="*/ 0 w 432899"/>
              <a:gd name="connsiteY0" fmla="*/ 0 h 646248"/>
              <a:gd name="connsiteX1" fmla="*/ 432899 w 432899"/>
              <a:gd name="connsiteY1" fmla="*/ 646248 h 646248"/>
              <a:gd name="connsiteX0" fmla="*/ 0 w 432899"/>
              <a:gd name="connsiteY0" fmla="*/ 0 h 646427"/>
              <a:gd name="connsiteX1" fmla="*/ 432899 w 432899"/>
              <a:gd name="connsiteY1" fmla="*/ 646248 h 646427"/>
              <a:gd name="connsiteX0" fmla="*/ 0 w 432899"/>
              <a:gd name="connsiteY0" fmla="*/ 0 h 646386"/>
              <a:gd name="connsiteX1" fmla="*/ 432899 w 432899"/>
              <a:gd name="connsiteY1" fmla="*/ 646248 h 646386"/>
              <a:gd name="connsiteX0" fmla="*/ 218926 w 286745"/>
              <a:gd name="connsiteY0" fmla="*/ 0 h 312820"/>
              <a:gd name="connsiteX1" fmla="*/ 35747 w 286745"/>
              <a:gd name="connsiteY1" fmla="*/ 309589 h 312820"/>
              <a:gd name="connsiteX0" fmla="*/ 667384 w 710552"/>
              <a:gd name="connsiteY0" fmla="*/ 467325 h 550652"/>
              <a:gd name="connsiteX1" fmla="*/ 22149 w 710552"/>
              <a:gd name="connsiteY1" fmla="*/ 0 h 550652"/>
              <a:gd name="connsiteX0" fmla="*/ 411619 w 465955"/>
              <a:gd name="connsiteY0" fmla="*/ 778091 h 842100"/>
              <a:gd name="connsiteX1" fmla="*/ 28216 w 465955"/>
              <a:gd name="connsiteY1" fmla="*/ 0 h 842100"/>
              <a:gd name="connsiteX0" fmla="*/ 712785 w 754446"/>
              <a:gd name="connsiteY0" fmla="*/ 726298 h 792882"/>
              <a:gd name="connsiteX1" fmla="*/ 21342 w 754446"/>
              <a:gd name="connsiteY1" fmla="*/ 0 h 792882"/>
              <a:gd name="connsiteX0" fmla="*/ 903829 w 932497"/>
              <a:gd name="connsiteY0" fmla="*/ 726298 h 828671"/>
              <a:gd name="connsiteX1" fmla="*/ 212386 w 932497"/>
              <a:gd name="connsiteY1" fmla="*/ 0 h 828671"/>
              <a:gd name="connsiteX0" fmla="*/ 103639 w 367116"/>
              <a:gd name="connsiteY0" fmla="*/ 1270138 h 1333059"/>
              <a:gd name="connsiteX1" fmla="*/ 367116 w 367116"/>
              <a:gd name="connsiteY1" fmla="*/ 0 h 1333059"/>
              <a:gd name="connsiteX0" fmla="*/ 642460 w 676328"/>
              <a:gd name="connsiteY0" fmla="*/ 1062962 h 1136858"/>
              <a:gd name="connsiteX1" fmla="*/ 243655 w 676328"/>
              <a:gd name="connsiteY1" fmla="*/ 0 h 1136858"/>
              <a:gd name="connsiteX0" fmla="*/ 686067 w 717866"/>
              <a:gd name="connsiteY0" fmla="*/ 1080241 h 1127227"/>
              <a:gd name="connsiteX1" fmla="*/ 287262 w 717866"/>
              <a:gd name="connsiteY1" fmla="*/ 17279 h 1127227"/>
              <a:gd name="connsiteX0" fmla="*/ 753219 w 783652"/>
              <a:gd name="connsiteY0" fmla="*/ 1209867 h 1253695"/>
              <a:gd name="connsiteX1" fmla="*/ 277402 w 783652"/>
              <a:gd name="connsiteY1" fmla="*/ 16061 h 1253695"/>
              <a:gd name="connsiteX0" fmla="*/ 110823 w 431822"/>
              <a:gd name="connsiteY0" fmla="*/ 1023630 h 1072143"/>
              <a:gd name="connsiteX1" fmla="*/ 431823 w 431822"/>
              <a:gd name="connsiteY1" fmla="*/ 17878 h 1072143"/>
              <a:gd name="connsiteX0" fmla="*/ 0 w 872642"/>
              <a:gd name="connsiteY0" fmla="*/ 683547 h 743918"/>
              <a:gd name="connsiteX1" fmla="*/ 872643 w 872642"/>
              <a:gd name="connsiteY1" fmla="*/ 22559 h 743918"/>
              <a:gd name="connsiteX0" fmla="*/ 96744 w 438176"/>
              <a:gd name="connsiteY0" fmla="*/ 1054637 h 1102303"/>
              <a:gd name="connsiteX1" fmla="*/ 438177 w 438176"/>
              <a:gd name="connsiteY1" fmla="*/ 17544 h 1102303"/>
              <a:gd name="connsiteX0" fmla="*/ 96745 w 438176"/>
              <a:gd name="connsiteY0" fmla="*/ 1230331 h 1273697"/>
              <a:gd name="connsiteX1" fmla="*/ 438177 w 438176"/>
              <a:gd name="connsiteY1" fmla="*/ 15884 h 12736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438176" h="1273697">
                <a:moveTo>
                  <a:pt x="96745" y="1230331"/>
                </a:moveTo>
                <a:cubicBezTo>
                  <a:pt x="368462" y="1568028"/>
                  <a:pt x="-476117" y="-183588"/>
                  <a:pt x="438177" y="15884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  <xdr:sp macro="" textlink="">
        <xdr:nvSpPr>
          <xdr:cNvPr id="10" name="Freeform: Shape 9">
            <a:extLst>
              <a:ext uri="{FF2B5EF4-FFF2-40B4-BE49-F238E27FC236}">
                <a16:creationId xmlns:a16="http://schemas.microsoft.com/office/drawing/2014/main" id="{BD072C91-BAC6-E475-788D-74B1CF2E5DDA}"/>
              </a:ext>
            </a:extLst>
          </xdr:cNvPr>
          <xdr:cNvSpPr/>
        </xdr:nvSpPr>
        <xdr:spPr>
          <a:xfrm>
            <a:off x="5077903" y="1630107"/>
            <a:ext cx="362507" cy="127907"/>
          </a:xfrm>
          <a:custGeom>
            <a:avLst/>
            <a:gdLst>
              <a:gd name="connsiteX0" fmla="*/ 480391 w 480391"/>
              <a:gd name="connsiteY0" fmla="*/ 211759 h 211759"/>
              <a:gd name="connsiteX1" fmla="*/ 215347 w 480391"/>
              <a:gd name="connsiteY1" fmla="*/ 21259 h 211759"/>
              <a:gd name="connsiteX2" fmla="*/ 0 w 480391"/>
              <a:gd name="connsiteY2" fmla="*/ 12976 h 211759"/>
              <a:gd name="connsiteX0" fmla="*/ 610798 w 610798"/>
              <a:gd name="connsiteY0" fmla="*/ 336746 h 336746"/>
              <a:gd name="connsiteX1" fmla="*/ 345754 w 610798"/>
              <a:gd name="connsiteY1" fmla="*/ 146246 h 336746"/>
              <a:gd name="connsiteX2" fmla="*/ 0 w 610798"/>
              <a:gd name="connsiteY2" fmla="*/ 1041 h 336746"/>
              <a:gd name="connsiteX0" fmla="*/ 610798 w 610798"/>
              <a:gd name="connsiteY0" fmla="*/ 337678 h 337678"/>
              <a:gd name="connsiteX1" fmla="*/ 405030 w 610798"/>
              <a:gd name="connsiteY1" fmla="*/ 93600 h 337678"/>
              <a:gd name="connsiteX2" fmla="*/ 0 w 610798"/>
              <a:gd name="connsiteY2" fmla="*/ 1973 h 337678"/>
              <a:gd name="connsiteX0" fmla="*/ 610798 w 610798"/>
              <a:gd name="connsiteY0" fmla="*/ 335705 h 335705"/>
              <a:gd name="connsiteX1" fmla="*/ 0 w 610798"/>
              <a:gd name="connsiteY1" fmla="*/ 0 h 335705"/>
              <a:gd name="connsiteX0" fmla="*/ 610798 w 610798"/>
              <a:gd name="connsiteY0" fmla="*/ 335785 h 335785"/>
              <a:gd name="connsiteX1" fmla="*/ 0 w 610798"/>
              <a:gd name="connsiteY1" fmla="*/ 80 h 335785"/>
              <a:gd name="connsiteX0" fmla="*/ 610798 w 610798"/>
              <a:gd name="connsiteY0" fmla="*/ 335900 h 335900"/>
              <a:gd name="connsiteX1" fmla="*/ 0 w 610798"/>
              <a:gd name="connsiteY1" fmla="*/ 195 h 335900"/>
              <a:gd name="connsiteX0" fmla="*/ 564130 w 564130"/>
              <a:gd name="connsiteY0" fmla="*/ 1202281 h 1202281"/>
              <a:gd name="connsiteX1" fmla="*/ 0 w 564130"/>
              <a:gd name="connsiteY1" fmla="*/ 18 h 1202281"/>
              <a:gd name="connsiteX0" fmla="*/ 573697 w 573697"/>
              <a:gd name="connsiteY0" fmla="*/ 1236118 h 1236118"/>
              <a:gd name="connsiteX1" fmla="*/ 0 w 573697"/>
              <a:gd name="connsiteY1" fmla="*/ 18 h 1236118"/>
              <a:gd name="connsiteX0" fmla="*/ 573697 w 573697"/>
              <a:gd name="connsiteY0" fmla="*/ 1236146 h 1236146"/>
              <a:gd name="connsiteX1" fmla="*/ 0 w 573697"/>
              <a:gd name="connsiteY1" fmla="*/ 46 h 1236146"/>
              <a:gd name="connsiteX0" fmla="*/ 531513 w 531513"/>
              <a:gd name="connsiteY0" fmla="*/ 1236146 h 1236146"/>
              <a:gd name="connsiteX1" fmla="*/ 0 w 531513"/>
              <a:gd name="connsiteY1" fmla="*/ 45 h 123614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</a:cxnLst>
            <a:rect l="l" t="t" r="r" b="b"/>
            <a:pathLst>
              <a:path w="531513" h="1236146">
                <a:moveTo>
                  <a:pt x="531513" y="1236146"/>
                </a:moveTo>
                <a:cubicBezTo>
                  <a:pt x="190170" y="405766"/>
                  <a:pt x="367416" y="-4951"/>
                  <a:pt x="0" y="45"/>
                </a:cubicBezTo>
              </a:path>
            </a:pathLst>
          </a:custGeom>
          <a:noFill/>
          <a:ln w="6350">
            <a:solidFill>
              <a:sysClr val="windowText" lastClr="000000"/>
            </a:solidFill>
            <a:headEnd type="triangle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endParaRPr lang="en-US" sz="1100" kern="1200"/>
          </a:p>
        </xdr:txBody>
      </xdr:sp>
    </xdr:grp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BA4DE5-5B67-40B2-A70D-93BD3B348851}" name="Table_Zones" displayName="Table_Zones" ref="A1:E38" totalsRowShown="0" headerRowDxfId="16">
  <tableColumns count="5">
    <tableColumn id="1" xr3:uid="{C5BAEB77-A967-4049-8539-3F88A1459E66}" name="Zones"/>
    <tableColumn id="2" xr3:uid="{B0C66630-67C8-46EA-9A5B-31A1119D4EDA}" name="Abbreviated" dataDxfId="15"/>
    <tableColumn id="4" xr3:uid="{C3E333FC-B9A5-4027-8F7A-324A7181BC55}" name="Existing Required ROW (ft) (Table A 23.53.015)" dataDxfId="14"/>
    <tableColumn id="3" xr3:uid="{D01FC3B8-4BC8-423E-B9A5-0183E639FF06}" name="ROW Width for Alleys Considered to be Improved (ft) (Table B 23.53.030)" dataDxfId="13"/>
    <tableColumn id="6" xr3:uid="{37A23FFC-AFFF-4B5F-8A4B-B4CB988B22C5}" name="Warning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AC3C3A0-F65D-4B02-9DE8-518827BEE3BD}" name="Table_ROWIM_Widths" displayName="Table_ROWIM_Widths" ref="G2:AB16" totalsRowShown="0">
  <autoFilter ref="G2:AB16" xr:uid="{CAC3C3A0-F65D-4B02-9DE8-518827BEE3BD}"/>
  <tableColumns count="22">
    <tableColumn id="1" xr3:uid="{842CE18B-6CC4-4244-A9DA-CE63FAB959D7}" name="Street Type"/>
    <tableColumn id="15" xr3:uid="{6DC3DBF5-A4F7-42EB-AC7A-B27685377ACE}" name="Include?"/>
    <tableColumn id="2" xr3:uid="{085729CD-4BB9-4E20-B2BB-59C2916057D4}" name="40' Row"/>
    <tableColumn id="14" xr3:uid="{109EAEED-95A4-450A-B14D-49F8FCD91BA7}" name="52' ROW"/>
    <tableColumn id="24" xr3:uid="{8F32407F-93EE-403A-9321-706F46D8CFD5}" name="Desirable Frontage Zone" dataDxfId="12"/>
    <tableColumn id="18" xr3:uid="{D4D77E72-DF27-4B41-B85F-97EAE1EFD802}" name="Ped Clear Zone"/>
    <tableColumn id="17" xr3:uid="{095446BB-FCDA-4B0C-85D5-DA7B83260C03}" name="PDZ Ped Clear Zone"/>
    <tableColumn id="16" xr3:uid="{C7B244BC-1425-45A0-A7CC-96E5A8293F20}" name="RR Ped Clear Zone"/>
    <tableColumn id="3" xr3:uid="{7BFB0FB6-35B5-493D-9367-A5C9925E4951}" name="Landscape Zone"/>
    <tableColumn id="5" xr3:uid="{EE1D6D53-2FE6-4429-8682-F6010407F1DE}" name="RR Landscape Zone"/>
    <tableColumn id="6" xr3:uid="{5A389BEF-3650-4155-85A0-9F645ADEB86F}" name="Total Minimum Width" dataDxfId="11">
      <calculatedColumnFormula>Table_ROWIM_Widths[[#This Row],[Ped Clear Zone]]+Table_ROWIM_Widths[[#This Row],[Landscape Zone]]</calculatedColumnFormula>
    </tableColumn>
    <tableColumn id="7" xr3:uid="{0AFABD4F-5B47-46A9-9C3D-3A7F493DF9D4}" name="RR Total Minimum Width" dataDxfId="10">
      <calculatedColumnFormula>Table_ROWIM_Widths[[#This Row],[RR Ped Clear Zone]]+Table_ROWIM_Widths[[#This Row],[RR Landscape Zone]]</calculatedColumnFormula>
    </tableColumn>
    <tableColumn id="8" xr3:uid="{5C60D677-35A4-4837-8909-94E18ED55E99}" name="PDZ Total Minimum Width" dataDxfId="9">
      <calculatedColumnFormula>Table_ROWIM_Widths[[#This Row],[PDZ Ped Clear Zone]]+Table_ROWIM_Widths[[#This Row],[Landscape Zone]]</calculatedColumnFormula>
    </tableColumn>
    <tableColumn id="19" xr3:uid="{13BB556B-384B-41A7-83C1-839C2189D94E}" name="PDZ + RR Total Minimum Width" dataDxfId="8">
      <calculatedColumnFormula>MAX(Table_ROWIM_Widths[[#This Row],[PDZ Ped Clear Zone]],Table_ROWIM_Widths[[#This Row],[RR Ped Clear Zone]])+Table_ROWIM_Widths[[#This Row],[RR Landscape Zone]]</calculatedColumnFormula>
    </tableColumn>
    <tableColumn id="9" xr3:uid="{BABE8989-60A7-424A-AFDB-518A31271C8B}" name="40' ROW Pavement Width" dataDxfId="7">
      <calculatedColumnFormula>40-Table_ROWIM_Widths[[#This Row],[Total Minimum Width]]*2</calculatedColumnFormula>
    </tableColumn>
    <tableColumn id="22" xr3:uid="{29D6BF45-3EB6-4D27-B56A-779AB6B98057}" name="40' ROW RR Pavement Width" dataDxfId="6">
      <calculatedColumnFormula>40-Table_ROWIM_Widths[[#This Row],[RR Total Minimum Width]]*2</calculatedColumnFormula>
    </tableColumn>
    <tableColumn id="21" xr3:uid="{CE4B3B5E-4BE3-4A44-B690-CE99B2DDBC03}" name="40' ROW PDZ Pavement Width" dataDxfId="5">
      <calculatedColumnFormula>40-Table_ROWIM_Widths[[#This Row],[PDZ Total Minimum Width]]*2</calculatedColumnFormula>
    </tableColumn>
    <tableColumn id="20" xr3:uid="{5CF59643-383C-4AF0-856C-159D251D9FDC}" name="40' ROW PDZ+RR Pavement Width" dataDxfId="4">
      <calculatedColumnFormula>40-Table_ROWIM_Widths[[#This Row],[PDZ + RR Total Minimum Width]]*2</calculatedColumnFormula>
    </tableColumn>
    <tableColumn id="10" xr3:uid="{FE0F18CF-1C2D-46AA-BF5A-1543052FAF02}" name="52' ROW Pavement Width" dataDxfId="3">
      <calculatedColumnFormula>52-Table_ROWIM_Widths[[#This Row],[Total Minimum Width]]*2</calculatedColumnFormula>
    </tableColumn>
    <tableColumn id="23" xr3:uid="{9F06C976-ECC5-4449-8C55-F6ACBC195781}" name="52' ROW RR Pavement Width" dataDxfId="2">
      <calculatedColumnFormula>52-Table_ROWIM_Widths[[#This Row],[RR Total Minimum Width]]*2</calculatedColumnFormula>
    </tableColumn>
    <tableColumn id="25" xr3:uid="{9347E225-94AE-41FC-84AA-BCC4F3A54081}" name="52' ROW PDZ Pavement Width" dataDxfId="1">
      <calculatedColumnFormula>52-Table_ROWIM_Widths[[#This Row],[PDZ Total Minimum Width]]*2</calculatedColumnFormula>
    </tableColumn>
    <tableColumn id="26" xr3:uid="{5C22B143-1062-4BCD-8784-2E214D6FBEDF}" name="52' ROW PDZ+RR Pavement Width" dataDxfId="0">
      <calculatedColumnFormula>52-Table_ROWIM_Widths[[#This Row],[PDZ + RR Total Minimum Width]]*2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attlegov.zendesk.com/hc/en-us/articles/42125999896343--Parking-and-Driveway-to-Street-Connection-Calculato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A2CC-791C-4D27-9348-F9037EF234DE}">
  <sheetPr codeName="Sheet1">
    <tabColor theme="6" tint="0.79998168889431442"/>
  </sheetPr>
  <dimension ref="A1:BB37"/>
  <sheetViews>
    <sheetView showGridLines="0" tabSelected="1" zoomScaleNormal="100" zoomScaleSheetLayoutView="100" workbookViewId="0">
      <selection activeCell="AL3" sqref="AL3:AV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2.7109375" defaultRowHeight="14.45"/>
  <cols>
    <col min="1" max="53" width="2.7109375" style="126"/>
    <col min="54" max="54" width="2.7109375" style="126" customWidth="1"/>
    <col min="55" max="55" width="8.140625" style="126" bestFit="1" customWidth="1"/>
    <col min="56" max="56" width="2.7109375" style="126"/>
    <col min="57" max="57" width="3.28515625" style="126" bestFit="1" customWidth="1"/>
    <col min="58" max="16384" width="2.7109375" style="126"/>
  </cols>
  <sheetData>
    <row r="1" spans="1:49" ht="15" customHeight="1">
      <c r="A1" s="147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8"/>
      <c r="AC1" s="146"/>
      <c r="AD1" s="145" t="s">
        <v>1</v>
      </c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6"/>
    </row>
    <row r="2" spans="1:49" ht="15" customHeight="1">
      <c r="A2" s="72"/>
      <c r="B2" s="73" t="s">
        <v>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5"/>
      <c r="AB2" s="75"/>
      <c r="AC2" s="76"/>
      <c r="AD2" s="77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6"/>
    </row>
    <row r="3" spans="1:49" ht="15" customHeight="1">
      <c r="A3" s="78"/>
      <c r="B3" s="151" t="s">
        <v>3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3"/>
      <c r="T3" s="129"/>
      <c r="U3" s="129"/>
      <c r="V3" s="74"/>
      <c r="W3" s="74"/>
      <c r="X3" s="74"/>
      <c r="Y3" s="74"/>
      <c r="Z3" s="74"/>
      <c r="AA3" s="74"/>
      <c r="AB3" s="74"/>
      <c r="AC3" s="79"/>
      <c r="AD3" s="80"/>
      <c r="AE3" s="149" t="s">
        <v>4</v>
      </c>
      <c r="AF3" s="149"/>
      <c r="AG3" s="149"/>
      <c r="AH3" s="149"/>
      <c r="AI3" s="149"/>
      <c r="AJ3" s="149"/>
      <c r="AK3" s="150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81"/>
    </row>
    <row r="4" spans="1:49" ht="15" customHeight="1">
      <c r="A4" s="78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82"/>
      <c r="AD4" s="80"/>
      <c r="AE4" s="149" t="s">
        <v>5</v>
      </c>
      <c r="AF4" s="149"/>
      <c r="AG4" s="149"/>
      <c r="AH4" s="149"/>
      <c r="AI4" s="149"/>
      <c r="AJ4" s="149"/>
      <c r="AK4" s="150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81"/>
    </row>
    <row r="5" spans="1:49" ht="15" customHeight="1">
      <c r="A5" s="83"/>
      <c r="B5" s="135" t="s">
        <v>6</v>
      </c>
      <c r="C5" s="136"/>
      <c r="D5" s="136"/>
      <c r="E5" s="136"/>
      <c r="F5" s="137"/>
      <c r="G5" s="134"/>
      <c r="H5" s="134"/>
      <c r="I5" s="134"/>
      <c r="J5" s="134"/>
      <c r="K5" s="84"/>
      <c r="L5" s="135" t="s">
        <v>7</v>
      </c>
      <c r="M5" s="136"/>
      <c r="N5" s="136"/>
      <c r="O5" s="136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74"/>
      <c r="AC5" s="82"/>
      <c r="AD5" s="80"/>
      <c r="AE5" s="149" t="s">
        <v>8</v>
      </c>
      <c r="AF5" s="149"/>
      <c r="AG5" s="149"/>
      <c r="AH5" s="149"/>
      <c r="AI5" s="149"/>
      <c r="AJ5" s="149"/>
      <c r="AK5" s="150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81"/>
    </row>
    <row r="6" spans="1:49" ht="15" customHeight="1">
      <c r="A6" s="83"/>
      <c r="B6" s="135" t="s">
        <v>9</v>
      </c>
      <c r="C6" s="136"/>
      <c r="D6" s="136"/>
      <c r="E6" s="136"/>
      <c r="F6" s="136"/>
      <c r="G6" s="136"/>
      <c r="H6" s="137"/>
      <c r="I6" s="134"/>
      <c r="J6" s="134"/>
      <c r="K6" s="84"/>
      <c r="L6" s="135" t="s">
        <v>10</v>
      </c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58"/>
      <c r="AA6" s="134"/>
      <c r="AB6" s="134"/>
      <c r="AC6" s="82"/>
      <c r="AD6" s="85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82"/>
    </row>
    <row r="7" spans="1:49" ht="15" customHeight="1">
      <c r="A7" s="8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82"/>
      <c r="AD7" s="85"/>
      <c r="AE7" s="154" t="s">
        <v>11</v>
      </c>
      <c r="AF7" s="149"/>
      <c r="AG7" s="149"/>
      <c r="AH7" s="149"/>
      <c r="AI7" s="149"/>
      <c r="AJ7" s="149"/>
      <c r="AK7" s="155"/>
      <c r="AL7" s="156"/>
      <c r="AM7" s="157"/>
      <c r="AN7" s="157"/>
      <c r="AO7" s="157"/>
      <c r="AP7" s="157"/>
      <c r="AQ7" s="157"/>
      <c r="AR7" s="157"/>
      <c r="AS7" s="157"/>
      <c r="AT7" s="157"/>
      <c r="AU7" s="157"/>
      <c r="AV7" s="157"/>
      <c r="AW7" s="82"/>
    </row>
    <row r="8" spans="1:49" ht="15" customHeight="1" thickBot="1">
      <c r="A8" s="86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8"/>
      <c r="AD8" s="89"/>
      <c r="AE8" s="89"/>
      <c r="AF8" s="89"/>
      <c r="AG8" s="89"/>
      <c r="AH8" s="89"/>
      <c r="AI8" s="89"/>
      <c r="AJ8" s="89"/>
      <c r="AK8" s="89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88"/>
    </row>
    <row r="9" spans="1:49" ht="15" customHeight="1">
      <c r="A9" s="90"/>
      <c r="B9" s="91"/>
      <c r="C9" s="92"/>
      <c r="D9" s="92"/>
      <c r="E9" s="92"/>
      <c r="F9" s="92"/>
      <c r="G9" s="92"/>
      <c r="H9" s="92"/>
      <c r="I9" s="9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93"/>
      <c r="AS9" s="94"/>
      <c r="AT9" s="94"/>
      <c r="AU9" s="94"/>
      <c r="AV9" s="94"/>
      <c r="AW9" s="95"/>
    </row>
    <row r="10" spans="1:49" ht="15" customHeight="1">
      <c r="A10" s="90"/>
      <c r="B10" s="91"/>
      <c r="C10" s="92"/>
      <c r="D10" s="92"/>
      <c r="E10" s="92"/>
      <c r="F10" s="92"/>
      <c r="G10" s="92"/>
      <c r="H10" s="92"/>
      <c r="I10" s="92"/>
      <c r="J10" s="2"/>
      <c r="K10" s="2"/>
      <c r="L10" s="96"/>
      <c r="M10" s="96"/>
      <c r="N10" s="96"/>
      <c r="O10" s="96"/>
      <c r="P10" s="96"/>
      <c r="Q10" s="96"/>
      <c r="R10" s="96"/>
      <c r="S10" s="96"/>
      <c r="T10" s="96"/>
      <c r="U10" s="97" t="s">
        <v>12</v>
      </c>
      <c r="V10" s="161" t="str" cm="1">
        <f t="array" ref="V10">IF(_nc_ErrorFlag_F,"ERROR",nc_F)</f>
        <v>ERROR</v>
      </c>
      <c r="W10" s="161"/>
      <c r="X10" s="161"/>
      <c r="Y10" s="161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93"/>
      <c r="AS10" s="94"/>
      <c r="AT10" s="94"/>
      <c r="AU10" s="94"/>
      <c r="AV10" s="94"/>
      <c r="AW10" s="95"/>
    </row>
    <row r="11" spans="1:49" ht="15" customHeight="1">
      <c r="A11" s="132"/>
      <c r="B11" s="133"/>
      <c r="C11" s="133"/>
      <c r="D11" s="133"/>
      <c r="E11" s="9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2"/>
      <c r="AT11" s="2"/>
      <c r="AU11" s="2"/>
      <c r="AV11" s="2"/>
      <c r="AW11" s="95"/>
    </row>
    <row r="12" spans="1:49" ht="15" customHeight="1">
      <c r="A12" s="132"/>
      <c r="B12" s="133"/>
      <c r="C12" s="133"/>
      <c r="D12" s="133"/>
      <c r="E12" s="98"/>
      <c r="F12" s="2"/>
      <c r="G12" s="2"/>
      <c r="H12" s="160" t="s">
        <v>13</v>
      </c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2"/>
      <c r="AB12" s="2"/>
      <c r="AC12" s="159" t="s">
        <v>14</v>
      </c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2"/>
      <c r="AT12" s="2"/>
      <c r="AU12" s="2"/>
      <c r="AV12" s="2"/>
      <c r="AW12" s="95"/>
    </row>
    <row r="13" spans="1:49" ht="15" customHeight="1">
      <c r="A13" s="139" t="s">
        <v>15</v>
      </c>
      <c r="B13" s="140"/>
      <c r="C13" s="140"/>
      <c r="D13" s="140"/>
      <c r="E13" s="140"/>
      <c r="F13" s="140"/>
      <c r="G13" s="140"/>
      <c r="H13" s="2"/>
      <c r="I13" s="163" t="s">
        <v>16</v>
      </c>
      <c r="J13" s="163"/>
      <c r="K13" s="163"/>
      <c r="L13" s="163"/>
      <c r="M13" s="163"/>
      <c r="N13" s="163"/>
      <c r="O13" s="163"/>
      <c r="P13" s="163"/>
      <c r="Q13" s="163"/>
      <c r="R13" s="164"/>
      <c r="S13" s="164"/>
      <c r="T13" s="164"/>
      <c r="U13" s="164"/>
      <c r="V13" s="164"/>
      <c r="W13" s="2"/>
      <c r="X13" s="2"/>
      <c r="Y13" s="2"/>
      <c r="Z13" s="2"/>
      <c r="AA13" s="2"/>
      <c r="AB13" s="2"/>
      <c r="AC13" s="2"/>
      <c r="AD13" s="2"/>
      <c r="AE13" s="171" t="s">
        <v>17</v>
      </c>
      <c r="AF13" s="171"/>
      <c r="AG13" s="171"/>
      <c r="AH13" s="171"/>
      <c r="AI13" s="171"/>
      <c r="AJ13" s="172"/>
      <c r="AK13" s="164"/>
      <c r="AL13" s="164"/>
      <c r="AM13" s="164"/>
      <c r="AN13" s="164"/>
      <c r="AO13" s="164"/>
      <c r="AP13" s="2"/>
      <c r="AQ13" s="2"/>
      <c r="AR13" s="2"/>
      <c r="AS13" s="2"/>
      <c r="AT13" s="2"/>
      <c r="AU13" s="2"/>
      <c r="AV13" s="2"/>
      <c r="AW13" s="95"/>
    </row>
    <row r="14" spans="1:49" ht="15" customHeight="1">
      <c r="A14" s="141" t="s">
        <v>18</v>
      </c>
      <c r="B14" s="142"/>
      <c r="C14" s="138" t="str" cm="1">
        <f t="array" ref="C14">IF(_nc_ErrorFlag_Emax,"ERROR",nc_E_max)</f>
        <v>ERROR</v>
      </c>
      <c r="D14" s="138"/>
      <c r="E14" s="138"/>
      <c r="F14" s="138"/>
      <c r="G14" s="2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95"/>
    </row>
    <row r="15" spans="1:49" ht="15" customHeight="1">
      <c r="A15" s="100"/>
      <c r="B15" s="2"/>
      <c r="C15" s="2"/>
      <c r="D15" s="2"/>
      <c r="E15" s="2"/>
      <c r="F15" s="2"/>
      <c r="G15" s="2"/>
      <c r="H15" s="2"/>
      <c r="I15" s="101"/>
      <c r="J15" s="101"/>
      <c r="K15" s="94"/>
      <c r="L15" s="94"/>
      <c r="M15" s="94"/>
      <c r="N15" s="2"/>
      <c r="O15" s="94"/>
      <c r="P15" s="2"/>
      <c r="Q15" s="2"/>
      <c r="R15" s="2"/>
      <c r="S15" s="2"/>
      <c r="T15" s="2"/>
      <c r="U15" s="2"/>
      <c r="V15" s="2"/>
      <c r="W15" s="2"/>
      <c r="X15" s="102" t="s">
        <v>19</v>
      </c>
      <c r="Y15" s="94"/>
      <c r="Z15" s="94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95"/>
    </row>
    <row r="16" spans="1:49" ht="15" customHeight="1">
      <c r="A16" s="100"/>
      <c r="B16" s="101"/>
      <c r="C16" s="101"/>
      <c r="D16" s="103"/>
      <c r="E16" s="103"/>
      <c r="F16" s="103"/>
      <c r="G16" s="2"/>
      <c r="H16" s="2"/>
      <c r="I16" s="2"/>
      <c r="J16" s="2"/>
      <c r="K16" s="2"/>
      <c r="L16" s="2"/>
      <c r="M16" s="2"/>
      <c r="N16" s="2"/>
      <c r="O16" s="2"/>
      <c r="P16" s="2"/>
      <c r="Q16" s="94"/>
      <c r="R16" s="94"/>
      <c r="S16" s="94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 t="s">
        <v>20</v>
      </c>
      <c r="AF16" s="104"/>
      <c r="AG16" s="104"/>
      <c r="AH16" s="104"/>
      <c r="AI16" s="104"/>
      <c r="AJ16" s="104"/>
      <c r="AK16" s="104"/>
      <c r="AL16" s="104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95"/>
    </row>
    <row r="17" spans="1:54" ht="15" customHeight="1">
      <c r="A17" s="100"/>
      <c r="B17" s="165" t="s">
        <v>21</v>
      </c>
      <c r="C17" s="16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01"/>
      <c r="Q17" s="101"/>
      <c r="R17" s="103"/>
      <c r="S17" s="103"/>
      <c r="T17" s="103"/>
      <c r="U17" s="2"/>
      <c r="V17" s="2"/>
      <c r="W17" s="2"/>
      <c r="X17" s="2"/>
      <c r="Y17" s="2"/>
      <c r="Z17" s="2"/>
      <c r="AA17" s="2"/>
      <c r="AB17" s="2"/>
      <c r="AC17" s="2"/>
      <c r="AD17" s="2"/>
      <c r="AE17" s="104"/>
      <c r="AF17" s="104"/>
      <c r="AG17" s="104"/>
      <c r="AH17" s="104"/>
      <c r="AI17" s="104"/>
      <c r="AJ17" s="104"/>
      <c r="AK17" s="104"/>
      <c r="AL17" s="104"/>
      <c r="AM17" s="159" t="s">
        <v>22</v>
      </c>
      <c r="AN17" s="159"/>
      <c r="AO17" s="159"/>
      <c r="AP17" s="159"/>
      <c r="AQ17" s="159"/>
      <c r="AR17" s="159"/>
      <c r="AS17" s="159"/>
      <c r="AT17" s="159"/>
      <c r="AU17" s="159"/>
      <c r="AV17" s="159"/>
      <c r="AW17" s="95"/>
    </row>
    <row r="18" spans="1:54" ht="15" customHeight="1">
      <c r="A18" s="100"/>
      <c r="B18" s="165"/>
      <c r="C18" s="165"/>
      <c r="D18" s="2"/>
      <c r="E18" s="2"/>
      <c r="F18" s="2"/>
      <c r="G18" s="144" t="s">
        <v>23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01"/>
      <c r="W18" s="101"/>
      <c r="X18" s="94"/>
      <c r="Y18" s="94"/>
      <c r="Z18" s="94"/>
      <c r="AA18" s="2"/>
      <c r="AB18" s="2"/>
      <c r="AC18" s="105"/>
      <c r="AD18" s="105"/>
      <c r="AE18" s="94"/>
      <c r="AF18" s="94"/>
      <c r="AG18" s="94"/>
      <c r="AH18" s="94"/>
      <c r="AI18" s="2"/>
      <c r="AJ18" s="2"/>
      <c r="AK18" s="2"/>
      <c r="AL18" s="2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95"/>
    </row>
    <row r="19" spans="1:54" ht="15" customHeight="1">
      <c r="A19" s="100"/>
      <c r="B19" s="165"/>
      <c r="C19" s="165"/>
      <c r="D19" s="2"/>
      <c r="E19" s="2"/>
      <c r="F19" s="2"/>
      <c r="G19" s="144"/>
      <c r="H19" s="2"/>
      <c r="I19" s="2"/>
      <c r="J19" s="101"/>
      <c r="K19" s="101"/>
      <c r="L19" s="94"/>
      <c r="M19" s="94"/>
      <c r="N19" s="9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69" t="s">
        <v>24</v>
      </c>
      <c r="AN19" s="169"/>
      <c r="AO19" s="169"/>
      <c r="AP19" s="169"/>
      <c r="AQ19" s="169"/>
      <c r="AR19" s="170"/>
      <c r="AS19" s="166"/>
      <c r="AT19" s="167"/>
      <c r="AU19" s="167"/>
      <c r="AV19" s="168"/>
      <c r="AW19" s="95"/>
    </row>
    <row r="20" spans="1:54" ht="15" customHeight="1">
      <c r="A20" s="100"/>
      <c r="B20" s="165"/>
      <c r="C20" s="165"/>
      <c r="D20" s="2"/>
      <c r="E20" s="2"/>
      <c r="F20" s="2"/>
      <c r="G20" s="144"/>
      <c r="H20" s="2"/>
      <c r="I20" s="2"/>
      <c r="J20" s="2"/>
      <c r="K20" s="2"/>
      <c r="L20" s="2"/>
      <c r="M20" s="106"/>
      <c r="N20" s="2"/>
      <c r="O20" s="2"/>
      <c r="P20" s="106" t="s">
        <v>25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101"/>
      <c r="AE20" s="101"/>
      <c r="AF20" s="103"/>
      <c r="AG20" s="103"/>
      <c r="AH20" s="103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95"/>
      <c r="BB20" s="128"/>
    </row>
    <row r="21" spans="1:54" ht="15" customHeight="1">
      <c r="A21" s="100"/>
      <c r="B21" s="165"/>
      <c r="C21" s="165"/>
      <c r="D21" s="2"/>
      <c r="E21" s="2"/>
      <c r="F21" s="2"/>
      <c r="G21" s="14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107"/>
      <c r="AK21" s="2" t="s">
        <v>26</v>
      </c>
      <c r="AL21" s="2"/>
      <c r="AM21" s="107"/>
      <c r="AN21" s="108"/>
      <c r="AO21" s="103"/>
      <c r="AP21" s="103"/>
      <c r="AQ21" s="103"/>
      <c r="AR21" s="2"/>
      <c r="AS21" s="2"/>
      <c r="AT21" s="2"/>
      <c r="AU21" s="2"/>
      <c r="AV21" s="2"/>
      <c r="AW21" s="95"/>
      <c r="BB21" s="128"/>
    </row>
    <row r="22" spans="1:54" ht="15" customHeight="1">
      <c r="A22" s="100"/>
      <c r="B22" s="165"/>
      <c r="C22" s="165"/>
      <c r="D22" s="2"/>
      <c r="E22" s="2"/>
      <c r="F22" s="2"/>
      <c r="G22" s="144"/>
      <c r="H22" s="2"/>
      <c r="I22" s="2"/>
      <c r="J22" s="101"/>
      <c r="K22" s="101"/>
      <c r="L22" s="94"/>
      <c r="M22" s="94"/>
      <c r="N22" s="9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95"/>
    </row>
    <row r="23" spans="1:54" ht="15" customHeight="1">
      <c r="A23" s="100"/>
      <c r="B23" s="165"/>
      <c r="C23" s="165"/>
      <c r="D23" s="2"/>
      <c r="E23" s="2"/>
      <c r="F23" s="2"/>
      <c r="G23" s="14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01"/>
      <c r="W23" s="101"/>
      <c r="X23" s="94"/>
      <c r="Y23" s="94"/>
      <c r="Z23" s="94"/>
      <c r="AA23" s="2"/>
      <c r="AB23" s="2"/>
      <c r="AC23" s="2"/>
      <c r="AD23" s="2"/>
      <c r="AE23" s="2"/>
      <c r="AF23" s="2"/>
      <c r="AG23" s="109" t="s">
        <v>27</v>
      </c>
      <c r="AH23" s="2"/>
      <c r="AI23" s="2"/>
      <c r="AJ23" s="110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95"/>
    </row>
    <row r="24" spans="1:54" ht="15" customHeight="1">
      <c r="A24" s="100"/>
      <c r="B24" s="165"/>
      <c r="C24" s="165"/>
      <c r="D24" s="2"/>
      <c r="E24" s="2"/>
      <c r="F24" s="2"/>
      <c r="G24" s="14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111"/>
      <c r="AE24" s="111"/>
      <c r="AF24" s="111"/>
      <c r="AG24" s="111"/>
      <c r="AH24" s="111"/>
      <c r="AI24" s="111"/>
      <c r="AJ24" s="112"/>
      <c r="AK24" s="112"/>
      <c r="AL24" s="112"/>
      <c r="AM24" s="112"/>
      <c r="AN24" s="2"/>
      <c r="AO24" s="2"/>
      <c r="AP24" s="2" t="s">
        <v>28</v>
      </c>
      <c r="AQ24" s="2"/>
      <c r="AR24" s="2"/>
      <c r="AS24" s="2"/>
      <c r="AT24" s="2"/>
      <c r="AU24" s="2"/>
      <c r="AV24" s="2"/>
      <c r="AW24" s="95"/>
    </row>
    <row r="25" spans="1:54" ht="15" customHeight="1">
      <c r="A25" s="100"/>
      <c r="B25" s="165"/>
      <c r="C25" s="165"/>
      <c r="D25" s="2"/>
      <c r="E25" s="2"/>
      <c r="F25" s="2"/>
      <c r="G25" s="3"/>
      <c r="H25" s="2"/>
      <c r="I25" s="2"/>
      <c r="J25" s="2"/>
      <c r="K25" s="2"/>
      <c r="L25" s="2"/>
      <c r="M25" s="2"/>
      <c r="N25" s="2"/>
      <c r="O25" s="2"/>
      <c r="P25" s="101"/>
      <c r="Q25" s="101"/>
      <c r="R25" s="103"/>
      <c r="S25" s="103"/>
      <c r="T25" s="103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95"/>
    </row>
    <row r="26" spans="1:54" ht="15" customHeight="1">
      <c r="A26" s="100"/>
      <c r="B26" s="101"/>
      <c r="C26" s="101"/>
      <c r="D26" s="103"/>
      <c r="E26" s="103"/>
      <c r="F26" s="10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162" t="s">
        <v>29</v>
      </c>
      <c r="AD26" s="162"/>
      <c r="AE26" s="162"/>
      <c r="AF26" s="162"/>
      <c r="AG26" s="162"/>
      <c r="AH26" s="162"/>
      <c r="AI26" s="161" t="str" cm="1">
        <f t="array" ref="AI26">IF(_nc_ErrorFlag_R,"ERROR",nc_R)</f>
        <v>ERROR</v>
      </c>
      <c r="AJ26" s="161"/>
      <c r="AK26" s="161"/>
      <c r="AL26" s="161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95"/>
    </row>
    <row r="27" spans="1:54" ht="15" customHeight="1">
      <c r="A27" s="139" t="s">
        <v>30</v>
      </c>
      <c r="B27" s="140"/>
      <c r="C27" s="140"/>
      <c r="D27" s="140"/>
      <c r="E27" s="140"/>
      <c r="F27" s="140"/>
      <c r="G27" s="140"/>
      <c r="H27" s="113"/>
      <c r="I27" s="130" t="str">
        <f>IF(_nc_ErrorFlag,"ERROR","")</f>
        <v>ERROR</v>
      </c>
      <c r="J27" s="131" t="str">
        <f>_nc_errorString</f>
        <v>- Make all selections in DRIVEWAY AND FRONTAGE SELECTIONS BOX 
- Input value(s) for: Elevation "C", Distance "P", Distance "L"</v>
      </c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2"/>
      <c r="AD27" s="2" t="s">
        <v>31</v>
      </c>
      <c r="AE27" s="2"/>
      <c r="AF27" s="105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95"/>
    </row>
    <row r="28" spans="1:54" ht="15" customHeight="1">
      <c r="A28" s="141" t="s">
        <v>32</v>
      </c>
      <c r="B28" s="142"/>
      <c r="C28" s="138" t="str" cm="1">
        <f t="array" ref="C28">IF(_nc_ErrorFlag_Emin,"ERROR",nc_E_min)</f>
        <v>ERROR</v>
      </c>
      <c r="D28" s="138"/>
      <c r="E28" s="138"/>
      <c r="F28" s="138"/>
      <c r="G28" s="2"/>
      <c r="H28" s="2"/>
      <c r="I28" s="130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95"/>
    </row>
    <row r="29" spans="1:54" ht="15" customHeight="1">
      <c r="A29" s="10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94"/>
      <c r="R29" s="94"/>
      <c r="S29" s="94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114"/>
    </row>
    <row r="30" spans="1:54" ht="15" customHeight="1" thickBot="1">
      <c r="A30" s="1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13"/>
      <c r="V30" s="113"/>
      <c r="W30" s="113"/>
      <c r="X30" s="113"/>
      <c r="Y30" s="113"/>
      <c r="Z30" s="113"/>
      <c r="AA30" s="113"/>
      <c r="AB30" s="113"/>
      <c r="AC30" s="113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7"/>
    </row>
    <row r="31" spans="1:54" ht="15" customHeight="1">
      <c r="A31" s="115"/>
      <c r="B31" s="178" t="s">
        <v>33</v>
      </c>
      <c r="C31" s="178"/>
      <c r="D31" s="178"/>
      <c r="E31" s="178"/>
      <c r="F31" s="178"/>
      <c r="G31" s="178"/>
      <c r="H31" s="178"/>
      <c r="I31" s="178"/>
      <c r="J31" s="17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3"/>
      <c r="Z31" s="179" t="e" vm="1">
        <v>#VALUE!</v>
      </c>
      <c r="AA31" s="180"/>
      <c r="AB31" s="180"/>
      <c r="AC31" s="180"/>
      <c r="AD31" s="180"/>
      <c r="AE31" s="180"/>
      <c r="AF31" s="180"/>
      <c r="AG31" s="180"/>
      <c r="AH31" s="119"/>
      <c r="AI31" s="119"/>
      <c r="AJ31" s="119"/>
      <c r="AK31" s="119"/>
      <c r="AL31" s="119"/>
      <c r="AM31" s="119"/>
      <c r="AN31" s="48"/>
      <c r="AO31" s="48"/>
      <c r="AP31" s="48"/>
      <c r="AQ31" s="48"/>
      <c r="AR31" s="48"/>
      <c r="AS31" s="48"/>
      <c r="AT31" s="48"/>
      <c r="AU31" s="48"/>
      <c r="AV31" s="48"/>
      <c r="AW31" s="49"/>
    </row>
    <row r="32" spans="1:54" ht="15" customHeight="1">
      <c r="A32" s="115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20"/>
      <c r="Z32" s="181"/>
      <c r="AA32" s="182"/>
      <c r="AB32" s="182"/>
      <c r="AC32" s="182"/>
      <c r="AD32" s="182"/>
      <c r="AE32" s="182"/>
      <c r="AF32" s="182"/>
      <c r="AG32" s="182"/>
      <c r="AH32" s="185" t="s">
        <v>34</v>
      </c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7"/>
      <c r="AW32" s="50"/>
    </row>
    <row r="33" spans="1:49" ht="15" customHeight="1">
      <c r="A33" s="115"/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20"/>
      <c r="Z33" s="181"/>
      <c r="AA33" s="182"/>
      <c r="AB33" s="182"/>
      <c r="AC33" s="182"/>
      <c r="AD33" s="182"/>
      <c r="AE33" s="182"/>
      <c r="AF33" s="182"/>
      <c r="AG33" s="182"/>
      <c r="AH33" s="188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90"/>
      <c r="AW33" s="121"/>
    </row>
    <row r="34" spans="1:49" ht="15" customHeight="1">
      <c r="A34" s="115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20"/>
      <c r="Z34" s="181"/>
      <c r="AA34" s="182"/>
      <c r="AB34" s="182"/>
      <c r="AC34" s="182"/>
      <c r="AD34" s="182"/>
      <c r="AE34" s="182"/>
      <c r="AF34" s="182"/>
      <c r="AG34" s="182"/>
      <c r="AH34" s="191" t="s">
        <v>35</v>
      </c>
      <c r="AI34" s="19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  <c r="AT34" s="192"/>
      <c r="AU34" s="192"/>
      <c r="AV34" s="193"/>
      <c r="AW34" s="121"/>
    </row>
    <row r="35" spans="1:49" ht="15" customHeight="1" thickBot="1">
      <c r="A35" s="122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4"/>
      <c r="X35" s="124"/>
      <c r="Y35" s="124"/>
      <c r="Z35" s="183"/>
      <c r="AA35" s="184"/>
      <c r="AB35" s="184"/>
      <c r="AC35" s="184"/>
      <c r="AD35" s="184"/>
      <c r="AE35" s="184"/>
      <c r="AF35" s="184"/>
      <c r="AG35" s="184"/>
      <c r="AH35" s="173"/>
      <c r="AI35" s="173"/>
      <c r="AJ35" s="173"/>
      <c r="AK35" s="173"/>
      <c r="AL35" s="173"/>
      <c r="AM35" s="173"/>
      <c r="AN35" s="173"/>
      <c r="AO35" s="174" t="str">
        <f ca="1">_xlfn.CONCAT("Date Printed: ",TEXT(TODAY(),"mm/dd/yyyy"))</f>
        <v>Date Printed: 07/22/2026</v>
      </c>
      <c r="AP35" s="175"/>
      <c r="AQ35" s="175"/>
      <c r="AR35" s="175"/>
      <c r="AS35" s="175"/>
      <c r="AT35" s="175"/>
      <c r="AU35" s="175"/>
      <c r="AV35" s="176"/>
      <c r="AW35" s="125"/>
    </row>
    <row r="37" spans="1:49">
      <c r="AD37" s="127"/>
    </row>
  </sheetData>
  <sheetProtection algorithmName="SHA-512" hashValue="MM+iXNoXn1oINzRK0O2s/gTXAfJa+EAqAcCCARNWHatToXgdlgVSd/3RTffFCf6z0SDbqsCP/jwEKuWHitOmiA==" saltValue="NhNsZxtO0TqsvJ0kEopIOg==" spinCount="100000" sheet="1" objects="1" scenarios="1" selectLockedCells="1"/>
  <mergeCells count="53">
    <mergeCell ref="AH35:AN35"/>
    <mergeCell ref="AO35:AV35"/>
    <mergeCell ref="B32:X34"/>
    <mergeCell ref="B31:J31"/>
    <mergeCell ref="Z31:AG35"/>
    <mergeCell ref="AH32:AV33"/>
    <mergeCell ref="AH34:AV34"/>
    <mergeCell ref="AM17:AV18"/>
    <mergeCell ref="AK13:AO13"/>
    <mergeCell ref="B17:C25"/>
    <mergeCell ref="AS19:AV19"/>
    <mergeCell ref="AM19:AR19"/>
    <mergeCell ref="AE13:AJ13"/>
    <mergeCell ref="AC26:AH26"/>
    <mergeCell ref="AI26:AL26"/>
    <mergeCell ref="U14:Z14"/>
    <mergeCell ref="P14:T14"/>
    <mergeCell ref="I13:Q13"/>
    <mergeCell ref="R13:V13"/>
    <mergeCell ref="AE7:AK7"/>
    <mergeCell ref="AL7:AV7"/>
    <mergeCell ref="AL5:AV5"/>
    <mergeCell ref="L6:Z6"/>
    <mergeCell ref="AC12:AR12"/>
    <mergeCell ref="H12:Z12"/>
    <mergeCell ref="AA6:AB6"/>
    <mergeCell ref="V10:Y10"/>
    <mergeCell ref="AD1:AW1"/>
    <mergeCell ref="AL3:AV3"/>
    <mergeCell ref="AL4:AV4"/>
    <mergeCell ref="A1:AC1"/>
    <mergeCell ref="G5:J5"/>
    <mergeCell ref="P5:AA5"/>
    <mergeCell ref="L5:O5"/>
    <mergeCell ref="B5:F5"/>
    <mergeCell ref="AE3:AK3"/>
    <mergeCell ref="AE4:AK4"/>
    <mergeCell ref="AE5:AK5"/>
    <mergeCell ref="B3:S3"/>
    <mergeCell ref="I27:I28"/>
    <mergeCell ref="J27:AB28"/>
    <mergeCell ref="A11:D11"/>
    <mergeCell ref="A12:D12"/>
    <mergeCell ref="I6:J6"/>
    <mergeCell ref="B6:H6"/>
    <mergeCell ref="C28:F28"/>
    <mergeCell ref="A27:G27"/>
    <mergeCell ref="A28:B28"/>
    <mergeCell ref="H14:O14"/>
    <mergeCell ref="A13:G13"/>
    <mergeCell ref="C14:F14"/>
    <mergeCell ref="A14:B14"/>
    <mergeCell ref="G18:G24"/>
  </mergeCells>
  <conditionalFormatting sqref="I27:I28">
    <cfRule type="containsText" dxfId="22" priority="2" operator="containsText" text="ERROR">
      <formula>NOT(ISERROR(SEARCH("ERROR",I27)))</formula>
    </cfRule>
  </conditionalFormatting>
  <conditionalFormatting sqref="J27:AB28">
    <cfRule type="notContainsBlanks" dxfId="21" priority="1">
      <formula>LEN(TRIM(J27))&gt;0</formula>
    </cfRule>
  </conditionalFormatting>
  <dataValidations count="7">
    <dataValidation type="list" allowBlank="1" showInputMessage="1" showErrorMessage="1" errorTitle="Zone Category" error="Choose the Zone Category from the drop-down menu." promptTitle="Zone Category" prompt="Use the dropdown to make your selection." sqref="G5:J5" xr:uid="{5FE09AF0-57E5-4379-B996-60D5C2F98251}">
      <formula1>List_ZoneCategories</formula1>
    </dataValidation>
    <dataValidation type="list" allowBlank="1" showInputMessage="1" showErrorMessage="1" errorTitle="Street Type" error="Choose the Street Type from the drop-down menu." promptTitle="Street Type" prompt="Use the dropdown to make your selection." sqref="P5:AA5" xr:uid="{AB31B061-90A1-4140-9EC6-A350B7DC70FE}">
      <formula1>List_StreetTypes</formula1>
    </dataValidation>
    <dataValidation type="list" allowBlank="1" showInputMessage="1" showErrorMessage="1" errorTitle="Urban Village P-Zone" error="Choose Yes or No from the drop-down menu if the driveway is in an Urban Village P-Zone." promptTitle="Urban Village P-Zone" prompt="Use the dropdown to make your selection." sqref="I6:J6" xr:uid="{04757F84-61DD-43C8-985F-9A475EEC5497}">
      <formula1>"Yes,No"</formula1>
    </dataValidation>
    <dataValidation type="list" allowBlank="1" showInputMessage="1" showErrorMessage="1" errorTitle="RapidRide Stop Nearby" error="Choose Yes or No from the dropdown if the driveway is within 1 block of a King County Metro RapidRide stop." promptTitle="RapidRide Stop Nearby" prompt="Use the dropdown to make your selection." sqref="AA6:AB6" xr:uid="{72C87BAC-9411-4A02-8D03-241DA6AB1BA0}">
      <formula1>"Yes,No"</formula1>
    </dataValidation>
    <dataValidation allowBlank="1" showInputMessage="1" showErrorMessage="1" errorTitle="Distance L" error="Please enter a valid distance." sqref="R13:V13" xr:uid="{830DBCB0-029B-4038-B4E6-A73053133EFA}"/>
    <dataValidation type="custom" allowBlank="1" showInputMessage="1" showErrorMessage="1" errorTitle="Distance P" error="Please enter a valid distance." sqref="AK13:AO13" xr:uid="{5D1E0AC3-7DEB-49C7-B229-6E961BD3DC6D}">
      <formula1>ISNUMBER(AK13)</formula1>
    </dataValidation>
    <dataValidation type="custom" allowBlank="1" showInputMessage="1" showErrorMessage="1" errorTitle="Elevation C" error="Please enter a valid elevation." sqref="AS19:AV19" xr:uid="{53B542BF-DE29-4A8F-9BCD-ED602ABB25D0}">
      <formula1>ISNUMBER(AS19)</formula1>
    </dataValidation>
  </dataValidations>
  <hyperlinks>
    <hyperlink ref="B3" r:id="rId1" display="Click here for instructions on the SDOT website " xr:uid="{B8E24FAE-4292-41A9-8FED-5D218789CA5A}"/>
  </hyperlinks>
  <printOptions horizontalCentered="1" verticalCentered="1"/>
  <pageMargins left="0.25" right="0.25" top="0.25" bottom="0.25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B1B8-3D89-46E1-B8ED-04EE1A8C4EAF}">
  <sheetPr codeName="Sheet2">
    <tabColor theme="6" tint="0.79998168889431442"/>
  </sheetPr>
  <dimension ref="A1:L68"/>
  <sheetViews>
    <sheetView zoomScale="85" zoomScaleNormal="85" workbookViewId="0">
      <selection activeCell="J27" sqref="J27:AB28"/>
    </sheetView>
  </sheetViews>
  <sheetFormatPr defaultRowHeight="14.45"/>
  <cols>
    <col min="1" max="1" width="7.140625" style="1" bestFit="1" customWidth="1"/>
    <col min="2" max="2" width="63.5703125" customWidth="1"/>
    <col min="3" max="3" width="10.7109375" style="1" customWidth="1"/>
    <col min="4" max="4" width="36.42578125" style="1" bestFit="1" customWidth="1"/>
    <col min="5" max="5" width="33.28515625" style="1" bestFit="1" customWidth="1"/>
    <col min="6" max="6" width="10.7109375" style="1" customWidth="1"/>
    <col min="7" max="7" width="10.7109375" style="70" customWidth="1"/>
    <col min="8" max="8" width="157" style="62" customWidth="1"/>
    <col min="9" max="9" width="63.5703125" style="1" customWidth="1"/>
    <col min="10" max="10" width="10.7109375" style="1" customWidth="1"/>
    <col min="11" max="11" width="36.42578125" style="1" bestFit="1" customWidth="1"/>
    <col min="12" max="12" width="33.28515625" style="1" bestFit="1" customWidth="1"/>
    <col min="13" max="13" width="10.7109375" customWidth="1"/>
  </cols>
  <sheetData>
    <row r="1" spans="1:12">
      <c r="A1" s="14" t="s">
        <v>36</v>
      </c>
      <c r="B1" s="13" t="s">
        <v>37</v>
      </c>
      <c r="C1" s="14" t="s">
        <v>38</v>
      </c>
      <c r="D1" s="14" t="s">
        <v>39</v>
      </c>
      <c r="E1" s="14" t="s">
        <v>40</v>
      </c>
      <c r="F1" s="14" t="s">
        <v>41</v>
      </c>
      <c r="G1" s="63" t="s">
        <v>42</v>
      </c>
      <c r="H1" s="54" t="s">
        <v>43</v>
      </c>
      <c r="I1"/>
      <c r="J1"/>
      <c r="K1"/>
      <c r="L1"/>
    </row>
    <row r="2" spans="1:12">
      <c r="A2" s="33" t="s">
        <v>44</v>
      </c>
      <c r="B2" s="34"/>
      <c r="C2" s="34"/>
      <c r="D2" s="34"/>
      <c r="E2" s="34"/>
      <c r="F2" s="34"/>
      <c r="G2" s="64"/>
      <c r="H2" s="55"/>
      <c r="I2"/>
      <c r="J2"/>
      <c r="K2"/>
      <c r="L2"/>
    </row>
    <row r="3" spans="1:12">
      <c r="A3" s="15" t="s">
        <v>45</v>
      </c>
      <c r="B3" s="15"/>
      <c r="C3" s="16"/>
      <c r="D3" s="16"/>
      <c r="E3" s="16"/>
      <c r="F3" s="16"/>
      <c r="G3" s="65"/>
      <c r="H3" s="56"/>
      <c r="I3"/>
      <c r="J3"/>
      <c r="K3"/>
      <c r="L3"/>
    </row>
    <row r="4" spans="1:12" ht="16.5">
      <c r="A4" s="7" t="s">
        <v>46</v>
      </c>
      <c r="B4" s="6" t="s">
        <v>47</v>
      </c>
      <c r="C4" s="7" t="s">
        <v>48</v>
      </c>
      <c r="D4" s="7" t="s">
        <v>49</v>
      </c>
      <c r="E4" s="10">
        <f>G_S_R</f>
        <v>0.02</v>
      </c>
      <c r="F4" s="7"/>
      <c r="G4" s="66" t="s">
        <v>50</v>
      </c>
      <c r="H4" s="57"/>
      <c r="I4"/>
      <c r="J4"/>
      <c r="K4"/>
      <c r="L4"/>
    </row>
    <row r="5" spans="1:12" ht="18" customHeight="1">
      <c r="A5" s="7" t="s">
        <v>51</v>
      </c>
      <c r="B5" s="6" t="s">
        <v>52</v>
      </c>
      <c r="C5" s="7" t="s">
        <v>53</v>
      </c>
      <c r="D5" s="7" t="s">
        <v>54</v>
      </c>
      <c r="E5" s="10">
        <f>G_S_W</f>
        <v>1.4999999999999999E-2</v>
      </c>
      <c r="F5" s="7"/>
      <c r="G5" s="66" t="s">
        <v>50</v>
      </c>
      <c r="H5" s="57"/>
      <c r="I5"/>
      <c r="J5"/>
      <c r="K5"/>
      <c r="L5"/>
    </row>
    <row r="6" spans="1:12" ht="18" customHeight="1">
      <c r="A6" s="7" t="s">
        <v>55</v>
      </c>
      <c r="B6" s="6" t="s">
        <v>56</v>
      </c>
      <c r="C6" s="7" t="s">
        <v>57</v>
      </c>
      <c r="D6" s="7" t="s">
        <v>58</v>
      </c>
      <c r="E6" s="32">
        <f>G_H_CURB</f>
        <v>0.5</v>
      </c>
      <c r="F6" s="7" t="s">
        <v>59</v>
      </c>
      <c r="G6" s="66" t="s">
        <v>60</v>
      </c>
      <c r="H6" s="58"/>
      <c r="I6"/>
      <c r="J6"/>
      <c r="K6"/>
      <c r="L6"/>
    </row>
    <row r="7" spans="1:12" ht="16.5">
      <c r="A7" s="7" t="s">
        <v>61</v>
      </c>
      <c r="B7" s="6" t="s">
        <v>62</v>
      </c>
      <c r="C7" s="7" t="s">
        <v>63</v>
      </c>
      <c r="D7" s="7" t="s">
        <v>64</v>
      </c>
      <c r="E7" s="10">
        <f>G_S_MAX</f>
        <v>0.15</v>
      </c>
      <c r="F7" s="7"/>
      <c r="G7" s="66" t="s">
        <v>50</v>
      </c>
      <c r="H7" s="57"/>
      <c r="I7"/>
      <c r="J7"/>
      <c r="K7"/>
      <c r="L7"/>
    </row>
    <row r="8" spans="1:12" ht="16.5">
      <c r="A8" s="7" t="s">
        <v>65</v>
      </c>
      <c r="B8" s="6" t="s">
        <v>66</v>
      </c>
      <c r="C8" s="7" t="s">
        <v>67</v>
      </c>
      <c r="D8" s="7" t="s">
        <v>68</v>
      </c>
      <c r="E8" s="10">
        <f>G_S_MAXBACKIN</f>
        <v>0.1</v>
      </c>
      <c r="F8" s="7"/>
      <c r="G8" s="66" t="s">
        <v>50</v>
      </c>
      <c r="H8" s="57" t="s">
        <v>69</v>
      </c>
      <c r="I8"/>
      <c r="J8"/>
      <c r="K8"/>
      <c r="L8"/>
    </row>
    <row r="9" spans="1:12">
      <c r="A9" s="15" t="s">
        <v>70</v>
      </c>
      <c r="B9" s="15"/>
      <c r="C9" s="16"/>
      <c r="D9" s="16"/>
      <c r="E9" s="16"/>
      <c r="F9" s="16"/>
      <c r="G9" s="65"/>
      <c r="H9" s="56"/>
      <c r="I9"/>
      <c r="J9"/>
      <c r="K9"/>
      <c r="L9"/>
    </row>
    <row r="10" spans="1:12">
      <c r="A10" s="17" t="s">
        <v>71</v>
      </c>
      <c r="B10" s="17"/>
      <c r="C10" s="18"/>
      <c r="D10" s="18"/>
      <c r="E10" s="18"/>
      <c r="F10" s="18"/>
      <c r="G10" s="67"/>
      <c r="H10" s="59"/>
      <c r="I10"/>
      <c r="J10"/>
      <c r="K10"/>
      <c r="L10"/>
    </row>
    <row r="11" spans="1:12">
      <c r="A11" s="7" t="s">
        <v>72</v>
      </c>
      <c r="B11" s="6" t="s">
        <v>73</v>
      </c>
      <c r="C11" s="6"/>
      <c r="D11" s="7" t="s">
        <v>74</v>
      </c>
      <c r="E11" s="7" cm="1">
        <f t="array" ref="E11">NC_enter_ZoneCategory</f>
        <v>0</v>
      </c>
      <c r="F11" s="6"/>
      <c r="G11" s="7" t="s">
        <v>75</v>
      </c>
      <c r="H11" s="57"/>
      <c r="I11"/>
      <c r="J11"/>
      <c r="K11"/>
      <c r="L11"/>
    </row>
    <row r="12" spans="1:12">
      <c r="A12" s="7" t="s">
        <v>76</v>
      </c>
      <c r="B12" s="6" t="s">
        <v>77</v>
      </c>
      <c r="C12" s="7"/>
      <c r="D12" s="7" t="s">
        <v>78</v>
      </c>
      <c r="E12" s="7" t="str" cm="1">
        <f t="array" ref="E12">IF(ISBLANK(nc_enter_StreetType),"",nc_enter_StreetType)</f>
        <v/>
      </c>
      <c r="F12" s="7"/>
      <c r="G12" s="7" t="s">
        <v>75</v>
      </c>
      <c r="H12" s="57"/>
      <c r="I12"/>
      <c r="J12"/>
      <c r="K12"/>
      <c r="L12"/>
    </row>
    <row r="13" spans="1:12">
      <c r="A13" s="7" t="s">
        <v>79</v>
      </c>
      <c r="B13" s="6" t="s">
        <v>80</v>
      </c>
      <c r="C13" s="7"/>
      <c r="D13" s="7" t="s">
        <v>81</v>
      </c>
      <c r="E13" s="7" t="str">
        <f>IFERROR(IF(ISBLANK(nc_enter_TurnAround_bool),"",IF(nc_enter_TurnAround_bool="yes",TRUE,FALSE)), "TRUE")</f>
        <v>TRUE</v>
      </c>
      <c r="F13" s="7"/>
      <c r="G13" s="7" t="s">
        <v>82</v>
      </c>
      <c r="H13" s="57" t="s">
        <v>83</v>
      </c>
      <c r="I13"/>
      <c r="J13"/>
      <c r="K13"/>
      <c r="L13"/>
    </row>
    <row r="14" spans="1:12" ht="15" customHeight="1">
      <c r="A14" s="7" t="s">
        <v>84</v>
      </c>
      <c r="B14" s="6" t="s">
        <v>85</v>
      </c>
      <c r="C14" s="7"/>
      <c r="D14" s="7" t="s">
        <v>86</v>
      </c>
      <c r="E14" s="7" t="str" cm="1">
        <f t="array" ref="E14">IF(ISBLANK(NC_enter_PZone_bool),"",IF(NC_enter_PZone_bool="yes",TRUE,FALSE))</f>
        <v/>
      </c>
      <c r="F14" s="7"/>
      <c r="G14" s="7" t="s">
        <v>82</v>
      </c>
      <c r="H14" s="57"/>
      <c r="I14"/>
      <c r="J14"/>
      <c r="K14"/>
      <c r="L14"/>
    </row>
    <row r="15" spans="1:12" ht="15" customHeight="1">
      <c r="A15" s="7" t="s">
        <v>87</v>
      </c>
      <c r="B15" s="6" t="s">
        <v>88</v>
      </c>
      <c r="C15" s="7"/>
      <c r="D15" s="7" t="s">
        <v>89</v>
      </c>
      <c r="E15" s="7" t="str" cm="1">
        <f t="array" ref="E15">IF(ISBLANK(nc_enter_RapidRide_bool),"",IF(nc_enter_RapidRide_bool="yes",TRUE,FALSE))</f>
        <v/>
      </c>
      <c r="F15" s="7"/>
      <c r="G15" s="7" t="s">
        <v>82</v>
      </c>
      <c r="H15" s="57"/>
      <c r="I15"/>
      <c r="J15"/>
      <c r="K15"/>
      <c r="L15"/>
    </row>
    <row r="16" spans="1:12">
      <c r="A16" s="17" t="s">
        <v>90</v>
      </c>
      <c r="B16" s="17"/>
      <c r="C16" s="18"/>
      <c r="D16" s="18"/>
      <c r="E16" s="18"/>
      <c r="F16" s="18"/>
      <c r="G16" s="67"/>
      <c r="H16" s="59"/>
      <c r="I16"/>
      <c r="J16"/>
      <c r="K16"/>
      <c r="L16"/>
    </row>
    <row r="17" spans="1:12">
      <c r="A17" s="7" t="s">
        <v>91</v>
      </c>
      <c r="B17" s="6" t="s">
        <v>92</v>
      </c>
      <c r="C17" s="7" t="s">
        <v>93</v>
      </c>
      <c r="D17" s="7" t="s">
        <v>94</v>
      </c>
      <c r="E17" s="8" t="str" cm="1">
        <f t="array" ref="E17">IF(ISBLANK(nc_enter_C),"",nc_enter_C)</f>
        <v/>
      </c>
      <c r="F17" s="7" t="s">
        <v>59</v>
      </c>
      <c r="G17" s="7" t="s">
        <v>60</v>
      </c>
      <c r="H17" s="57"/>
      <c r="I17"/>
      <c r="J17"/>
      <c r="K17"/>
      <c r="L17"/>
    </row>
    <row r="18" spans="1:12">
      <c r="A18" s="7" t="s">
        <v>95</v>
      </c>
      <c r="B18" s="6" t="s">
        <v>96</v>
      </c>
      <c r="C18" s="7" t="s">
        <v>97</v>
      </c>
      <c r="D18" s="7" t="s">
        <v>98</v>
      </c>
      <c r="E18" s="8" t="str" cm="1">
        <f t="array" ref="E18">IF(ISBLANK(nc_enter_P),"",nc_enter_P)</f>
        <v/>
      </c>
      <c r="F18" s="7" t="s">
        <v>59</v>
      </c>
      <c r="G18" s="7" t="s">
        <v>60</v>
      </c>
      <c r="H18" s="57"/>
      <c r="I18"/>
      <c r="J18"/>
      <c r="K18"/>
      <c r="L18"/>
    </row>
    <row r="19" spans="1:12">
      <c r="A19" s="7" t="s">
        <v>99</v>
      </c>
      <c r="B19" s="6" t="s">
        <v>100</v>
      </c>
      <c r="C19" s="7" t="s">
        <v>101</v>
      </c>
      <c r="D19" s="7" t="s">
        <v>102</v>
      </c>
      <c r="E19" s="8" t="str" cm="1">
        <f t="array" ref="E19">IF(ISBLANK(nc_enter_L),"",nc_enter_L)</f>
        <v/>
      </c>
      <c r="F19" s="7" t="s">
        <v>59</v>
      </c>
      <c r="G19" s="7" t="s">
        <v>60</v>
      </c>
      <c r="H19" s="57"/>
      <c r="I19"/>
      <c r="J19"/>
      <c r="K19"/>
      <c r="L19"/>
    </row>
    <row r="20" spans="1:12">
      <c r="A20" s="15" t="s">
        <v>103</v>
      </c>
      <c r="B20" s="15"/>
      <c r="C20" s="21"/>
      <c r="D20" s="21"/>
      <c r="E20" s="21"/>
      <c r="F20" s="21"/>
      <c r="G20" s="21"/>
      <c r="H20" s="56"/>
      <c r="I20"/>
      <c r="J20"/>
      <c r="K20"/>
      <c r="L20"/>
    </row>
    <row r="21" spans="1:12" ht="16.5">
      <c r="A21" s="7" t="s">
        <v>104</v>
      </c>
      <c r="B21" s="6" t="s">
        <v>105</v>
      </c>
      <c r="C21" s="7" t="s">
        <v>106</v>
      </c>
      <c r="D21" s="7" t="s">
        <v>107</v>
      </c>
      <c r="E21" s="32" t="e">
        <f>_xlfn.XLOOKUP(nc_ZoneCategory,Table_Zones[Abbreviated],Table_Zones[Existing Required ROW (ft) (Table A 23.53.015)])</f>
        <v>#N/A</v>
      </c>
      <c r="F21" s="7" t="s">
        <v>59</v>
      </c>
      <c r="G21" s="7" t="s">
        <v>60</v>
      </c>
      <c r="H21" s="57"/>
      <c r="I21"/>
      <c r="J21"/>
      <c r="K21"/>
      <c r="L21"/>
    </row>
    <row r="22" spans="1:12" ht="16.5">
      <c r="A22" s="7" t="s">
        <v>108</v>
      </c>
      <c r="B22" s="6" t="s">
        <v>109</v>
      </c>
      <c r="C22" s="7" t="s">
        <v>110</v>
      </c>
      <c r="D22" s="7" t="s">
        <v>111</v>
      </c>
      <c r="E22" s="32" t="e" cm="1">
        <f t="array" ref="E22">IF(nc_W_row=40,11,
_xlfn.XLOOKUP(nc_StreetType,Table_ROWIM_Widths[Street Type],
IF(AND(nc_Pzone_bool,nc_RapidRide_bool),Table_ROWIM_Widths[PDZ + RR Total Minimum Width],
IF(nc_Pzone_bool,Table_ROWIM_Widths[PDZ Total Minimum Width],
IF(nc_RapidRide_bool,Table_ROWIM_Widths[RR Total Minimum Width],
Table_ROWIM_Widths[Total Minimum Width]))))
)</f>
        <v>#N/A</v>
      </c>
      <c r="F22" s="7" t="s">
        <v>59</v>
      </c>
      <c r="G22" s="7" t="s">
        <v>60</v>
      </c>
      <c r="H22" s="57"/>
      <c r="I22"/>
      <c r="J22"/>
      <c r="K22"/>
      <c r="L22"/>
    </row>
    <row r="23" spans="1:12" ht="16.5">
      <c r="A23" s="7" t="s">
        <v>112</v>
      </c>
      <c r="B23" s="6" t="s">
        <v>113</v>
      </c>
      <c r="C23" s="7" t="s">
        <v>114</v>
      </c>
      <c r="D23" s="7" t="s">
        <v>115</v>
      </c>
      <c r="E23" s="10" cm="1">
        <f t="array" ref="E23">IF(nc_TurnAround_bool,nc_S_max,nc_S_maxbackin)</f>
        <v>0.15</v>
      </c>
      <c r="F23" s="7"/>
      <c r="G23" s="7" t="s">
        <v>50</v>
      </c>
      <c r="H23" s="57"/>
      <c r="I23"/>
      <c r="J23"/>
      <c r="K23"/>
      <c r="L23"/>
    </row>
    <row r="24" spans="1:12">
      <c r="A24" s="38" t="s">
        <v>116</v>
      </c>
      <c r="B24" s="38"/>
      <c r="C24" s="39"/>
      <c r="D24" s="39"/>
      <c r="E24" s="39"/>
      <c r="F24" s="39"/>
      <c r="G24" s="68"/>
      <c r="H24" s="60"/>
      <c r="I24"/>
      <c r="J24"/>
      <c r="K24"/>
      <c r="L24"/>
    </row>
    <row r="25" spans="1:12">
      <c r="A25" s="35" t="s">
        <v>117</v>
      </c>
      <c r="B25" s="36" t="s">
        <v>118</v>
      </c>
      <c r="C25" s="35" t="s">
        <v>119</v>
      </c>
      <c r="D25" s="35" t="s">
        <v>120</v>
      </c>
      <c r="E25" s="37" t="e">
        <f>MAX(nc_W_row/2-nc_P,0)</f>
        <v>#N/A</v>
      </c>
      <c r="F25" s="35" t="s">
        <v>59</v>
      </c>
      <c r="G25" s="69"/>
      <c r="H25" s="61"/>
      <c r="I25"/>
      <c r="J25"/>
      <c r="K25"/>
      <c r="L25"/>
    </row>
    <row r="26" spans="1:12" ht="16.5">
      <c r="A26" s="35" t="s">
        <v>121</v>
      </c>
      <c r="B26" s="36" t="s">
        <v>122</v>
      </c>
      <c r="C26" s="35" t="s">
        <v>123</v>
      </c>
      <c r="D26" s="35" t="s">
        <v>124</v>
      </c>
      <c r="E26" s="37" t="e">
        <f>nc_W_row/2-nc_W_S_min</f>
        <v>#N/A</v>
      </c>
      <c r="F26" s="35" t="s">
        <v>59</v>
      </c>
      <c r="G26" s="69"/>
      <c r="H26" s="61"/>
      <c r="I26"/>
      <c r="J26"/>
      <c r="K26"/>
      <c r="L26"/>
    </row>
    <row r="27" spans="1:12">
      <c r="A27" s="35" t="s">
        <v>125</v>
      </c>
      <c r="B27" s="36" t="s">
        <v>126</v>
      </c>
      <c r="C27" s="35" t="s">
        <v>127</v>
      </c>
      <c r="D27" s="35" t="s">
        <v>128</v>
      </c>
      <c r="E27" s="37" t="e" cm="1">
        <f t="array" ref="E27">nc_C-nc_W_r*nc_S_r+nc_H_curb</f>
        <v>#VALUE!</v>
      </c>
      <c r="F27" s="35" t="s">
        <v>59</v>
      </c>
      <c r="G27" s="69"/>
      <c r="H27" s="61"/>
      <c r="I27"/>
      <c r="J27"/>
      <c r="K27"/>
      <c r="L27"/>
    </row>
    <row r="28" spans="1:12">
      <c r="A28" s="35" t="s">
        <v>129</v>
      </c>
      <c r="B28" s="36" t="s">
        <v>130</v>
      </c>
      <c r="C28" s="35" t="s">
        <v>131</v>
      </c>
      <c r="D28" s="35" t="s">
        <v>132</v>
      </c>
      <c r="E28" s="37" t="e" cm="1">
        <f t="array" ref="E28">nc_G+nc_W_S_min*nc_S_w</f>
        <v>#VALUE!</v>
      </c>
      <c r="F28" s="35" t="s">
        <v>59</v>
      </c>
      <c r="G28" s="69"/>
      <c r="H28" s="61"/>
      <c r="I28"/>
      <c r="J28"/>
      <c r="K28"/>
      <c r="L28"/>
    </row>
    <row r="29" spans="1:12" ht="16.5">
      <c r="A29" s="35" t="s">
        <v>133</v>
      </c>
      <c r="B29" s="36" t="s">
        <v>134</v>
      </c>
      <c r="C29" s="35" t="s">
        <v>135</v>
      </c>
      <c r="D29" s="35" t="s">
        <v>136</v>
      </c>
      <c r="E29" s="37" t="e">
        <f>nc_L-nc_F</f>
        <v>#VALUE!</v>
      </c>
      <c r="F29" s="35" t="s">
        <v>59</v>
      </c>
      <c r="G29" s="69"/>
      <c r="H29" s="61"/>
      <c r="I29"/>
      <c r="J29"/>
      <c r="K29"/>
      <c r="L29"/>
    </row>
    <row r="30" spans="1:12" ht="16.5">
      <c r="A30" s="35" t="s">
        <v>137</v>
      </c>
      <c r="B30" s="36" t="s">
        <v>138</v>
      </c>
      <c r="C30" s="35" t="s">
        <v>139</v>
      </c>
      <c r="D30" s="35" t="s">
        <v>140</v>
      </c>
      <c r="E30" s="37" t="e">
        <f>nc_R+nc_L_dway*nc_S_T_max</f>
        <v>#VALUE!</v>
      </c>
      <c r="F30" s="35" t="s">
        <v>59</v>
      </c>
      <c r="G30" s="69"/>
      <c r="H30" s="61"/>
      <c r="I30"/>
      <c r="J30"/>
      <c r="K30"/>
      <c r="L30"/>
    </row>
    <row r="31" spans="1:12" ht="16.5">
      <c r="A31" s="35" t="s">
        <v>141</v>
      </c>
      <c r="B31" s="36" t="s">
        <v>142</v>
      </c>
      <c r="C31" s="35" t="s">
        <v>143</v>
      </c>
      <c r="D31" s="35" t="s">
        <v>144</v>
      </c>
      <c r="E31" s="37" t="e">
        <f>nc_R-nc_L_dway*nc_S_T_max</f>
        <v>#VALUE!</v>
      </c>
      <c r="F31" s="35" t="s">
        <v>59</v>
      </c>
      <c r="G31" s="69"/>
      <c r="H31" s="61"/>
      <c r="I31"/>
      <c r="J31"/>
      <c r="K31"/>
      <c r="L31"/>
    </row>
    <row r="32" spans="1:12">
      <c r="I32"/>
      <c r="J32"/>
      <c r="K32"/>
      <c r="L32"/>
    </row>
    <row r="33" spans="9:12">
      <c r="I33"/>
      <c r="J33"/>
      <c r="K33"/>
      <c r="L33"/>
    </row>
    <row r="34" spans="9:12">
      <c r="I34"/>
      <c r="J34"/>
      <c r="K34"/>
      <c r="L34"/>
    </row>
    <row r="35" spans="9:12">
      <c r="I35"/>
      <c r="J35"/>
      <c r="K35"/>
      <c r="L35"/>
    </row>
    <row r="36" spans="9:12">
      <c r="I36"/>
      <c r="J36"/>
      <c r="K36"/>
      <c r="L36"/>
    </row>
    <row r="37" spans="9:12">
      <c r="I37"/>
      <c r="J37"/>
      <c r="K37"/>
      <c r="L37"/>
    </row>
    <row r="38" spans="9:12" ht="18" customHeight="1">
      <c r="I38"/>
      <c r="J38"/>
      <c r="K38"/>
      <c r="L38"/>
    </row>
    <row r="39" spans="9:12">
      <c r="I39"/>
      <c r="J39"/>
      <c r="K39"/>
      <c r="L39"/>
    </row>
    <row r="40" spans="9:12" ht="18" customHeight="1">
      <c r="I40"/>
      <c r="J40"/>
      <c r="K40"/>
      <c r="L40"/>
    </row>
    <row r="41" spans="9:12">
      <c r="I41"/>
      <c r="J41"/>
      <c r="K41"/>
      <c r="L41"/>
    </row>
    <row r="42" spans="9:12">
      <c r="I42"/>
      <c r="J42"/>
      <c r="K42"/>
      <c r="L42"/>
    </row>
    <row r="43" spans="9:12">
      <c r="I43"/>
      <c r="J43"/>
      <c r="K43"/>
      <c r="L43"/>
    </row>
    <row r="44" spans="9:12">
      <c r="I44"/>
      <c r="J44"/>
      <c r="K44"/>
      <c r="L44"/>
    </row>
    <row r="45" spans="9:12">
      <c r="I45"/>
      <c r="J45"/>
      <c r="K45"/>
      <c r="L45"/>
    </row>
    <row r="46" spans="9:12">
      <c r="I46"/>
      <c r="J46"/>
      <c r="K46"/>
      <c r="L46"/>
    </row>
    <row r="47" spans="9:12">
      <c r="I47"/>
      <c r="J47"/>
      <c r="K47"/>
      <c r="L47"/>
    </row>
    <row r="48" spans="9:12">
      <c r="I48"/>
      <c r="J48"/>
      <c r="K48"/>
      <c r="L48"/>
    </row>
    <row r="49" spans="9:12">
      <c r="I49"/>
      <c r="J49"/>
      <c r="K49"/>
      <c r="L49"/>
    </row>
    <row r="50" spans="9:12">
      <c r="I50"/>
      <c r="J50"/>
      <c r="K50"/>
      <c r="L50"/>
    </row>
    <row r="51" spans="9:12">
      <c r="I51"/>
      <c r="J51"/>
      <c r="K51"/>
      <c r="L51"/>
    </row>
    <row r="52" spans="9:12">
      <c r="I52"/>
      <c r="J52"/>
      <c r="K52"/>
      <c r="L52"/>
    </row>
    <row r="53" spans="9:12">
      <c r="I53"/>
      <c r="J53"/>
      <c r="K53"/>
      <c r="L53"/>
    </row>
    <row r="54" spans="9:12">
      <c r="I54"/>
      <c r="J54"/>
      <c r="K54"/>
      <c r="L54"/>
    </row>
    <row r="55" spans="9:12">
      <c r="I55"/>
      <c r="J55"/>
      <c r="K55"/>
      <c r="L55"/>
    </row>
    <row r="56" spans="9:12">
      <c r="I56"/>
      <c r="J56"/>
      <c r="K56"/>
      <c r="L56"/>
    </row>
    <row r="57" spans="9:12">
      <c r="I57"/>
      <c r="J57"/>
      <c r="K57"/>
      <c r="L57"/>
    </row>
    <row r="58" spans="9:12">
      <c r="I58"/>
      <c r="J58"/>
      <c r="K58"/>
      <c r="L58"/>
    </row>
    <row r="59" spans="9:12">
      <c r="I59"/>
      <c r="J59"/>
      <c r="K59"/>
      <c r="L59"/>
    </row>
    <row r="60" spans="9:12">
      <c r="I60"/>
      <c r="J60"/>
      <c r="K60"/>
      <c r="L60"/>
    </row>
    <row r="61" spans="9:12">
      <c r="I61"/>
      <c r="J61"/>
      <c r="K61"/>
      <c r="L61"/>
    </row>
    <row r="62" spans="9:12">
      <c r="I62"/>
      <c r="J62"/>
      <c r="K62"/>
      <c r="L62"/>
    </row>
    <row r="63" spans="9:12">
      <c r="I63"/>
      <c r="J63"/>
      <c r="K63"/>
      <c r="L63"/>
    </row>
    <row r="64" spans="9:12">
      <c r="I64"/>
      <c r="J64"/>
      <c r="K64"/>
      <c r="L64"/>
    </row>
    <row r="65" spans="9:12">
      <c r="I65"/>
      <c r="J65"/>
      <c r="K65"/>
      <c r="L65"/>
    </row>
    <row r="66" spans="9:12">
      <c r="I66"/>
      <c r="J66"/>
      <c r="K66"/>
      <c r="L66"/>
    </row>
    <row r="67" spans="9:12">
      <c r="I67"/>
      <c r="J67"/>
      <c r="K67"/>
      <c r="L67"/>
    </row>
    <row r="68" spans="9:12">
      <c r="I68"/>
      <c r="J68"/>
      <c r="K68"/>
      <c r="L68"/>
    </row>
  </sheetData>
  <sortState xmlns:xlrd2="http://schemas.microsoft.com/office/spreadsheetml/2017/richdata2" ref="A4:F8">
    <sortCondition ref="A4:A8"/>
  </sortState>
  <phoneticPr fontId="19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7F2C-10D9-4A33-A998-BFC0939032FB}">
  <sheetPr codeName="Sheet3"/>
  <dimension ref="A1:K16"/>
  <sheetViews>
    <sheetView workbookViewId="0">
      <selection activeCell="J27" sqref="J27:AB28"/>
    </sheetView>
  </sheetViews>
  <sheetFormatPr defaultRowHeight="14.45"/>
  <cols>
    <col min="1" max="1" width="33.42578125" bestFit="1" customWidth="1"/>
    <col min="2" max="2" width="9" bestFit="1" customWidth="1"/>
    <col min="3" max="3" width="24.42578125" bestFit="1" customWidth="1"/>
    <col min="4" max="4" width="10.42578125" bestFit="1" customWidth="1"/>
    <col min="6" max="6" width="49.85546875" bestFit="1" customWidth="1"/>
  </cols>
  <sheetData>
    <row r="1" spans="1:11">
      <c r="A1" s="28" t="s">
        <v>145</v>
      </c>
      <c r="B1" s="29" t="s">
        <v>146</v>
      </c>
      <c r="C1" s="29" t="s">
        <v>39</v>
      </c>
      <c r="D1" s="29" t="s">
        <v>147</v>
      </c>
      <c r="E1" s="29" t="s">
        <v>148</v>
      </c>
      <c r="F1" s="30" t="s">
        <v>149</v>
      </c>
      <c r="G1" s="14" t="s">
        <v>150</v>
      </c>
      <c r="H1" s="14" t="s">
        <v>151</v>
      </c>
      <c r="I1" s="14" t="s">
        <v>152</v>
      </c>
      <c r="J1" s="14" t="s">
        <v>153</v>
      </c>
      <c r="K1" s="14" t="s">
        <v>154</v>
      </c>
    </row>
    <row r="2" spans="1:11">
      <c r="A2" s="24" t="s">
        <v>155</v>
      </c>
      <c r="B2" s="31" t="b">
        <f>COUNTBLANK(nc_ZoneCategory)&gt;0</f>
        <v>0</v>
      </c>
      <c r="C2" s="25"/>
      <c r="D2" s="41">
        <v>0</v>
      </c>
      <c r="E2" s="41" t="b">
        <f t="shared" ref="E2:E9" si="0">D2=$D$17</f>
        <v>1</v>
      </c>
      <c r="F2" s="42" t="s">
        <v>156</v>
      </c>
      <c r="G2" s="42" t="b">
        <v>1</v>
      </c>
      <c r="H2" s="42" t="b">
        <v>1</v>
      </c>
      <c r="I2" s="42" t="b">
        <v>0</v>
      </c>
      <c r="J2" s="42" t="b">
        <v>1</v>
      </c>
      <c r="K2" s="42" t="b">
        <v>1</v>
      </c>
    </row>
    <row r="3" spans="1:11">
      <c r="A3" s="24" t="s">
        <v>157</v>
      </c>
      <c r="B3" s="31" t="b">
        <f>COUNTBLANK(nc_StreetType)&gt;0</f>
        <v>1</v>
      </c>
      <c r="C3" s="25"/>
      <c r="D3" s="41">
        <v>0</v>
      </c>
      <c r="E3" s="41" t="b">
        <f t="shared" si="0"/>
        <v>1</v>
      </c>
      <c r="F3" s="42" t="s">
        <v>158</v>
      </c>
      <c r="G3" s="42" t="b">
        <v>1</v>
      </c>
      <c r="H3" s="42" t="b">
        <v>1</v>
      </c>
      <c r="I3" s="42" t="b">
        <v>0</v>
      </c>
      <c r="J3" s="42" t="b">
        <v>1</v>
      </c>
      <c r="K3" s="42" t="b">
        <v>1</v>
      </c>
    </row>
    <row r="4" spans="1:11">
      <c r="A4" s="24" t="s">
        <v>159</v>
      </c>
      <c r="B4" s="31" t="b">
        <f>COUNTBLANK(nc_TurnAround_bool)&gt;0</f>
        <v>0</v>
      </c>
      <c r="C4" s="25"/>
      <c r="D4" s="41">
        <v>0</v>
      </c>
      <c r="E4" s="41" t="b">
        <f t="shared" si="0"/>
        <v>1</v>
      </c>
      <c r="F4" s="42" t="s">
        <v>160</v>
      </c>
      <c r="G4" s="42" t="b">
        <v>0</v>
      </c>
      <c r="H4" s="42" t="b">
        <v>0</v>
      </c>
      <c r="I4" s="42" t="b">
        <v>1</v>
      </c>
      <c r="J4" s="42" t="b">
        <v>1</v>
      </c>
      <c r="K4" s="42" t="b">
        <v>1</v>
      </c>
    </row>
    <row r="5" spans="1:11">
      <c r="A5" s="24" t="s">
        <v>161</v>
      </c>
      <c r="B5" s="31" t="b">
        <f>COUNTBLANK(nc_Pzone_bool)&gt;0</f>
        <v>1</v>
      </c>
      <c r="C5" s="25"/>
      <c r="D5" s="41">
        <v>0</v>
      </c>
      <c r="E5" s="41" t="b">
        <f t="shared" si="0"/>
        <v>1</v>
      </c>
      <c r="F5" s="42" t="s">
        <v>162</v>
      </c>
      <c r="G5" s="42" t="b">
        <v>1</v>
      </c>
      <c r="H5" s="42" t="b">
        <v>1</v>
      </c>
      <c r="I5" s="42" t="b">
        <v>0</v>
      </c>
      <c r="J5" s="42" t="b">
        <v>1</v>
      </c>
      <c r="K5" s="42" t="b">
        <v>1</v>
      </c>
    </row>
    <row r="6" spans="1:11">
      <c r="A6" s="24" t="s">
        <v>163</v>
      </c>
      <c r="B6" s="31" t="b">
        <f>COUNTBLANK(nc_RapidRide_bool)&gt;0</f>
        <v>1</v>
      </c>
      <c r="C6" s="25"/>
      <c r="D6" s="41">
        <v>0</v>
      </c>
      <c r="E6" s="41" t="b">
        <f t="shared" si="0"/>
        <v>1</v>
      </c>
      <c r="F6" s="42" t="s">
        <v>164</v>
      </c>
      <c r="G6" s="42" t="b">
        <v>1</v>
      </c>
      <c r="H6" s="42" t="b">
        <v>1</v>
      </c>
      <c r="I6" s="42" t="b">
        <v>0</v>
      </c>
      <c r="J6" s="42" t="b">
        <v>1</v>
      </c>
      <c r="K6" s="42" t="b">
        <v>1</v>
      </c>
    </row>
    <row r="7" spans="1:11">
      <c r="A7" s="24" t="s">
        <v>165</v>
      </c>
      <c r="B7" s="31" t="b">
        <f>COUNTBLANK(nc_C)&gt;0</f>
        <v>1</v>
      </c>
      <c r="C7" s="25"/>
      <c r="D7" s="41">
        <v>0</v>
      </c>
      <c r="E7" s="41" t="b">
        <f t="shared" si="0"/>
        <v>1</v>
      </c>
      <c r="F7" s="42" t="s">
        <v>166</v>
      </c>
      <c r="G7" s="42" t="b">
        <v>1</v>
      </c>
      <c r="H7" s="42" t="b">
        <v>1</v>
      </c>
      <c r="I7" s="42" t="b">
        <v>0</v>
      </c>
      <c r="J7" s="42" t="b">
        <v>1</v>
      </c>
      <c r="K7" s="42" t="b">
        <v>1</v>
      </c>
    </row>
    <row r="8" spans="1:11">
      <c r="A8" s="24" t="s">
        <v>167</v>
      </c>
      <c r="B8" s="31" t="b">
        <f>COUNTBLANK(nc_P)&gt;0</f>
        <v>1</v>
      </c>
      <c r="C8" s="25"/>
      <c r="D8" s="41">
        <v>0</v>
      </c>
      <c r="E8" s="41" t="b">
        <f t="shared" si="0"/>
        <v>1</v>
      </c>
      <c r="F8" s="42" t="s">
        <v>168</v>
      </c>
      <c r="G8" s="42" t="b">
        <v>1</v>
      </c>
      <c r="H8" s="42" t="b">
        <v>1</v>
      </c>
      <c r="I8" s="42" t="b">
        <v>0</v>
      </c>
      <c r="J8" s="42" t="b">
        <v>1</v>
      </c>
      <c r="K8" s="42" t="b">
        <v>1</v>
      </c>
    </row>
    <row r="9" spans="1:11">
      <c r="A9" s="24" t="s">
        <v>169</v>
      </c>
      <c r="B9" s="31" t="b">
        <f>COUNTBLANK(nc_L)&gt;0</f>
        <v>1</v>
      </c>
      <c r="C9" s="25"/>
      <c r="D9" s="41">
        <v>0</v>
      </c>
      <c r="E9" s="41" t="b">
        <f t="shared" si="0"/>
        <v>1</v>
      </c>
      <c r="F9" s="42" t="s">
        <v>170</v>
      </c>
      <c r="G9" s="42" t="b">
        <v>0</v>
      </c>
      <c r="H9" s="42" t="b">
        <v>0</v>
      </c>
      <c r="I9" s="42" t="b">
        <v>0</v>
      </c>
      <c r="J9" s="42" t="b">
        <v>1</v>
      </c>
      <c r="K9" s="42" t="b">
        <v>1</v>
      </c>
    </row>
    <row r="10" spans="1:11" ht="43.5">
      <c r="A10" s="24" t="s">
        <v>171</v>
      </c>
      <c r="B10" s="31" t="b">
        <f>COUNTBLANK('NC Calcs'!E11:E15)+COUNTBLANK('NC Calcs'!E17:E19)
&gt;0</f>
        <v>1</v>
      </c>
      <c r="C10" s="25" t="s">
        <v>172</v>
      </c>
      <c r="D10" s="41">
        <v>1</v>
      </c>
      <c r="E10" s="41" t="b">
        <f>D10=$D$12</f>
        <v>1</v>
      </c>
      <c r="F10" s="43" t="str" cm="1">
        <f t="array" ref="F10">IF(_nc_ErrorFlag,_xlfn.CONCAT(
_xlfn.TEXTJOIN(CHAR(10),TRUE,IF(OR(B2:B6),"- Make all selections in DRIVEWAY AND FRONTAGE SELECTIONS BOX ",""),
IF(OR(B7:B9),_xlfn.CONCAT("- Input value(s) for: ",_xlfn.TEXTJOIN(", ",TRUE,IF(B7:B9=TRUE,F7:F9,""))),"")
)))</f>
        <v>- Make all selections in DRIVEWAY AND FRONTAGE SELECTIONS BOX 
- Input value(s) for: Elevation "C", Distance "P", Distance "L"</v>
      </c>
      <c r="G10" s="42" t="b">
        <v>0</v>
      </c>
      <c r="H10" s="42" t="b">
        <v>0</v>
      </c>
      <c r="I10" s="42" t="b">
        <v>0</v>
      </c>
      <c r="J10" s="42" t="b">
        <v>1</v>
      </c>
      <c r="K10" s="42" t="b">
        <v>1</v>
      </c>
    </row>
    <row r="11" spans="1:11">
      <c r="A11" s="26" t="s">
        <v>173</v>
      </c>
      <c r="B11" s="27" t="b">
        <f>IF(ISERROR(nc_W_row),TRUE,IF(ISERROR(nc_F),FALSE,nc_L&lt;nc_F))</f>
        <v>1</v>
      </c>
      <c r="C11" s="27" t="s">
        <v>174</v>
      </c>
      <c r="D11" s="44">
        <v>2</v>
      </c>
      <c r="E11" s="45" t="b">
        <f>D11=$D$12</f>
        <v>0</v>
      </c>
      <c r="F11" s="46" t="s">
        <v>175</v>
      </c>
      <c r="G11" s="42" t="b">
        <v>0</v>
      </c>
      <c r="H11" s="42" t="b">
        <v>0</v>
      </c>
      <c r="I11" s="42" t="b">
        <v>0</v>
      </c>
      <c r="J11" s="42" t="b">
        <v>1</v>
      </c>
      <c r="K11" s="42" t="b">
        <v>1</v>
      </c>
    </row>
    <row r="12" spans="1:11">
      <c r="A12" s="22" t="s">
        <v>176</v>
      </c>
      <c r="B12" s="22" t="b" cm="1">
        <f t="array" ref="B12">IF(COUNTIF(_nc_errorList,TRUE)&gt;0,TRUE,FALSE)</f>
        <v>1</v>
      </c>
      <c r="C12" s="22" t="s">
        <v>177</v>
      </c>
      <c r="D12" s="23" cm="1">
        <f t="array" ref="D12">MIN(IF(--_nc_errorList*D2:D11&lt;&gt;0,--_nc_errorList*D2:D11))</f>
        <v>1</v>
      </c>
      <c r="E12" s="22"/>
      <c r="F12" s="22"/>
      <c r="G12" s="22" t="b" cm="1">
        <f t="array" ref="G12">IF(SUMPRODUCT(--_nc_errorList,--G2:G11)&gt;0,TRUE)</f>
        <v>1</v>
      </c>
      <c r="H12" s="22" t="b" cm="1">
        <f t="array" ref="H12">IF(SUMPRODUCT(--_nc_errorList,--H2:H11)&gt;0,TRUE)</f>
        <v>1</v>
      </c>
      <c r="I12" s="22" t="b" cm="1">
        <f t="array" ref="I12">IF(SUMPRODUCT(--_nc_errorList,--I2:I11)&gt;0,TRUE)</f>
        <v>0</v>
      </c>
      <c r="J12" s="22" t="b" cm="1">
        <f t="array" ref="J12">IF(SUMPRODUCT(--_nc_errorList,--J2:J11)&gt;0,TRUE)</f>
        <v>1</v>
      </c>
      <c r="K12" s="22" t="b" cm="1">
        <f t="array" ref="K12">IF(SUMPRODUCT(--_nc_errorList,--K2:K11)&gt;0,TRUE)</f>
        <v>1</v>
      </c>
    </row>
    <row r="13" spans="1:11">
      <c r="A13" t="s">
        <v>178</v>
      </c>
      <c r="B13" s="194" t="str" cm="1">
        <f t="array" ref="B13">IF(_nc_ErrorFlag,_xlfn.TEXTJOIN(CHAR(10),TRUE,IF(E10:E11=TRUE,F10:F11,"")),"")</f>
        <v>- Make all selections in DRIVEWAY AND FRONTAGE SELECTIONS BOX 
- Input value(s) for: Elevation "C", Distance "P", Distance "L"</v>
      </c>
      <c r="C13" t="s">
        <v>179</v>
      </c>
      <c r="G13" s="47" t="s">
        <v>180</v>
      </c>
      <c r="H13" s="47" t="s">
        <v>181</v>
      </c>
      <c r="I13" s="47" t="s">
        <v>182</v>
      </c>
      <c r="J13" s="47" t="s">
        <v>183</v>
      </c>
      <c r="K13" s="47" t="s">
        <v>184</v>
      </c>
    </row>
    <row r="14" spans="1:11">
      <c r="B14" s="194"/>
    </row>
    <row r="15" spans="1:11">
      <c r="B15" s="194"/>
    </row>
    <row r="16" spans="1:11">
      <c r="B16" s="194"/>
      <c r="C16" s="1"/>
    </row>
  </sheetData>
  <sortState xmlns:xlrd2="http://schemas.microsoft.com/office/spreadsheetml/2017/richdata2" ref="A2:K6">
    <sortCondition ref="A2:A6"/>
  </sortState>
  <mergeCells count="1">
    <mergeCell ref="B13:B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45AC-1147-47B1-B204-E89BEB6867B5}">
  <sheetPr codeName="Sheet4">
    <tabColor rgb="FF002060"/>
  </sheetPr>
  <dimension ref="A1:M7"/>
  <sheetViews>
    <sheetView zoomScale="115" zoomScaleNormal="115" workbookViewId="0">
      <selection activeCell="J27" sqref="J27:AB28"/>
    </sheetView>
  </sheetViews>
  <sheetFormatPr defaultColWidth="9.140625" defaultRowHeight="14.45"/>
  <cols>
    <col min="1" max="1" width="9.140625" style="2"/>
    <col min="2" max="3" width="42.5703125" style="2" customWidth="1"/>
    <col min="4" max="4" width="22.42578125" style="3" customWidth="1"/>
    <col min="5" max="5" width="34.140625" style="3" customWidth="1"/>
    <col min="6" max="6" width="5.5703125" style="3" customWidth="1"/>
    <col min="7" max="7" width="75.42578125" style="2" customWidth="1"/>
    <col min="8" max="8" width="25.140625" style="2" customWidth="1"/>
    <col min="9" max="9" width="8.42578125" style="3" bestFit="1" customWidth="1"/>
    <col min="10" max="10" width="13.28515625" style="2" bestFit="1" customWidth="1"/>
    <col min="11" max="11" width="9.85546875" style="2" bestFit="1" customWidth="1"/>
    <col min="12" max="12" width="22.28515625" style="2" bestFit="1" customWidth="1"/>
    <col min="13" max="16384" width="9.140625" style="2"/>
  </cols>
  <sheetData>
    <row r="1" spans="1:13">
      <c r="A1" s="4" t="s">
        <v>185</v>
      </c>
      <c r="B1" s="4" t="s">
        <v>37</v>
      </c>
      <c r="C1" s="4" t="s">
        <v>186</v>
      </c>
      <c r="D1" s="5" t="s">
        <v>39</v>
      </c>
      <c r="E1" s="5" t="s">
        <v>40</v>
      </c>
      <c r="F1" s="5" t="s">
        <v>41</v>
      </c>
      <c r="G1" s="4" t="s">
        <v>43</v>
      </c>
    </row>
    <row r="2" spans="1:13">
      <c r="A2" s="40" t="s">
        <v>187</v>
      </c>
      <c r="B2" s="40"/>
      <c r="C2" s="40"/>
      <c r="D2" s="40"/>
      <c r="E2" s="40"/>
      <c r="F2" s="40"/>
      <c r="G2" s="40"/>
      <c r="H2" s="11"/>
      <c r="I2" s="195"/>
      <c r="J2" s="195"/>
      <c r="K2" s="195"/>
    </row>
    <row r="3" spans="1:13" ht="16.5">
      <c r="A3" s="6" t="s">
        <v>46</v>
      </c>
      <c r="B3" s="6" t="s">
        <v>188</v>
      </c>
      <c r="C3" s="6" t="s">
        <v>48</v>
      </c>
      <c r="D3" s="9" t="s">
        <v>189</v>
      </c>
      <c r="E3" s="10">
        <v>0.02</v>
      </c>
      <c r="F3" s="7"/>
      <c r="G3" s="6" t="s">
        <v>190</v>
      </c>
      <c r="J3" s="3"/>
      <c r="K3" s="3"/>
      <c r="L3" s="3"/>
      <c r="M3" s="3"/>
    </row>
    <row r="4" spans="1:13" ht="16.5">
      <c r="A4" s="6" t="s">
        <v>51</v>
      </c>
      <c r="B4" s="6" t="s">
        <v>191</v>
      </c>
      <c r="C4" s="6" t="s">
        <v>53</v>
      </c>
      <c r="D4" s="9" t="s">
        <v>192</v>
      </c>
      <c r="E4" s="10">
        <v>1.4999999999999999E-2</v>
      </c>
      <c r="F4" s="7"/>
      <c r="G4" s="6" t="s">
        <v>190</v>
      </c>
      <c r="J4" s="12"/>
      <c r="K4" s="3"/>
      <c r="L4" s="3"/>
    </row>
    <row r="5" spans="1:13" ht="16.5">
      <c r="A5" s="6" t="s">
        <v>55</v>
      </c>
      <c r="B5" s="6" t="s">
        <v>193</v>
      </c>
      <c r="C5" s="6" t="s">
        <v>57</v>
      </c>
      <c r="D5" s="9" t="s">
        <v>194</v>
      </c>
      <c r="E5" s="32">
        <v>0.5</v>
      </c>
      <c r="F5" s="7" t="s">
        <v>59</v>
      </c>
      <c r="G5" s="6" t="s">
        <v>195</v>
      </c>
      <c r="J5" s="12"/>
      <c r="K5" s="3"/>
      <c r="L5" s="3"/>
    </row>
    <row r="6" spans="1:13" ht="16.5">
      <c r="A6" s="6" t="s">
        <v>61</v>
      </c>
      <c r="B6" s="6" t="s">
        <v>196</v>
      </c>
      <c r="C6" s="6" t="s">
        <v>63</v>
      </c>
      <c r="D6" s="9" t="s">
        <v>197</v>
      </c>
      <c r="E6" s="10">
        <v>0.15</v>
      </c>
      <c r="F6" s="7"/>
      <c r="G6" s="6" t="s">
        <v>198</v>
      </c>
      <c r="J6" s="12"/>
      <c r="K6" s="3"/>
      <c r="L6" s="3"/>
    </row>
    <row r="7" spans="1:13" ht="16.5">
      <c r="A7" s="6" t="s">
        <v>65</v>
      </c>
      <c r="B7" s="6" t="s">
        <v>199</v>
      </c>
      <c r="C7" s="6" t="s">
        <v>67</v>
      </c>
      <c r="D7" s="9" t="s">
        <v>200</v>
      </c>
      <c r="E7" s="10">
        <v>0.1</v>
      </c>
      <c r="F7" s="7"/>
      <c r="G7" s="6" t="s">
        <v>201</v>
      </c>
      <c r="J7" s="12"/>
      <c r="K7" s="3"/>
      <c r="L7" s="3"/>
    </row>
  </sheetData>
  <sortState xmlns:xlrd2="http://schemas.microsoft.com/office/spreadsheetml/2017/richdata2" ref="A3:G7">
    <sortCondition ref="A3:A7"/>
  </sortState>
  <mergeCells count="1">
    <mergeCell ref="I2:K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EF2-569A-4277-AE90-200B865DBC40}">
  <sheetPr codeName="Sheet5">
    <tabColor rgb="FF002060"/>
  </sheetPr>
  <dimension ref="A1:AB56"/>
  <sheetViews>
    <sheetView topLeftCell="A10" zoomScale="85" zoomScaleNormal="85" workbookViewId="0">
      <selection activeCell="J27" sqref="J27:AB28"/>
    </sheetView>
  </sheetViews>
  <sheetFormatPr defaultRowHeight="14.45"/>
  <cols>
    <col min="1" max="1" width="40.140625" bestFit="1" customWidth="1"/>
    <col min="2" max="2" width="14.140625" style="1" bestFit="1" customWidth="1"/>
    <col min="3" max="3" width="8.28515625" style="1" customWidth="1"/>
    <col min="4" max="4" width="14" style="1" customWidth="1"/>
    <col min="5" max="5" width="63.7109375" bestFit="1" customWidth="1"/>
    <col min="7" max="7" width="31.7109375" customWidth="1"/>
    <col min="8" max="8" width="10" bestFit="1" customWidth="1"/>
    <col min="9" max="9" width="10.7109375" bestFit="1" customWidth="1"/>
    <col min="10" max="10" width="21.28515625" customWidth="1"/>
    <col min="11" max="11" width="17" customWidth="1"/>
    <col min="12" max="12" width="17.85546875" customWidth="1"/>
    <col min="13" max="13" width="21.140625" customWidth="1"/>
    <col min="14" max="14" width="20.140625" customWidth="1"/>
    <col min="15" max="15" width="21" customWidth="1"/>
    <col min="16" max="16" width="22.7109375" bestFit="1" customWidth="1"/>
    <col min="17" max="17" width="25.85546875" bestFit="1" customWidth="1"/>
    <col min="18" max="18" width="26.85546875" bestFit="1" customWidth="1"/>
    <col min="19" max="19" width="31.42578125" bestFit="1" customWidth="1"/>
    <col min="20" max="20" width="26.42578125" bestFit="1" customWidth="1"/>
    <col min="21" max="21" width="29.5703125" bestFit="1" customWidth="1"/>
    <col min="22" max="22" width="30.5703125" bestFit="1" customWidth="1"/>
    <col min="23" max="23" width="34.28515625" bestFit="1" customWidth="1"/>
    <col min="24" max="24" width="26" bestFit="1" customWidth="1"/>
    <col min="25" max="25" width="29.5703125" bestFit="1" customWidth="1"/>
    <col min="26" max="26" width="30.5703125" bestFit="1" customWidth="1"/>
    <col min="27" max="27" width="34.28515625" bestFit="1" customWidth="1"/>
  </cols>
  <sheetData>
    <row r="1" spans="1:28" ht="100.5" customHeight="1">
      <c r="A1" s="20" t="s">
        <v>202</v>
      </c>
      <c r="B1" s="51" t="s">
        <v>203</v>
      </c>
      <c r="C1" s="51" t="s">
        <v>204</v>
      </c>
      <c r="D1" s="51" t="s">
        <v>205</v>
      </c>
      <c r="E1" s="20" t="s">
        <v>206</v>
      </c>
      <c r="G1" s="53" t="s">
        <v>207</v>
      </c>
      <c r="H1" s="52"/>
      <c r="I1" s="52"/>
      <c r="J1" s="52"/>
      <c r="K1" s="52"/>
      <c r="L1" s="52"/>
      <c r="M1" s="20" t="s">
        <v>208</v>
      </c>
    </row>
    <row r="2" spans="1:28">
      <c r="A2" t="s">
        <v>209</v>
      </c>
      <c r="B2" s="1" t="s">
        <v>210</v>
      </c>
      <c r="C2" s="1">
        <v>40</v>
      </c>
      <c r="D2" s="1">
        <v>10</v>
      </c>
      <c r="G2" t="s">
        <v>158</v>
      </c>
      <c r="H2" t="s">
        <v>211</v>
      </c>
      <c r="I2" t="s">
        <v>212</v>
      </c>
      <c r="J2" t="s">
        <v>213</v>
      </c>
      <c r="K2" t="s">
        <v>214</v>
      </c>
      <c r="L2" t="s">
        <v>215</v>
      </c>
      <c r="M2" t="s">
        <v>216</v>
      </c>
      <c r="N2" t="s">
        <v>217</v>
      </c>
      <c r="O2" t="s">
        <v>218</v>
      </c>
      <c r="P2" t="s">
        <v>219</v>
      </c>
      <c r="Q2" t="s">
        <v>220</v>
      </c>
      <c r="R2" t="s">
        <v>221</v>
      </c>
      <c r="S2" t="s">
        <v>222</v>
      </c>
      <c r="T2" t="s">
        <v>223</v>
      </c>
      <c r="U2" t="s">
        <v>224</v>
      </c>
      <c r="V2" t="s">
        <v>225</v>
      </c>
      <c r="W2" t="s">
        <v>226</v>
      </c>
      <c r="X2" t="s">
        <v>227</v>
      </c>
      <c r="Y2" t="s">
        <v>228</v>
      </c>
      <c r="Z2" t="s">
        <v>229</v>
      </c>
      <c r="AA2" t="s">
        <v>230</v>
      </c>
      <c r="AB2" t="s">
        <v>231</v>
      </c>
    </row>
    <row r="3" spans="1:28">
      <c r="A3" t="s">
        <v>232</v>
      </c>
      <c r="B3" s="1" t="s">
        <v>233</v>
      </c>
      <c r="C3" s="1">
        <v>40</v>
      </c>
      <c r="D3" s="1">
        <v>10</v>
      </c>
      <c r="G3" t="s">
        <v>234</v>
      </c>
      <c r="H3" t="b">
        <v>1</v>
      </c>
      <c r="I3" t="b">
        <v>0</v>
      </c>
      <c r="J3" t="b">
        <v>1</v>
      </c>
      <c r="K3">
        <v>6</v>
      </c>
      <c r="L3">
        <v>8</v>
      </c>
      <c r="M3">
        <v>8</v>
      </c>
      <c r="N3">
        <v>10</v>
      </c>
      <c r="O3">
        <v>6</v>
      </c>
      <c r="P3">
        <v>8</v>
      </c>
      <c r="Q3">
        <f>Table_ROWIM_Widths[[#This Row],[Ped Clear Zone]]+Table_ROWIM_Widths[[#This Row],[Landscape Zone]]</f>
        <v>14</v>
      </c>
      <c r="R3">
        <f>Table_ROWIM_Widths[[#This Row],[RR Ped Clear Zone]]+Table_ROWIM_Widths[[#This Row],[RR Landscape Zone]]</f>
        <v>18</v>
      </c>
      <c r="S3">
        <f>Table_ROWIM_Widths[[#This Row],[PDZ Ped Clear Zone]]+Table_ROWIM_Widths[[#This Row],[Landscape Zone]]</f>
        <v>14</v>
      </c>
      <c r="T3">
        <f>MAX(Table_ROWIM_Widths[[#This Row],[PDZ Ped Clear Zone]],Table_ROWIM_Widths[[#This Row],[RR Ped Clear Zone]])+Table_ROWIM_Widths[[#This Row],[RR Landscape Zone]]</f>
        <v>18</v>
      </c>
      <c r="U3">
        <f>40-Table_ROWIM_Widths[[#This Row],[Total Minimum Width]]*2</f>
        <v>12</v>
      </c>
      <c r="V3">
        <f>40-Table_ROWIM_Widths[[#This Row],[RR Total Minimum Width]]*2</f>
        <v>4</v>
      </c>
      <c r="W3">
        <f>40-Table_ROWIM_Widths[[#This Row],[PDZ Total Minimum Width]]*2</f>
        <v>12</v>
      </c>
      <c r="X3">
        <f>40-Table_ROWIM_Widths[[#This Row],[PDZ + RR Total Minimum Width]]*2</f>
        <v>4</v>
      </c>
      <c r="Y3">
        <f>52-Table_ROWIM_Widths[[#This Row],[Total Minimum Width]]*2</f>
        <v>24</v>
      </c>
      <c r="Z3">
        <f>52-Table_ROWIM_Widths[[#This Row],[RR Total Minimum Width]]*2</f>
        <v>16</v>
      </c>
      <c r="AA3">
        <f>52-Table_ROWIM_Widths[[#This Row],[PDZ Total Minimum Width]]*2</f>
        <v>24</v>
      </c>
      <c r="AB3">
        <f>52-Table_ROWIM_Widths[[#This Row],[PDZ + RR Total Minimum Width]]*2</f>
        <v>16</v>
      </c>
    </row>
    <row r="4" spans="1:28">
      <c r="A4" t="s">
        <v>235</v>
      </c>
      <c r="B4" s="1" t="s">
        <v>236</v>
      </c>
      <c r="C4" s="1">
        <v>40</v>
      </c>
      <c r="D4" s="1">
        <v>10</v>
      </c>
      <c r="G4" t="s">
        <v>237</v>
      </c>
      <c r="H4" t="b">
        <v>1</v>
      </c>
      <c r="I4" t="b">
        <v>0</v>
      </c>
      <c r="J4" t="b">
        <v>1</v>
      </c>
      <c r="K4">
        <v>6</v>
      </c>
      <c r="L4">
        <v>6</v>
      </c>
      <c r="M4">
        <v>6</v>
      </c>
      <c r="N4">
        <v>8</v>
      </c>
      <c r="O4">
        <v>6</v>
      </c>
      <c r="P4">
        <v>6</v>
      </c>
      <c r="Q4">
        <f>Table_ROWIM_Widths[[#This Row],[Ped Clear Zone]]+Table_ROWIM_Widths[[#This Row],[Landscape Zone]]</f>
        <v>12</v>
      </c>
      <c r="R4">
        <f>Table_ROWIM_Widths[[#This Row],[RR Ped Clear Zone]]+Table_ROWIM_Widths[[#This Row],[RR Landscape Zone]]</f>
        <v>14</v>
      </c>
      <c r="S4">
        <f>Table_ROWIM_Widths[[#This Row],[PDZ Ped Clear Zone]]+Table_ROWIM_Widths[[#This Row],[Landscape Zone]]</f>
        <v>12</v>
      </c>
      <c r="T4">
        <f>MAX(Table_ROWIM_Widths[[#This Row],[PDZ Ped Clear Zone]],Table_ROWIM_Widths[[#This Row],[RR Ped Clear Zone]])+Table_ROWIM_Widths[[#This Row],[RR Landscape Zone]]</f>
        <v>14</v>
      </c>
      <c r="U4">
        <f>40-Table_ROWIM_Widths[[#This Row],[Total Minimum Width]]*2</f>
        <v>16</v>
      </c>
      <c r="V4">
        <f>40-Table_ROWIM_Widths[[#This Row],[RR Total Minimum Width]]*2</f>
        <v>12</v>
      </c>
      <c r="W4">
        <f>40-Table_ROWIM_Widths[[#This Row],[PDZ Total Minimum Width]]*2</f>
        <v>16</v>
      </c>
      <c r="X4">
        <f>40-Table_ROWIM_Widths[[#This Row],[PDZ + RR Total Minimum Width]]*2</f>
        <v>12</v>
      </c>
      <c r="Y4">
        <f>52-Table_ROWIM_Widths[[#This Row],[Total Minimum Width]]*2</f>
        <v>28</v>
      </c>
      <c r="Z4">
        <f>52-Table_ROWIM_Widths[[#This Row],[RR Total Minimum Width]]*2</f>
        <v>24</v>
      </c>
      <c r="AA4">
        <f>52-Table_ROWIM_Widths[[#This Row],[PDZ Total Minimum Width]]*2</f>
        <v>28</v>
      </c>
      <c r="AB4">
        <f>52-Table_ROWIM_Widths[[#This Row],[PDZ + RR Total Minimum Width]]*2</f>
        <v>24</v>
      </c>
    </row>
    <row r="5" spans="1:28">
      <c r="A5" t="s">
        <v>238</v>
      </c>
      <c r="B5" s="1" t="s">
        <v>239</v>
      </c>
      <c r="C5" s="1">
        <v>52</v>
      </c>
      <c r="D5" s="1">
        <v>10</v>
      </c>
      <c r="G5" t="s">
        <v>240</v>
      </c>
      <c r="H5" t="b">
        <v>1</v>
      </c>
      <c r="I5" t="b">
        <v>0</v>
      </c>
      <c r="J5" t="b">
        <v>1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  <c r="Q5">
        <f>Table_ROWIM_Widths[[#This Row],[Ped Clear Zone]]+Table_ROWIM_Widths[[#This Row],[Landscape Zone]]</f>
        <v>12</v>
      </c>
      <c r="R5">
        <f>Table_ROWIM_Widths[[#This Row],[RR Ped Clear Zone]]+Table_ROWIM_Widths[[#This Row],[RR Landscape Zone]]</f>
        <v>12</v>
      </c>
      <c r="S5">
        <f>Table_ROWIM_Widths[[#This Row],[PDZ Ped Clear Zone]]+Table_ROWIM_Widths[[#This Row],[Landscape Zone]]</f>
        <v>12</v>
      </c>
      <c r="T5">
        <f>MAX(Table_ROWIM_Widths[[#This Row],[PDZ Ped Clear Zone]],Table_ROWIM_Widths[[#This Row],[RR Ped Clear Zone]])+Table_ROWIM_Widths[[#This Row],[RR Landscape Zone]]</f>
        <v>12</v>
      </c>
      <c r="U5">
        <f>40-Table_ROWIM_Widths[[#This Row],[Total Minimum Width]]*2</f>
        <v>16</v>
      </c>
      <c r="V5">
        <f>40-Table_ROWIM_Widths[[#This Row],[RR Total Minimum Width]]*2</f>
        <v>16</v>
      </c>
      <c r="W5">
        <f>40-Table_ROWIM_Widths[[#This Row],[PDZ Total Minimum Width]]*2</f>
        <v>16</v>
      </c>
      <c r="X5">
        <f>40-Table_ROWIM_Widths[[#This Row],[PDZ + RR Total Minimum Width]]*2</f>
        <v>16</v>
      </c>
      <c r="Y5">
        <f>52-Table_ROWIM_Widths[[#This Row],[Total Minimum Width]]*2</f>
        <v>28</v>
      </c>
      <c r="Z5">
        <f>52-Table_ROWIM_Widths[[#This Row],[RR Total Minimum Width]]*2</f>
        <v>28</v>
      </c>
      <c r="AA5">
        <f>52-Table_ROWIM_Widths[[#This Row],[PDZ Total Minimum Width]]*2</f>
        <v>28</v>
      </c>
      <c r="AB5">
        <f>52-Table_ROWIM_Widths[[#This Row],[PDZ + RR Total Minimum Width]]*2</f>
        <v>28</v>
      </c>
    </row>
    <row r="6" spans="1:28">
      <c r="A6" t="s">
        <v>241</v>
      </c>
      <c r="B6" s="1" t="s">
        <v>242</v>
      </c>
      <c r="C6" s="1">
        <v>52</v>
      </c>
      <c r="D6" s="1">
        <v>12</v>
      </c>
      <c r="G6" t="s">
        <v>243</v>
      </c>
      <c r="H6" t="b">
        <v>1</v>
      </c>
      <c r="I6" t="b">
        <v>0</v>
      </c>
      <c r="J6" t="b">
        <v>1</v>
      </c>
      <c r="K6">
        <v>6</v>
      </c>
      <c r="L6">
        <v>6</v>
      </c>
      <c r="M6">
        <v>8</v>
      </c>
      <c r="N6">
        <v>6</v>
      </c>
      <c r="O6">
        <v>6</v>
      </c>
      <c r="P6">
        <v>6</v>
      </c>
      <c r="Q6">
        <f>Table_ROWIM_Widths[[#This Row],[Ped Clear Zone]]+Table_ROWIM_Widths[[#This Row],[Landscape Zone]]</f>
        <v>12</v>
      </c>
      <c r="R6">
        <f>Table_ROWIM_Widths[[#This Row],[RR Ped Clear Zone]]+Table_ROWIM_Widths[[#This Row],[RR Landscape Zone]]</f>
        <v>12</v>
      </c>
      <c r="S6">
        <f>Table_ROWIM_Widths[[#This Row],[PDZ Ped Clear Zone]]+Table_ROWIM_Widths[[#This Row],[Landscape Zone]]</f>
        <v>14</v>
      </c>
      <c r="T6">
        <f>MAX(Table_ROWIM_Widths[[#This Row],[PDZ Ped Clear Zone]],Table_ROWIM_Widths[[#This Row],[RR Ped Clear Zone]])+Table_ROWIM_Widths[[#This Row],[RR Landscape Zone]]</f>
        <v>14</v>
      </c>
      <c r="U6">
        <f>40-Table_ROWIM_Widths[[#This Row],[Total Minimum Width]]*2</f>
        <v>16</v>
      </c>
      <c r="V6">
        <f>40-Table_ROWIM_Widths[[#This Row],[RR Total Minimum Width]]*2</f>
        <v>16</v>
      </c>
      <c r="W6">
        <f>40-Table_ROWIM_Widths[[#This Row],[PDZ Total Minimum Width]]*2</f>
        <v>12</v>
      </c>
      <c r="X6">
        <f>40-Table_ROWIM_Widths[[#This Row],[PDZ + RR Total Minimum Width]]*2</f>
        <v>12</v>
      </c>
      <c r="Y6">
        <f>52-Table_ROWIM_Widths[[#This Row],[Total Minimum Width]]*2</f>
        <v>28</v>
      </c>
      <c r="Z6">
        <f>52-Table_ROWIM_Widths[[#This Row],[RR Total Minimum Width]]*2</f>
        <v>28</v>
      </c>
      <c r="AA6">
        <f>52-Table_ROWIM_Widths[[#This Row],[PDZ Total Minimum Width]]*2</f>
        <v>24</v>
      </c>
      <c r="AB6">
        <f>52-Table_ROWIM_Widths[[#This Row],[PDZ + RR Total Minimum Width]]*2</f>
        <v>24</v>
      </c>
    </row>
    <row r="7" spans="1:28">
      <c r="A7" t="s">
        <v>244</v>
      </c>
      <c r="B7" s="1" t="s">
        <v>245</v>
      </c>
      <c r="C7" s="1">
        <v>52</v>
      </c>
      <c r="D7" s="1">
        <v>12</v>
      </c>
      <c r="G7" t="s">
        <v>246</v>
      </c>
      <c r="H7" t="b">
        <v>1</v>
      </c>
      <c r="I7" t="b">
        <v>0</v>
      </c>
      <c r="J7" t="b">
        <v>1</v>
      </c>
      <c r="K7">
        <v>6</v>
      </c>
      <c r="L7">
        <v>6</v>
      </c>
      <c r="M7">
        <v>8</v>
      </c>
      <c r="N7">
        <v>6</v>
      </c>
      <c r="O7">
        <v>6</v>
      </c>
      <c r="P7">
        <v>6</v>
      </c>
      <c r="Q7">
        <f>Table_ROWIM_Widths[[#This Row],[Ped Clear Zone]]+Table_ROWIM_Widths[[#This Row],[Landscape Zone]]</f>
        <v>12</v>
      </c>
      <c r="R7">
        <f>Table_ROWIM_Widths[[#This Row],[RR Ped Clear Zone]]+Table_ROWIM_Widths[[#This Row],[RR Landscape Zone]]</f>
        <v>12</v>
      </c>
      <c r="S7">
        <f>Table_ROWIM_Widths[[#This Row],[PDZ Ped Clear Zone]]+Table_ROWIM_Widths[[#This Row],[Landscape Zone]]</f>
        <v>14</v>
      </c>
      <c r="T7">
        <f>MAX(Table_ROWIM_Widths[[#This Row],[PDZ Ped Clear Zone]],Table_ROWIM_Widths[[#This Row],[RR Ped Clear Zone]])+Table_ROWIM_Widths[[#This Row],[RR Landscape Zone]]</f>
        <v>14</v>
      </c>
      <c r="U7">
        <f>40-Table_ROWIM_Widths[[#This Row],[Total Minimum Width]]*2</f>
        <v>16</v>
      </c>
      <c r="V7">
        <f>40-Table_ROWIM_Widths[[#This Row],[RR Total Minimum Width]]*2</f>
        <v>16</v>
      </c>
      <c r="W7">
        <f>40-Table_ROWIM_Widths[[#This Row],[PDZ Total Minimum Width]]*2</f>
        <v>12</v>
      </c>
      <c r="X7">
        <f>40-Table_ROWIM_Widths[[#This Row],[PDZ + RR Total Minimum Width]]*2</f>
        <v>12</v>
      </c>
      <c r="Y7">
        <f>52-Table_ROWIM_Widths[[#This Row],[Total Minimum Width]]*2</f>
        <v>28</v>
      </c>
      <c r="Z7">
        <f>52-Table_ROWIM_Widths[[#This Row],[RR Total Minimum Width]]*2</f>
        <v>28</v>
      </c>
      <c r="AA7">
        <f>52-Table_ROWIM_Widths[[#This Row],[PDZ Total Minimum Width]]*2</f>
        <v>24</v>
      </c>
      <c r="AB7">
        <f>52-Table_ROWIM_Widths[[#This Row],[PDZ + RR Total Minimum Width]]*2</f>
        <v>24</v>
      </c>
    </row>
    <row r="8" spans="1:28">
      <c r="A8" t="s">
        <v>247</v>
      </c>
      <c r="B8" s="1" t="s">
        <v>117</v>
      </c>
      <c r="C8" s="1">
        <v>40</v>
      </c>
      <c r="D8" s="1">
        <v>10</v>
      </c>
      <c r="G8" t="s">
        <v>248</v>
      </c>
      <c r="H8" t="b">
        <v>1</v>
      </c>
      <c r="I8" t="b">
        <v>0</v>
      </c>
      <c r="J8" t="b">
        <v>1</v>
      </c>
      <c r="K8">
        <v>0</v>
      </c>
      <c r="L8">
        <v>6</v>
      </c>
      <c r="M8">
        <v>6</v>
      </c>
      <c r="N8">
        <v>6</v>
      </c>
      <c r="O8">
        <v>6</v>
      </c>
      <c r="P8">
        <v>6</v>
      </c>
      <c r="Q8">
        <f>Table_ROWIM_Widths[[#This Row],[Ped Clear Zone]]+Table_ROWIM_Widths[[#This Row],[Landscape Zone]]</f>
        <v>12</v>
      </c>
      <c r="R8">
        <f>Table_ROWIM_Widths[[#This Row],[RR Ped Clear Zone]]+Table_ROWIM_Widths[[#This Row],[RR Landscape Zone]]</f>
        <v>12</v>
      </c>
      <c r="S8">
        <f>Table_ROWIM_Widths[[#This Row],[PDZ Ped Clear Zone]]+Table_ROWIM_Widths[[#This Row],[Landscape Zone]]</f>
        <v>12</v>
      </c>
      <c r="T8">
        <f>MAX(Table_ROWIM_Widths[[#This Row],[PDZ Ped Clear Zone]],Table_ROWIM_Widths[[#This Row],[RR Ped Clear Zone]])+Table_ROWIM_Widths[[#This Row],[RR Landscape Zone]]</f>
        <v>12</v>
      </c>
      <c r="U8">
        <f>40-Table_ROWIM_Widths[[#This Row],[Total Minimum Width]]*2</f>
        <v>16</v>
      </c>
      <c r="V8">
        <f>40-Table_ROWIM_Widths[[#This Row],[RR Total Minimum Width]]*2</f>
        <v>16</v>
      </c>
      <c r="W8">
        <f>40-Table_ROWIM_Widths[[#This Row],[PDZ Total Minimum Width]]*2</f>
        <v>16</v>
      </c>
      <c r="X8">
        <f>40-Table_ROWIM_Widths[[#This Row],[PDZ + RR Total Minimum Width]]*2</f>
        <v>16</v>
      </c>
      <c r="Y8">
        <f>52-Table_ROWIM_Widths[[#This Row],[Total Minimum Width]]*2</f>
        <v>28</v>
      </c>
      <c r="Z8">
        <f>52-Table_ROWIM_Widths[[#This Row],[RR Total Minimum Width]]*2</f>
        <v>28</v>
      </c>
      <c r="AA8">
        <f>52-Table_ROWIM_Widths[[#This Row],[PDZ Total Minimum Width]]*2</f>
        <v>28</v>
      </c>
      <c r="AB8">
        <f>52-Table_ROWIM_Widths[[#This Row],[PDZ + RR Total Minimum Width]]*2</f>
        <v>28</v>
      </c>
    </row>
    <row r="9" spans="1:28">
      <c r="A9" t="s">
        <v>249</v>
      </c>
      <c r="B9" s="1" t="s">
        <v>121</v>
      </c>
      <c r="C9" s="1">
        <v>40</v>
      </c>
      <c r="D9" s="1">
        <v>12</v>
      </c>
      <c r="E9" t="s">
        <v>250</v>
      </c>
      <c r="G9" t="s">
        <v>251</v>
      </c>
      <c r="H9" t="b">
        <v>1</v>
      </c>
      <c r="I9" t="b">
        <v>0</v>
      </c>
      <c r="J9" t="b">
        <v>1</v>
      </c>
      <c r="K9">
        <v>6</v>
      </c>
      <c r="L9">
        <v>6</v>
      </c>
      <c r="M9">
        <v>6</v>
      </c>
      <c r="N9">
        <v>10</v>
      </c>
      <c r="O9">
        <v>6</v>
      </c>
      <c r="P9">
        <v>8</v>
      </c>
      <c r="Q9">
        <f>Table_ROWIM_Widths[[#This Row],[Ped Clear Zone]]+Table_ROWIM_Widths[[#This Row],[Landscape Zone]]</f>
        <v>12</v>
      </c>
      <c r="R9">
        <f>Table_ROWIM_Widths[[#This Row],[RR Ped Clear Zone]]+Table_ROWIM_Widths[[#This Row],[RR Landscape Zone]]</f>
        <v>18</v>
      </c>
      <c r="S9">
        <f>Table_ROWIM_Widths[[#This Row],[PDZ Ped Clear Zone]]+Table_ROWIM_Widths[[#This Row],[Landscape Zone]]</f>
        <v>12</v>
      </c>
      <c r="T9">
        <f>MAX(Table_ROWIM_Widths[[#This Row],[PDZ Ped Clear Zone]],Table_ROWIM_Widths[[#This Row],[RR Ped Clear Zone]])+Table_ROWIM_Widths[[#This Row],[RR Landscape Zone]]</f>
        <v>18</v>
      </c>
      <c r="U9">
        <f>40-Table_ROWIM_Widths[[#This Row],[Total Minimum Width]]*2</f>
        <v>16</v>
      </c>
      <c r="V9">
        <f>40-Table_ROWIM_Widths[[#This Row],[RR Total Minimum Width]]*2</f>
        <v>4</v>
      </c>
      <c r="W9">
        <f>40-Table_ROWIM_Widths[[#This Row],[PDZ Total Minimum Width]]*2</f>
        <v>16</v>
      </c>
      <c r="X9">
        <f>40-Table_ROWIM_Widths[[#This Row],[PDZ + RR Total Minimum Width]]*2</f>
        <v>4</v>
      </c>
      <c r="Y9">
        <f>52-Table_ROWIM_Widths[[#This Row],[Total Minimum Width]]*2</f>
        <v>28</v>
      </c>
      <c r="Z9">
        <f>52-Table_ROWIM_Widths[[#This Row],[RR Total Minimum Width]]*2</f>
        <v>16</v>
      </c>
      <c r="AA9">
        <f>52-Table_ROWIM_Widths[[#This Row],[PDZ Total Minimum Width]]*2</f>
        <v>28</v>
      </c>
      <c r="AB9">
        <f>52-Table_ROWIM_Widths[[#This Row],[PDZ + RR Total Minimum Width]]*2</f>
        <v>16</v>
      </c>
    </row>
    <row r="10" spans="1:28">
      <c r="A10" t="s">
        <v>252</v>
      </c>
      <c r="B10" s="1" t="s">
        <v>125</v>
      </c>
      <c r="C10" s="1">
        <v>52</v>
      </c>
      <c r="D10" s="1">
        <v>16</v>
      </c>
      <c r="G10" t="s">
        <v>253</v>
      </c>
      <c r="H10" t="b">
        <v>1</v>
      </c>
      <c r="I10" t="b">
        <v>0</v>
      </c>
      <c r="J10" t="b">
        <v>1</v>
      </c>
      <c r="K10">
        <v>0</v>
      </c>
      <c r="L10">
        <v>6</v>
      </c>
      <c r="M10">
        <v>6</v>
      </c>
      <c r="N10">
        <v>6</v>
      </c>
      <c r="O10">
        <v>6</v>
      </c>
      <c r="P10">
        <v>6</v>
      </c>
      <c r="Q10">
        <f>Table_ROWIM_Widths[[#This Row],[Ped Clear Zone]]+Table_ROWIM_Widths[[#This Row],[Landscape Zone]]</f>
        <v>12</v>
      </c>
      <c r="R10">
        <f>Table_ROWIM_Widths[[#This Row],[RR Ped Clear Zone]]+Table_ROWIM_Widths[[#This Row],[RR Landscape Zone]]</f>
        <v>12</v>
      </c>
      <c r="S10">
        <f>Table_ROWIM_Widths[[#This Row],[PDZ Ped Clear Zone]]+Table_ROWIM_Widths[[#This Row],[Landscape Zone]]</f>
        <v>12</v>
      </c>
      <c r="T10">
        <f>MAX(Table_ROWIM_Widths[[#This Row],[PDZ Ped Clear Zone]],Table_ROWIM_Widths[[#This Row],[RR Ped Clear Zone]])+Table_ROWIM_Widths[[#This Row],[RR Landscape Zone]]</f>
        <v>12</v>
      </c>
      <c r="U10">
        <f>40-Table_ROWIM_Widths[[#This Row],[Total Minimum Width]]*2</f>
        <v>16</v>
      </c>
      <c r="V10">
        <f>40-Table_ROWIM_Widths[[#This Row],[RR Total Minimum Width]]*2</f>
        <v>16</v>
      </c>
      <c r="W10">
        <f>40-Table_ROWIM_Widths[[#This Row],[PDZ Total Minimum Width]]*2</f>
        <v>16</v>
      </c>
      <c r="X10">
        <f>40-Table_ROWIM_Widths[[#This Row],[PDZ + RR Total Minimum Width]]*2</f>
        <v>16</v>
      </c>
      <c r="Y10">
        <f>52-Table_ROWIM_Widths[[#This Row],[Total Minimum Width]]*2</f>
        <v>28</v>
      </c>
      <c r="Z10">
        <f>52-Table_ROWIM_Widths[[#This Row],[RR Total Minimum Width]]*2</f>
        <v>28</v>
      </c>
      <c r="AA10">
        <f>52-Table_ROWIM_Widths[[#This Row],[PDZ Total Minimum Width]]*2</f>
        <v>28</v>
      </c>
      <c r="AB10">
        <f>52-Table_ROWIM_Widths[[#This Row],[PDZ + RR Total Minimum Width]]*2</f>
        <v>28</v>
      </c>
    </row>
    <row r="11" spans="1:28">
      <c r="A11" t="s">
        <v>254</v>
      </c>
      <c r="B11" s="1" t="s">
        <v>255</v>
      </c>
      <c r="C11" s="1">
        <v>52</v>
      </c>
      <c r="D11" s="1">
        <v>16</v>
      </c>
      <c r="G11" t="s">
        <v>256</v>
      </c>
      <c r="H11" t="b">
        <v>1</v>
      </c>
      <c r="I11" t="b">
        <v>0</v>
      </c>
      <c r="J11" t="b">
        <v>1</v>
      </c>
      <c r="K11">
        <v>0</v>
      </c>
      <c r="L11">
        <v>6</v>
      </c>
      <c r="M11">
        <v>6</v>
      </c>
      <c r="N11">
        <v>6</v>
      </c>
      <c r="O11">
        <v>6</v>
      </c>
      <c r="P11">
        <v>6</v>
      </c>
      <c r="Q11">
        <f>Table_ROWIM_Widths[[#This Row],[Ped Clear Zone]]+Table_ROWIM_Widths[[#This Row],[Landscape Zone]]</f>
        <v>12</v>
      </c>
      <c r="R11">
        <f>Table_ROWIM_Widths[[#This Row],[RR Ped Clear Zone]]+Table_ROWIM_Widths[[#This Row],[RR Landscape Zone]]</f>
        <v>12</v>
      </c>
      <c r="S11">
        <f>Table_ROWIM_Widths[[#This Row],[PDZ Ped Clear Zone]]+Table_ROWIM_Widths[[#This Row],[Landscape Zone]]</f>
        <v>12</v>
      </c>
      <c r="T11">
        <f>MAX(Table_ROWIM_Widths[[#This Row],[PDZ Ped Clear Zone]],Table_ROWIM_Widths[[#This Row],[RR Ped Clear Zone]])+Table_ROWIM_Widths[[#This Row],[RR Landscape Zone]]</f>
        <v>12</v>
      </c>
      <c r="U11">
        <f>40-Table_ROWIM_Widths[[#This Row],[Total Minimum Width]]*2</f>
        <v>16</v>
      </c>
      <c r="V11">
        <f>40-Table_ROWIM_Widths[[#This Row],[RR Total Minimum Width]]*2</f>
        <v>16</v>
      </c>
      <c r="W11">
        <f>40-Table_ROWIM_Widths[[#This Row],[PDZ Total Minimum Width]]*2</f>
        <v>16</v>
      </c>
      <c r="X11">
        <f>40-Table_ROWIM_Widths[[#This Row],[PDZ + RR Total Minimum Width]]*2</f>
        <v>16</v>
      </c>
      <c r="Y11">
        <f>52-Table_ROWIM_Widths[[#This Row],[Total Minimum Width]]*2</f>
        <v>28</v>
      </c>
      <c r="Z11">
        <f>52-Table_ROWIM_Widths[[#This Row],[RR Total Minimum Width]]*2</f>
        <v>28</v>
      </c>
      <c r="AA11">
        <f>52-Table_ROWIM_Widths[[#This Row],[PDZ Total Minimum Width]]*2</f>
        <v>28</v>
      </c>
      <c r="AB11">
        <f>52-Table_ROWIM_Widths[[#This Row],[PDZ + RR Total Minimum Width]]*2</f>
        <v>28</v>
      </c>
    </row>
    <row r="12" spans="1:28">
      <c r="A12" t="s">
        <v>257</v>
      </c>
      <c r="B12" s="1" t="s">
        <v>258</v>
      </c>
      <c r="C12" s="1">
        <v>52</v>
      </c>
      <c r="D12" s="1">
        <v>16</v>
      </c>
      <c r="G12" t="s">
        <v>259</v>
      </c>
      <c r="H12" t="b">
        <v>1</v>
      </c>
      <c r="I12" t="b">
        <v>0</v>
      </c>
      <c r="J12" t="b">
        <v>1</v>
      </c>
      <c r="K12">
        <v>0</v>
      </c>
      <c r="L12">
        <v>6</v>
      </c>
      <c r="M12">
        <v>6</v>
      </c>
      <c r="N12">
        <v>6</v>
      </c>
      <c r="O12">
        <v>6</v>
      </c>
      <c r="P12">
        <v>6</v>
      </c>
      <c r="Q12">
        <f>Table_ROWIM_Widths[[#This Row],[Ped Clear Zone]]+Table_ROWIM_Widths[[#This Row],[Landscape Zone]]</f>
        <v>12</v>
      </c>
      <c r="R12">
        <f>Table_ROWIM_Widths[[#This Row],[RR Ped Clear Zone]]+Table_ROWIM_Widths[[#This Row],[RR Landscape Zone]]</f>
        <v>12</v>
      </c>
      <c r="S12">
        <f>Table_ROWIM_Widths[[#This Row],[PDZ Ped Clear Zone]]+Table_ROWIM_Widths[[#This Row],[Landscape Zone]]</f>
        <v>12</v>
      </c>
      <c r="T12">
        <f>MAX(Table_ROWIM_Widths[[#This Row],[PDZ Ped Clear Zone]],Table_ROWIM_Widths[[#This Row],[RR Ped Clear Zone]])+Table_ROWIM_Widths[[#This Row],[RR Landscape Zone]]</f>
        <v>12</v>
      </c>
      <c r="U12">
        <f>40-Table_ROWIM_Widths[[#This Row],[Total Minimum Width]]*2</f>
        <v>16</v>
      </c>
      <c r="V12">
        <f>40-Table_ROWIM_Widths[[#This Row],[RR Total Minimum Width]]*2</f>
        <v>16</v>
      </c>
      <c r="W12">
        <f>40-Table_ROWIM_Widths[[#This Row],[PDZ Total Minimum Width]]*2</f>
        <v>16</v>
      </c>
      <c r="X12">
        <f>40-Table_ROWIM_Widths[[#This Row],[PDZ + RR Total Minimum Width]]*2</f>
        <v>16</v>
      </c>
      <c r="Y12">
        <f>52-Table_ROWIM_Widths[[#This Row],[Total Minimum Width]]*2</f>
        <v>28</v>
      </c>
      <c r="Z12">
        <f>52-Table_ROWIM_Widths[[#This Row],[RR Total Minimum Width]]*2</f>
        <v>28</v>
      </c>
      <c r="AA12">
        <f>52-Table_ROWIM_Widths[[#This Row],[PDZ Total Minimum Width]]*2</f>
        <v>28</v>
      </c>
      <c r="AB12">
        <f>52-Table_ROWIM_Widths[[#This Row],[PDZ + RR Total Minimum Width]]*2</f>
        <v>28</v>
      </c>
    </row>
    <row r="13" spans="1:28">
      <c r="A13" t="s">
        <v>260</v>
      </c>
      <c r="B13" s="1" t="s">
        <v>261</v>
      </c>
      <c r="C13" s="1">
        <v>52</v>
      </c>
      <c r="D13" s="1">
        <v>16</v>
      </c>
      <c r="G13" t="s">
        <v>262</v>
      </c>
      <c r="H13" t="b">
        <v>1</v>
      </c>
      <c r="I13" t="b">
        <v>0</v>
      </c>
      <c r="J13" t="b">
        <v>1</v>
      </c>
      <c r="K13">
        <v>0</v>
      </c>
      <c r="L13">
        <v>6</v>
      </c>
      <c r="M13">
        <v>6</v>
      </c>
      <c r="N13">
        <v>6</v>
      </c>
      <c r="O13">
        <v>6</v>
      </c>
      <c r="P13">
        <v>6</v>
      </c>
      <c r="Q13">
        <f>Table_ROWIM_Widths[[#This Row],[Ped Clear Zone]]+Table_ROWIM_Widths[[#This Row],[Landscape Zone]]</f>
        <v>12</v>
      </c>
      <c r="R13">
        <f>Table_ROWIM_Widths[[#This Row],[RR Ped Clear Zone]]+Table_ROWIM_Widths[[#This Row],[RR Landscape Zone]]</f>
        <v>12</v>
      </c>
      <c r="S13">
        <f>Table_ROWIM_Widths[[#This Row],[PDZ Ped Clear Zone]]+Table_ROWIM_Widths[[#This Row],[Landscape Zone]]</f>
        <v>12</v>
      </c>
      <c r="T13">
        <f>MAX(Table_ROWIM_Widths[[#This Row],[PDZ Ped Clear Zone]],Table_ROWIM_Widths[[#This Row],[RR Ped Clear Zone]])+Table_ROWIM_Widths[[#This Row],[RR Landscape Zone]]</f>
        <v>12</v>
      </c>
      <c r="U13">
        <f>40-Table_ROWIM_Widths[[#This Row],[Total Minimum Width]]*2</f>
        <v>16</v>
      </c>
      <c r="V13">
        <f>40-Table_ROWIM_Widths[[#This Row],[RR Total Minimum Width]]*2</f>
        <v>16</v>
      </c>
      <c r="W13">
        <f>40-Table_ROWIM_Widths[[#This Row],[PDZ Total Minimum Width]]*2</f>
        <v>16</v>
      </c>
      <c r="X13">
        <f>40-Table_ROWIM_Widths[[#This Row],[PDZ + RR Total Minimum Width]]*2</f>
        <v>16</v>
      </c>
      <c r="Y13">
        <f>52-Table_ROWIM_Widths[[#This Row],[Total Minimum Width]]*2</f>
        <v>28</v>
      </c>
      <c r="Z13">
        <f>52-Table_ROWIM_Widths[[#This Row],[RR Total Minimum Width]]*2</f>
        <v>28</v>
      </c>
      <c r="AA13">
        <f>52-Table_ROWIM_Widths[[#This Row],[PDZ Total Minimum Width]]*2</f>
        <v>28</v>
      </c>
      <c r="AB13">
        <f>52-Table_ROWIM_Widths[[#This Row],[PDZ + RR Total Minimum Width]]*2</f>
        <v>28</v>
      </c>
    </row>
    <row r="14" spans="1:28">
      <c r="A14" t="s">
        <v>263</v>
      </c>
      <c r="B14" s="1" t="s">
        <v>264</v>
      </c>
      <c r="C14" s="1">
        <v>52</v>
      </c>
      <c r="D14" s="1">
        <v>16</v>
      </c>
      <c r="G14" t="s">
        <v>265</v>
      </c>
      <c r="H14" t="b">
        <v>0</v>
      </c>
      <c r="I14" t="b">
        <v>1</v>
      </c>
      <c r="J14" t="b">
        <v>0</v>
      </c>
      <c r="K14">
        <v>0</v>
      </c>
      <c r="L14">
        <v>6</v>
      </c>
      <c r="M14">
        <v>6</v>
      </c>
      <c r="N14">
        <v>6</v>
      </c>
      <c r="O14">
        <v>5</v>
      </c>
      <c r="P14">
        <v>5</v>
      </c>
      <c r="Q14">
        <f>Table_ROWIM_Widths[[#This Row],[Ped Clear Zone]]+Table_ROWIM_Widths[[#This Row],[Landscape Zone]]</f>
        <v>11</v>
      </c>
      <c r="R14">
        <f>Table_ROWIM_Widths[[#This Row],[RR Ped Clear Zone]]+Table_ROWIM_Widths[[#This Row],[RR Landscape Zone]]</f>
        <v>11</v>
      </c>
      <c r="S14">
        <f>Table_ROWIM_Widths[[#This Row],[PDZ Ped Clear Zone]]+Table_ROWIM_Widths[[#This Row],[Landscape Zone]]</f>
        <v>11</v>
      </c>
      <c r="T14">
        <f>MAX(Table_ROWIM_Widths[[#This Row],[PDZ Ped Clear Zone]],Table_ROWIM_Widths[[#This Row],[RR Ped Clear Zone]])+Table_ROWIM_Widths[[#This Row],[RR Landscape Zone]]</f>
        <v>11</v>
      </c>
      <c r="U14">
        <f>40-Table_ROWIM_Widths[[#This Row],[Total Minimum Width]]*2</f>
        <v>18</v>
      </c>
      <c r="V14">
        <f>40-Table_ROWIM_Widths[[#This Row],[RR Total Minimum Width]]*2</f>
        <v>18</v>
      </c>
      <c r="W14">
        <f>40-Table_ROWIM_Widths[[#This Row],[PDZ Total Minimum Width]]*2</f>
        <v>18</v>
      </c>
      <c r="X14">
        <f>40-Table_ROWIM_Widths[[#This Row],[PDZ + RR Total Minimum Width]]*2</f>
        <v>18</v>
      </c>
      <c r="Y14">
        <f>52-Table_ROWIM_Widths[[#This Row],[Total Minimum Width]]*2</f>
        <v>30</v>
      </c>
      <c r="Z14">
        <f>52-Table_ROWIM_Widths[[#This Row],[RR Total Minimum Width]]*2</f>
        <v>30</v>
      </c>
      <c r="AA14">
        <f>52-Table_ROWIM_Widths[[#This Row],[PDZ Total Minimum Width]]*2</f>
        <v>30</v>
      </c>
      <c r="AB14">
        <f>52-Table_ROWIM_Widths[[#This Row],[PDZ + RR Total Minimum Width]]*2</f>
        <v>30</v>
      </c>
    </row>
    <row r="15" spans="1:28">
      <c r="A15" t="s">
        <v>266</v>
      </c>
      <c r="B15" s="1" t="s">
        <v>267</v>
      </c>
      <c r="C15" s="1">
        <v>52</v>
      </c>
      <c r="D15" s="1">
        <v>16</v>
      </c>
      <c r="G15" t="s">
        <v>268</v>
      </c>
      <c r="H15" t="b">
        <v>0</v>
      </c>
      <c r="I15" t="b">
        <v>0</v>
      </c>
      <c r="J15" t="b">
        <v>0</v>
      </c>
      <c r="K15">
        <v>6</v>
      </c>
      <c r="L15">
        <v>6</v>
      </c>
      <c r="M15">
        <v>6</v>
      </c>
      <c r="N15">
        <v>6</v>
      </c>
      <c r="O15">
        <v>12</v>
      </c>
      <c r="P15">
        <v>12</v>
      </c>
      <c r="Q15">
        <f>Table_ROWIM_Widths[[#This Row],[Ped Clear Zone]]+Table_ROWIM_Widths[[#This Row],[Landscape Zone]]</f>
        <v>18</v>
      </c>
      <c r="R15">
        <f>Table_ROWIM_Widths[[#This Row],[RR Ped Clear Zone]]+Table_ROWIM_Widths[[#This Row],[RR Landscape Zone]]</f>
        <v>18</v>
      </c>
      <c r="S15">
        <f>Table_ROWIM_Widths[[#This Row],[PDZ Ped Clear Zone]]+Table_ROWIM_Widths[[#This Row],[Landscape Zone]]</f>
        <v>18</v>
      </c>
      <c r="T15">
        <f>MAX(Table_ROWIM_Widths[[#This Row],[PDZ Ped Clear Zone]],Table_ROWIM_Widths[[#This Row],[RR Ped Clear Zone]])+Table_ROWIM_Widths[[#This Row],[RR Landscape Zone]]</f>
        <v>18</v>
      </c>
      <c r="U15">
        <f>40-Table_ROWIM_Widths[[#This Row],[Total Minimum Width]]*2</f>
        <v>4</v>
      </c>
      <c r="V15">
        <f>40-Table_ROWIM_Widths[[#This Row],[RR Total Minimum Width]]*2</f>
        <v>4</v>
      </c>
      <c r="W15">
        <f>40-Table_ROWIM_Widths[[#This Row],[PDZ Total Minimum Width]]*2</f>
        <v>4</v>
      </c>
      <c r="X15">
        <f>40-Table_ROWIM_Widths[[#This Row],[PDZ + RR Total Minimum Width]]*2</f>
        <v>4</v>
      </c>
      <c r="Y15">
        <f>52-Table_ROWIM_Widths[[#This Row],[Total Minimum Width]]*2</f>
        <v>16</v>
      </c>
      <c r="Z15">
        <f>52-Table_ROWIM_Widths[[#This Row],[RR Total Minimum Width]]*2</f>
        <v>16</v>
      </c>
      <c r="AA15">
        <f>52-Table_ROWIM_Widths[[#This Row],[PDZ Total Minimum Width]]*2</f>
        <v>16</v>
      </c>
      <c r="AB15">
        <f>52-Table_ROWIM_Widths[[#This Row],[PDZ + RR Total Minimum Width]]*2</f>
        <v>16</v>
      </c>
    </row>
    <row r="16" spans="1:28">
      <c r="A16" t="s">
        <v>269</v>
      </c>
      <c r="B16" s="1" t="s">
        <v>270</v>
      </c>
      <c r="C16" s="1">
        <v>52</v>
      </c>
      <c r="D16" s="1">
        <v>16</v>
      </c>
      <c r="G16" t="s">
        <v>271</v>
      </c>
      <c r="H16" t="b">
        <v>0</v>
      </c>
      <c r="I16" t="b">
        <v>0</v>
      </c>
      <c r="J16" t="b">
        <v>1</v>
      </c>
      <c r="K16">
        <v>0</v>
      </c>
      <c r="L16">
        <v>6</v>
      </c>
      <c r="M16">
        <v>6</v>
      </c>
      <c r="N16">
        <v>6</v>
      </c>
      <c r="O16">
        <v>6</v>
      </c>
      <c r="P16">
        <v>6</v>
      </c>
      <c r="Q16">
        <f>Table_ROWIM_Widths[[#This Row],[Ped Clear Zone]]+Table_ROWIM_Widths[[#This Row],[Landscape Zone]]</f>
        <v>12</v>
      </c>
      <c r="R16">
        <f>Table_ROWIM_Widths[[#This Row],[RR Ped Clear Zone]]+Table_ROWIM_Widths[[#This Row],[RR Landscape Zone]]</f>
        <v>12</v>
      </c>
      <c r="S16">
        <f>Table_ROWIM_Widths[[#This Row],[PDZ Ped Clear Zone]]+Table_ROWIM_Widths[[#This Row],[Landscape Zone]]</f>
        <v>12</v>
      </c>
      <c r="T16">
        <f>MAX(Table_ROWIM_Widths[[#This Row],[PDZ Ped Clear Zone]],Table_ROWIM_Widths[[#This Row],[RR Ped Clear Zone]])+Table_ROWIM_Widths[[#This Row],[RR Landscape Zone]]</f>
        <v>12</v>
      </c>
      <c r="U16">
        <f>40-Table_ROWIM_Widths[[#This Row],[Total Minimum Width]]*2</f>
        <v>16</v>
      </c>
      <c r="V16">
        <f>40-Table_ROWIM_Widths[[#This Row],[RR Total Minimum Width]]*2</f>
        <v>16</v>
      </c>
      <c r="W16">
        <f>40-Table_ROWIM_Widths[[#This Row],[PDZ Total Minimum Width]]*2</f>
        <v>16</v>
      </c>
      <c r="X16">
        <f>40-Table_ROWIM_Widths[[#This Row],[PDZ + RR Total Minimum Width]]*2</f>
        <v>16</v>
      </c>
      <c r="Y16">
        <f>52-Table_ROWIM_Widths[[#This Row],[Total Minimum Width]]*2</f>
        <v>28</v>
      </c>
      <c r="Z16">
        <f>52-Table_ROWIM_Widths[[#This Row],[RR Total Minimum Width]]*2</f>
        <v>28</v>
      </c>
      <c r="AA16">
        <f>52-Table_ROWIM_Widths[[#This Row],[PDZ Total Minimum Width]]*2</f>
        <v>28</v>
      </c>
      <c r="AB16">
        <f>52-Table_ROWIM_Widths[[#This Row],[PDZ + RR Total Minimum Width]]*2</f>
        <v>28</v>
      </c>
    </row>
    <row r="17" spans="1:8">
      <c r="A17" t="s">
        <v>272</v>
      </c>
      <c r="B17" s="1" t="s">
        <v>273</v>
      </c>
      <c r="C17" s="1">
        <v>52</v>
      </c>
      <c r="D17" s="1">
        <v>16</v>
      </c>
    </row>
    <row r="18" spans="1:8">
      <c r="A18" t="s">
        <v>274</v>
      </c>
      <c r="B18" s="1" t="s">
        <v>46</v>
      </c>
      <c r="C18" s="1">
        <v>52</v>
      </c>
      <c r="D18" s="1">
        <v>16</v>
      </c>
      <c r="G18" s="19" t="s">
        <v>275</v>
      </c>
    </row>
    <row r="19" spans="1:8">
      <c r="A19" t="s">
        <v>276</v>
      </c>
      <c r="B19" s="1" t="s">
        <v>51</v>
      </c>
      <c r="C19" s="1">
        <v>52</v>
      </c>
      <c r="D19" s="1">
        <v>16</v>
      </c>
      <c r="G19" s="20" t="str" cm="1">
        <f t="array" ref="G19:G29">_xlfn._xlws.FILTER(Table_ROWIM_Widths[Street Type],Table_ROWIM_Widths[Include?]=TRUE)</f>
        <v>Downtown</v>
      </c>
      <c r="H19" s="20"/>
    </row>
    <row r="20" spans="1:8">
      <c r="A20" t="s">
        <v>277</v>
      </c>
      <c r="B20" s="1" t="s">
        <v>278</v>
      </c>
      <c r="G20" t="str">
        <v>Downtown Neighborhood</v>
      </c>
    </row>
    <row r="21" spans="1:8">
      <c r="A21" t="s">
        <v>279</v>
      </c>
      <c r="B21" s="1" t="s">
        <v>280</v>
      </c>
      <c r="D21" s="1">
        <v>20</v>
      </c>
      <c r="G21" t="str">
        <v>Downtown Neighborhood Access</v>
      </c>
    </row>
    <row r="22" spans="1:8">
      <c r="A22" t="s">
        <v>281</v>
      </c>
      <c r="B22" s="1" t="s">
        <v>282</v>
      </c>
      <c r="D22" s="1">
        <v>20</v>
      </c>
      <c r="G22" t="str">
        <v>Urban Village Main</v>
      </c>
    </row>
    <row r="23" spans="1:8">
      <c r="A23" t="s">
        <v>283</v>
      </c>
      <c r="B23" s="1" t="s">
        <v>284</v>
      </c>
      <c r="D23" s="1">
        <v>20</v>
      </c>
      <c r="G23" t="str">
        <v>Urban Village Neighborhood</v>
      </c>
    </row>
    <row r="24" spans="1:8">
      <c r="A24" t="s">
        <v>285</v>
      </c>
      <c r="B24" s="1" t="s">
        <v>286</v>
      </c>
      <c r="D24" s="1">
        <v>20</v>
      </c>
      <c r="G24" t="str">
        <v>Urban Village Neighborhood Access</v>
      </c>
    </row>
    <row r="25" spans="1:8">
      <c r="A25" t="s">
        <v>287</v>
      </c>
      <c r="B25" s="1" t="s">
        <v>288</v>
      </c>
      <c r="D25" s="1">
        <v>20</v>
      </c>
      <c r="G25" t="str">
        <v>Urban Center Connector</v>
      </c>
    </row>
    <row r="26" spans="1:8">
      <c r="A26" t="s">
        <v>289</v>
      </c>
      <c r="B26" s="1" t="s">
        <v>290</v>
      </c>
      <c r="D26" s="1">
        <v>20</v>
      </c>
      <c r="G26" t="str">
        <v>Neighborhood Corridor</v>
      </c>
    </row>
    <row r="27" spans="1:8">
      <c r="A27" t="s">
        <v>291</v>
      </c>
      <c r="B27" s="1" t="s">
        <v>292</v>
      </c>
      <c r="D27" s="1">
        <v>20</v>
      </c>
      <c r="G27" t="str">
        <v>Industrial Access</v>
      </c>
    </row>
    <row r="28" spans="1:8">
      <c r="A28" t="s">
        <v>293</v>
      </c>
      <c r="B28" s="1" t="s">
        <v>294</v>
      </c>
      <c r="D28" s="1">
        <v>20</v>
      </c>
      <c r="G28" t="str">
        <v>Minor Industrial Access</v>
      </c>
    </row>
    <row r="29" spans="1:8">
      <c r="A29" t="s">
        <v>295</v>
      </c>
      <c r="B29" s="1" t="s">
        <v>296</v>
      </c>
      <c r="D29" s="1">
        <v>20</v>
      </c>
      <c r="G29" t="str">
        <v>Neighborhood Yield</v>
      </c>
    </row>
    <row r="30" spans="1:8">
      <c r="A30" t="s">
        <v>297</v>
      </c>
      <c r="B30" s="1" t="s">
        <v>298</v>
      </c>
      <c r="D30" s="1">
        <v>20</v>
      </c>
    </row>
    <row r="31" spans="1:8">
      <c r="A31" t="s">
        <v>299</v>
      </c>
      <c r="B31" s="1" t="s">
        <v>300</v>
      </c>
      <c r="D31" s="1">
        <v>20</v>
      </c>
      <c r="G31" s="19" t="s">
        <v>301</v>
      </c>
    </row>
    <row r="32" spans="1:8">
      <c r="A32" t="s">
        <v>302</v>
      </c>
      <c r="B32" s="1" t="s">
        <v>303</v>
      </c>
      <c r="C32" s="1">
        <v>56</v>
      </c>
      <c r="D32" s="1">
        <v>20</v>
      </c>
      <c r="E32" t="str">
        <f>_xlfn.CONCAT("This worksheet cannot be used in the ",Table_Zones[[#This Row],[Abbreviated]]," zone")</f>
        <v>This worksheet cannot be used in the IG1 zone</v>
      </c>
      <c r="G32" t="str" cm="1">
        <f t="array" ref="G32:G56">_xlfn._xlws.FILTER(Table_Zones[Abbreviated],Table_Zones[Existing Required ROW (ft) (Table A 23.53.015)]&lt;&gt;"")</f>
        <v>NR</v>
      </c>
    </row>
    <row r="33" spans="1:7">
      <c r="A33" t="s">
        <v>304</v>
      </c>
      <c r="B33" s="1" t="s">
        <v>305</v>
      </c>
      <c r="C33" s="1">
        <v>56</v>
      </c>
      <c r="D33" s="1">
        <v>20</v>
      </c>
      <c r="E33" t="str">
        <f>_xlfn.CONCAT("This worksheet cannot be used in the ",Table_Zones[[#This Row],[Abbreviated]]," zone")</f>
        <v>This worksheet cannot be used in the IG2 zone</v>
      </c>
      <c r="G33" t="str">
        <v>LR1</v>
      </c>
    </row>
    <row r="34" spans="1:7">
      <c r="A34" t="s">
        <v>306</v>
      </c>
      <c r="B34" s="1" t="s">
        <v>307</v>
      </c>
      <c r="C34" s="1">
        <v>52</v>
      </c>
      <c r="D34" s="1">
        <v>20</v>
      </c>
      <c r="E34" t="str">
        <f>_xlfn.CONCAT("This worksheet cannot be used in the ",Table_Zones[[#This Row],[Abbreviated]]," zone")</f>
        <v>This worksheet cannot be used in the IB zone</v>
      </c>
      <c r="G34" t="str">
        <v>LR2</v>
      </c>
    </row>
    <row r="35" spans="1:7">
      <c r="A35" t="s">
        <v>308</v>
      </c>
      <c r="B35" s="1" t="s">
        <v>309</v>
      </c>
      <c r="C35" s="1">
        <v>52</v>
      </c>
      <c r="D35" s="1">
        <v>20</v>
      </c>
      <c r="E35" t="str">
        <f>_xlfn.CONCAT("This worksheet cannot be used in the ",Table_Zones[[#This Row],[Abbreviated]]," zone")</f>
        <v>This worksheet cannot be used in the IC zone</v>
      </c>
      <c r="G35" t="str">
        <v>LR3</v>
      </c>
    </row>
    <row r="36" spans="1:7">
      <c r="A36" t="s">
        <v>310</v>
      </c>
      <c r="B36" s="1" t="s">
        <v>311</v>
      </c>
      <c r="C36" s="1">
        <v>56</v>
      </c>
      <c r="D36" s="1">
        <v>20</v>
      </c>
      <c r="E36" t="str">
        <f>_xlfn.CONCAT("This worksheet cannot be used in the ",Table_Zones[[#This Row],[Abbreviated]]," zone")</f>
        <v>This worksheet cannot be used in the MML zone</v>
      </c>
      <c r="G36" t="str">
        <v>MR</v>
      </c>
    </row>
    <row r="37" spans="1:7">
      <c r="A37" t="s">
        <v>312</v>
      </c>
      <c r="B37" s="1" t="s">
        <v>313</v>
      </c>
      <c r="C37" s="1">
        <v>52</v>
      </c>
      <c r="D37" s="1">
        <v>20</v>
      </c>
      <c r="E37" t="str">
        <f>_xlfn.CONCAT("This worksheet cannot be used in the ",Table_Zones[[#This Row],[Abbreviated]]," zone")</f>
        <v>This worksheet cannot be used in the II zone</v>
      </c>
      <c r="G37" t="str">
        <v>HR</v>
      </c>
    </row>
    <row r="38" spans="1:7">
      <c r="A38" t="s">
        <v>314</v>
      </c>
      <c r="B38" s="1" t="s">
        <v>315</v>
      </c>
      <c r="C38" s="1">
        <v>52</v>
      </c>
      <c r="D38" s="1">
        <v>20</v>
      </c>
      <c r="E38" t="str">
        <f>_xlfn.CONCAT("This worksheet cannot be used in the ",Table_Zones[[#This Row],[Abbreviated]]," zone")</f>
        <v>This worksheet cannot be used in the UI zone</v>
      </c>
      <c r="G38" t="str">
        <v>NC1</v>
      </c>
    </row>
    <row r="39" spans="1:7">
      <c r="G39" t="str">
        <v>NC2</v>
      </c>
    </row>
    <row r="40" spans="1:7">
      <c r="A40" s="62" t="s">
        <v>316</v>
      </c>
      <c r="G40" t="str">
        <v>NC3</v>
      </c>
    </row>
    <row r="41" spans="1:7">
      <c r="G41" t="str">
        <v>SM-SLU</v>
      </c>
    </row>
    <row r="42" spans="1:7">
      <c r="G42" t="str">
        <v>SM-D</v>
      </c>
    </row>
    <row r="43" spans="1:7">
      <c r="G43" t="str">
        <v>SM-NR</v>
      </c>
    </row>
    <row r="44" spans="1:7">
      <c r="G44" t="str">
        <v>SM-RB</v>
      </c>
    </row>
    <row r="45" spans="1:7">
      <c r="G45" t="str">
        <v>SM-U</v>
      </c>
    </row>
    <row r="46" spans="1:7">
      <c r="G46" t="str">
        <v>SM-UP</v>
      </c>
    </row>
    <row r="47" spans="1:7">
      <c r="G47" t="str">
        <v>SM-NG</v>
      </c>
    </row>
    <row r="48" spans="1:7">
      <c r="G48" t="str">
        <v>C1</v>
      </c>
    </row>
    <row r="49" spans="7:7">
      <c r="G49" t="str">
        <v>C2</v>
      </c>
    </row>
    <row r="50" spans="7:7">
      <c r="G50" t="str">
        <v>IG1</v>
      </c>
    </row>
    <row r="51" spans="7:7">
      <c r="G51" t="str">
        <v>IG2</v>
      </c>
    </row>
    <row r="52" spans="7:7">
      <c r="G52" t="str">
        <v>IB</v>
      </c>
    </row>
    <row r="53" spans="7:7">
      <c r="G53" t="str">
        <v>IC</v>
      </c>
    </row>
    <row r="54" spans="7:7">
      <c r="G54" t="str">
        <v>MML</v>
      </c>
    </row>
    <row r="55" spans="7:7">
      <c r="G55" t="str">
        <v>II</v>
      </c>
    </row>
    <row r="56" spans="7:7">
      <c r="G56" t="str">
        <v>UI</v>
      </c>
    </row>
  </sheetData>
  <phoneticPr fontId="19" type="noConversion"/>
  <conditionalFormatting sqref="H3:J16">
    <cfRule type="cellIs" dxfId="20" priority="1" operator="equal">
      <formula>FALSE</formula>
    </cfRule>
    <cfRule type="cellIs" dxfId="19" priority="2" operator="equal">
      <formula>TRUE</formula>
    </cfRule>
  </conditionalFormatting>
  <conditionalFormatting sqref="U3:X16">
    <cfRule type="cellIs" dxfId="18" priority="4" operator="lessThan">
      <formula>11+7</formula>
    </cfRule>
  </conditionalFormatting>
  <conditionalFormatting sqref="Y3:AB16">
    <cfRule type="cellIs" dxfId="17" priority="3" operator="lessThan">
      <formula>11+7</formula>
    </cfRule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84320F470CF4BA78708C227551377" ma:contentTypeVersion="21" ma:contentTypeDescription="Create a new document." ma:contentTypeScope="" ma:versionID="304fb0bbf1d4334258ff9a815032809c">
  <xsd:schema xmlns:xsd="http://www.w3.org/2001/XMLSchema" xmlns:xs="http://www.w3.org/2001/XMLSchema" xmlns:p="http://schemas.microsoft.com/office/2006/metadata/properties" xmlns:ns2="564b7880-b1b5-4e75-a927-bc1c4095c52b" xmlns:ns3="1d271a9c-cd53-40da-926c-e62163857a9c" xmlns:ns4="97c2a25c-25db-4634-b347-87ab0af10b27" targetNamespace="http://schemas.microsoft.com/office/2006/metadata/properties" ma:root="true" ma:fieldsID="bba84904f0896b36454d500b95221a14" ns2:_="" ns3:_="" ns4:_="">
    <xsd:import namespace="564b7880-b1b5-4e75-a927-bc1c4095c52b"/>
    <xsd:import namespace="1d271a9c-cd53-40da-926c-e62163857a9c"/>
    <xsd:import namespace="97c2a25c-25db-4634-b347-87ab0af10b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lcf76f155ced4ddcb4097134ff3c332f" minOccurs="0"/>
                <xsd:element ref="ns2:MediaLengthInSeconds" minOccurs="0"/>
                <xsd:element ref="ns2:MediaServiceSearchProperties" minOccurs="0"/>
                <xsd:element ref="ns2:Description" minOccurs="0"/>
                <xsd:element ref="ns2:January21_x002c_2026MeetingMinu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b7880-b1b5-4e75-a927-bc1c4095c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48df8-e8cc-4a73-a73e-519b29584a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January21_x002c_2026MeetingMinutes" ma:index="25" nillable="true" ma:displayName="Additional Info " ma:format="Dropdown" ma:internalName="January21_x002c_2026MeetingMinutes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1a9c-cd53-40da-926c-e62163857a9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a25c-25db-4634-b347-87ab0af10b2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38b9e2c-68bb-463c-8d52-cf7cbe20c1fc}" ma:internalName="TaxCatchAll" ma:showField="CatchAllData" ma:web="1d271a9c-cd53-40da-926c-e62163857a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b7880-b1b5-4e75-a927-bc1c4095c52b">
      <Terms xmlns="http://schemas.microsoft.com/office/infopath/2007/PartnerControls"/>
    </lcf76f155ced4ddcb4097134ff3c332f>
    <TaxCatchAll xmlns="97c2a25c-25db-4634-b347-87ab0af10b27" xsi:nil="true"/>
    <Description xmlns="564b7880-b1b5-4e75-a927-bc1c4095c52b" xsi:nil="true"/>
    <January21_x002c_2026MeetingMinutes xmlns="564b7880-b1b5-4e75-a927-bc1c4095c52b" xsi:nil="true"/>
  </documentManagement>
</p:properties>
</file>

<file path=customXml/itemProps1.xml><?xml version="1.0" encoding="utf-8"?>
<ds:datastoreItem xmlns:ds="http://schemas.openxmlformats.org/officeDocument/2006/customXml" ds:itemID="{741A4A0D-CCF5-4A2B-A70A-CC52E10EC1E3}"/>
</file>

<file path=customXml/itemProps2.xml><?xml version="1.0" encoding="utf-8"?>
<ds:datastoreItem xmlns:ds="http://schemas.openxmlformats.org/officeDocument/2006/customXml" ds:itemID="{7B64425D-DA96-4BCC-B503-2BC7AF50D751}"/>
</file>

<file path=customXml/itemProps3.xml><?xml version="1.0" encoding="utf-8"?>
<ds:datastoreItem xmlns:ds="http://schemas.openxmlformats.org/officeDocument/2006/customXml" ds:itemID="{CA01E2F5-9030-45BC-8585-16C6261966F7}"/>
</file>

<file path=docMetadata/LabelInfo.xml><?xml version="1.0" encoding="utf-8"?>
<clbl:labelList xmlns:clbl="http://schemas.microsoft.com/office/2020/mipLabelMetadata">
  <clbl:label id="{78e61e45-6beb-4009-8f99-359d8b54f41b}" enabled="0" method="" siteId="{78e61e45-6beb-4009-8f99-359d8b54f4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Wilkinson, Todd</dc:creator>
  <cp:keywords/>
  <dc:description/>
  <cp:lastModifiedBy/>
  <cp:revision/>
  <dcterms:created xsi:type="dcterms:W3CDTF">2025-02-14T23:03:12Z</dcterms:created>
  <dcterms:modified xsi:type="dcterms:W3CDTF">2026-07-22T17:42:44Z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0x01010000684320F470CF4BA78708C227551377</vt:lpwstr>
  </property>
  <property fmtid="{D5CDD505-2E9C-101B-9397-08002B2CF9AE}" pid="3" name="MediaServiceImageTags">
    <vt:lpwstr/>
  </property>
</Properties>
</file>