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attlegov.sharepoint.com/sites/SDOT_Dev_Rev_GRP/Shared Documents/BGS Modernization/2026 LAUNCH/"/>
    </mc:Choice>
  </mc:AlternateContent>
  <xr:revisionPtr revIDLastSave="0" documentId="8_{6B8DC8BC-527E-4BDE-B13C-5C1BD4772B8B}" xr6:coauthVersionLast="47" xr6:coauthVersionMax="47" xr10:uidLastSave="{00000000-0000-0000-0000-000000000000}"/>
  <workbookProtection workbookAlgorithmName="SHA-512" workbookHashValue="Ul7cvtc7nIrn6QOOX22q6WLbEWcFiCToyejZe63Egvb80qRrIzz7mMxCS9jZcqQrOXFj0O4EMOwxMNfGuraXTQ==" workbookSaltValue="2nSbdKKHdExaRCU9F6fHDg==" workbookSpinCount="100000" lockStructure="1"/>
  <bookViews>
    <workbookView xWindow="-29940" yWindow="4170" windowWidth="28800" windowHeight="15370" tabRatio="487" xr2:uid="{E594E252-72BA-4460-829E-CF1FD832EBA5}"/>
  </bookViews>
  <sheets>
    <sheet name="Alley Worksheet" sheetId="1" r:id="rId1"/>
    <sheet name="AW Calcs" sheetId="3" state="hidden" r:id="rId2"/>
    <sheet name="Error Calculations" sheetId="6" state="hidden" r:id="rId3"/>
    <sheet name="Global Constants" sheetId="4" state="hidden" r:id="rId4"/>
    <sheet name="Data Tables" sheetId="2" state="hidden" r:id="rId5"/>
  </sheets>
  <definedNames>
    <definedName name="_aw_error_DrivewayLength">'Error Calculations'!$B$8</definedName>
    <definedName name="_aw_error_MissingInput">'Error Calculations'!$B$7</definedName>
    <definedName name="_aw_ErrorFlag">'Error Calculations'!$B$9</definedName>
    <definedName name="_aw_ErrorFlag_Emax">'Error Calculations'!$K$9</definedName>
    <definedName name="_aw_ErrorFlag_Emin">'Error Calculations'!$J$9</definedName>
    <definedName name="_aw_ErrorFlag_F">'Error Calculations'!$G$9</definedName>
    <definedName name="_aw_ErrorFlag_R">'Error Calculations'!$H$9</definedName>
    <definedName name="_aw_ErrorFlag_S">'Error Calculations'!$I$9</definedName>
    <definedName name="_aw_ErrorList">'Error Calculations'!$B$2:$B$8</definedName>
    <definedName name="_aw_errorString">'Error Calculations'!$B$10</definedName>
    <definedName name="aw_A">'AW Calcs'!$E$12</definedName>
    <definedName name="aw_E_max">'AW Calcs'!$E$22</definedName>
    <definedName name="aw_E_min">'AW Calcs'!$E$23</definedName>
    <definedName name="AW_enter_A">'Alley Worksheet'!$AS$19</definedName>
    <definedName name="AW_enter_L">'Alley Worksheet'!$R$13</definedName>
    <definedName name="AW_enter_P">'Alley Worksheet'!$AK$13</definedName>
    <definedName name="AW_enter_ZoneCategory">'Alley Worksheet'!$G$5</definedName>
    <definedName name="aw_F">'AW Calcs'!$E$19</definedName>
    <definedName name="aw_L">'AW Calcs'!$E$14</definedName>
    <definedName name="aw_L_dway">'AW Calcs'!$E$21</definedName>
    <definedName name="aw_P">'AW Calcs'!$E$13</definedName>
    <definedName name="aw_R">'AW Calcs'!$E$20</definedName>
    <definedName name="aw_S_a">'AW Calcs'!$E$4</definedName>
    <definedName name="aw_S_max">'AW Calcs'!$E$5</definedName>
    <definedName name="aw_S_maxbackin">'AW Calcs'!$E$6</definedName>
    <definedName name="aw_S_T_max">'AW Calcs'!$E$17</definedName>
    <definedName name="aw_TurnAround_bool">'AW Calcs'!$E$10</definedName>
    <definedName name="aw_up_case1_slopeChange">'AW Calcs'!$E$22</definedName>
    <definedName name="aw_up_case1_slopeOut">'AW Calcs'!$E$23</definedName>
    <definedName name="aw_W_row">'AW Calcs'!$E$16</definedName>
    <definedName name="aw_ZoneCategory">'AW Calcs'!$E$9</definedName>
    <definedName name="G_S_A">'Global Constants'!$E$3</definedName>
    <definedName name="G_S_MAX">'Global Constants'!$E$4</definedName>
    <definedName name="G_S_MAXBACKIN">'Global Constants'!$E$5</definedName>
    <definedName name="List_StreetTypes">_xlfn.ANCHORARRAY('Data Tables'!$G$19)</definedName>
    <definedName name="List_ZoneCategories">_xlfn.ANCHORARRAY('Data Tables'!$G$32)</definedName>
    <definedName name="_xlnm.Print_Area" localSheetId="0">'Alley Worksheet'!$A$1:$AW$35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3" l="1" a="1"/>
  <c r="E10" i="3" s="1"/>
  <c r="E6" i="3"/>
  <c r="AO35" i="1" l="1"/>
  <c r="E20" i="2"/>
  <c r="E9" i="3" l="1"/>
  <c r="B2" i="6" s="1"/>
  <c r="E4" i="3"/>
  <c r="E16" i="3" l="1"/>
  <c r="G32" i="2" a="1"/>
  <c r="G32" i="2" s="1"/>
  <c r="T3" i="2"/>
  <c r="X3" i="2" s="1"/>
  <c r="T4" i="2"/>
  <c r="AB4" i="2" s="1"/>
  <c r="T5" i="2"/>
  <c r="X5" i="2" s="1"/>
  <c r="T6" i="2"/>
  <c r="AB6" i="2" s="1"/>
  <c r="T7" i="2"/>
  <c r="AB7" i="2" s="1"/>
  <c r="T8" i="2"/>
  <c r="AB8" i="2" s="1"/>
  <c r="T9" i="2"/>
  <c r="X9" i="2" s="1"/>
  <c r="T10" i="2"/>
  <c r="AB10" i="2" s="1"/>
  <c r="T11" i="2"/>
  <c r="X11" i="2" s="1"/>
  <c r="T12" i="2"/>
  <c r="AB12" i="2" s="1"/>
  <c r="T13" i="2"/>
  <c r="X13" i="2" s="1"/>
  <c r="T14" i="2"/>
  <c r="AB14" i="2" s="1"/>
  <c r="T15" i="2"/>
  <c r="AB15" i="2" s="1"/>
  <c r="T16" i="2"/>
  <c r="AB16" i="2" s="1"/>
  <c r="S3" i="2"/>
  <c r="W3" i="2" s="1"/>
  <c r="S4" i="2"/>
  <c r="AA4" i="2" s="1"/>
  <c r="S5" i="2"/>
  <c r="W5" i="2" s="1"/>
  <c r="S6" i="2"/>
  <c r="AA6" i="2" s="1"/>
  <c r="S7" i="2"/>
  <c r="W7" i="2" s="1"/>
  <c r="S8" i="2"/>
  <c r="AA8" i="2" s="1"/>
  <c r="S9" i="2"/>
  <c r="W9" i="2" s="1"/>
  <c r="S10" i="2"/>
  <c r="AA10" i="2" s="1"/>
  <c r="S11" i="2"/>
  <c r="W11" i="2" s="1"/>
  <c r="S12" i="2"/>
  <c r="AA12" i="2" s="1"/>
  <c r="S13" i="2"/>
  <c r="W13" i="2" s="1"/>
  <c r="S14" i="2"/>
  <c r="AA14" i="2" s="1"/>
  <c r="S15" i="2"/>
  <c r="W15" i="2" s="1"/>
  <c r="S16" i="2"/>
  <c r="AA16" i="2" s="1"/>
  <c r="R3" i="2"/>
  <c r="V3" i="2" s="1"/>
  <c r="R4" i="2"/>
  <c r="Z4" i="2" s="1"/>
  <c r="R5" i="2"/>
  <c r="Z5" i="2" s="1"/>
  <c r="R6" i="2"/>
  <c r="V6" i="2" s="1"/>
  <c r="R7" i="2"/>
  <c r="V7" i="2" s="1"/>
  <c r="R8" i="2"/>
  <c r="V8" i="2" s="1"/>
  <c r="R9" i="2"/>
  <c r="V9" i="2" s="1"/>
  <c r="R10" i="2"/>
  <c r="Z10" i="2" s="1"/>
  <c r="R11" i="2"/>
  <c r="V11" i="2" s="1"/>
  <c r="R12" i="2"/>
  <c r="Z12" i="2" s="1"/>
  <c r="R13" i="2"/>
  <c r="V13" i="2" s="1"/>
  <c r="R14" i="2"/>
  <c r="Z14" i="2" s="1"/>
  <c r="R15" i="2"/>
  <c r="V15" i="2" s="1"/>
  <c r="R16" i="2"/>
  <c r="V16" i="2" s="1"/>
  <c r="Q3" i="2"/>
  <c r="U3" i="2" s="1"/>
  <c r="Q4" i="2"/>
  <c r="Y4" i="2" s="1"/>
  <c r="Q5" i="2"/>
  <c r="U5" i="2" s="1"/>
  <c r="Q6" i="2"/>
  <c r="Y6" i="2" s="1"/>
  <c r="Q7" i="2"/>
  <c r="U7" i="2" s="1"/>
  <c r="Q8" i="2"/>
  <c r="U8" i="2" s="1"/>
  <c r="Q9" i="2"/>
  <c r="U9" i="2" s="1"/>
  <c r="Q10" i="2"/>
  <c r="U10" i="2" s="1"/>
  <c r="Q11" i="2"/>
  <c r="U11" i="2" s="1"/>
  <c r="Q12" i="2"/>
  <c r="Y12" i="2" s="1"/>
  <c r="Q13" i="2"/>
  <c r="U13" i="2" s="1"/>
  <c r="Q14" i="2"/>
  <c r="Y14" i="2" s="1"/>
  <c r="Q15" i="2"/>
  <c r="U15" i="2" s="1"/>
  <c r="Q16" i="2"/>
  <c r="Y16" i="2" s="1"/>
  <c r="G19" i="2" a="1"/>
  <c r="G19" i="2" s="1"/>
  <c r="AB11" i="2" l="1"/>
  <c r="AB9" i="2"/>
  <c r="Y11" i="2"/>
  <c r="Y3" i="2"/>
  <c r="Z9" i="2"/>
  <c r="AA15" i="2"/>
  <c r="AA7" i="2"/>
  <c r="Y10" i="2"/>
  <c r="Z16" i="2"/>
  <c r="Z8" i="2"/>
  <c r="Z7" i="2"/>
  <c r="AA13" i="2"/>
  <c r="AA5" i="2"/>
  <c r="Z6" i="2"/>
  <c r="Y15" i="2"/>
  <c r="Y7" i="2"/>
  <c r="Y13" i="2"/>
  <c r="Y5" i="2"/>
  <c r="Z11" i="2"/>
  <c r="Z3" i="2"/>
  <c r="AA9" i="2"/>
  <c r="Y9" i="2"/>
  <c r="Z15" i="2"/>
  <c r="Y8" i="2"/>
  <c r="Z13" i="2"/>
  <c r="AA11" i="2"/>
  <c r="AB13" i="2"/>
  <c r="AB5" i="2"/>
  <c r="AB3" i="2"/>
  <c r="AA3" i="2"/>
  <c r="U16" i="2"/>
  <c r="W12" i="2"/>
  <c r="U14" i="2"/>
  <c r="U6" i="2"/>
  <c r="V12" i="2"/>
  <c r="V4" i="2"/>
  <c r="W10" i="2"/>
  <c r="X16" i="2"/>
  <c r="X8" i="2"/>
  <c r="V14" i="2"/>
  <c r="V5" i="2"/>
  <c r="X15" i="2"/>
  <c r="X7" i="2"/>
  <c r="X10" i="2"/>
  <c r="U12" i="2"/>
  <c r="U4" i="2"/>
  <c r="V10" i="2"/>
  <c r="W16" i="2"/>
  <c r="W8" i="2"/>
  <c r="X14" i="2"/>
  <c r="X6" i="2"/>
  <c r="W4" i="2"/>
  <c r="W14" i="2"/>
  <c r="W6" i="2"/>
  <c r="X12" i="2"/>
  <c r="X4" i="2"/>
  <c r="E14" i="3"/>
  <c r="E13" i="3"/>
  <c r="B5" i="6" s="1"/>
  <c r="B3" i="6"/>
  <c r="B6" i="6" l="1"/>
  <c r="E19" i="3"/>
  <c r="B8" i="6" s="1"/>
  <c r="E5" i="3"/>
  <c r="E17" i="3" s="1"/>
  <c r="E21" i="3" l="1"/>
  <c r="E12" i="3" l="1"/>
  <c r="B4" i="6" l="1"/>
  <c r="B7" i="6" s="1"/>
  <c r="K9" i="6" s="1" a="1"/>
  <c r="K9" i="6" s="1"/>
  <c r="E20" i="3"/>
  <c r="E23" i="3" l="1"/>
  <c r="E22" i="3"/>
  <c r="H9" i="6" a="1"/>
  <c r="H9" i="6" s="1"/>
  <c r="I9" i="6" a="1"/>
  <c r="I9" i="6" s="1"/>
  <c r="J9" i="6" a="1"/>
  <c r="J9" i="6" s="1"/>
  <c r="D9" i="6" a="1"/>
  <c r="D9" i="6" s="1"/>
  <c r="G9" i="6" a="1"/>
  <c r="G9" i="6" s="1"/>
  <c r="B9" i="6"/>
  <c r="F7" i="6" s="1" a="1"/>
  <c r="F7" i="6" s="1"/>
  <c r="E4" i="6" l="1"/>
  <c r="E7" i="6"/>
  <c r="E3" i="6"/>
  <c r="E6" i="6"/>
  <c r="E2" i="6"/>
  <c r="E8" i="6"/>
  <c r="E5" i="6"/>
  <c r="AI26" i="1"/>
  <c r="V10" i="1"/>
  <c r="B10" i="6" l="1" a="1"/>
  <c r="B10" i="6" s="1"/>
  <c r="J27" i="1" s="1" a="1"/>
  <c r="J27" i="1" s="1"/>
  <c r="I27" i="1"/>
  <c r="C14" i="1" l="1"/>
  <c r="C2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<sst xmlns="http://schemas.openxmlformats.org/spreadsheetml/2006/main" count="309" uniqueCount="274">
  <si>
    <t>DRIVEWAY AND FRONTAGE SELECTIONS</t>
  </si>
  <si>
    <t>PROJECT INFORMATION</t>
  </si>
  <si>
    <t>Fill out all blue fields. Results are displayed in the green fields.</t>
  </si>
  <si>
    <t xml:space="preserve">Click here for detailed instructions on the SDOT website </t>
  </si>
  <si>
    <t xml:space="preserve">SDCI Permit No: </t>
  </si>
  <si>
    <t xml:space="preserve">Street Address: </t>
  </si>
  <si>
    <t>Zone Category:</t>
  </si>
  <si>
    <t xml:space="preserve">Driveway Identifier: </t>
  </si>
  <si>
    <t xml:space="preserve">Date Prepared: </t>
  </si>
  <si>
    <t>Required ROW Setback or ROW Dedication "F" =</t>
  </si>
  <si>
    <t>EXISTING PROPERTY LINE TO FACE OF PARKING</t>
  </si>
  <si>
    <t>CENTERLINE TO EXISTING PROPERTY LINE</t>
  </si>
  <si>
    <t>MAX ELEVATION</t>
  </si>
  <si>
    <t xml:space="preserve">Distance "L" = </t>
  </si>
  <si>
    <t xml:space="preserve">Distance "P" =  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</si>
  <si>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max</t>
    </r>
    <r>
      <rPr>
        <b/>
        <sz val="11"/>
        <color theme="1"/>
        <rFont val="Aptos Narrow"/>
        <family val="2"/>
        <scheme val="minor"/>
      </rPr>
      <t>=</t>
    </r>
  </si>
  <si>
    <t>ROW Dedication or ROW Setback line</t>
  </si>
  <si>
    <t>Existing Property Line</t>
  </si>
  <si>
    <t>Range of Allowable Parking Area Elevations</t>
  </si>
  <si>
    <t>ALLEY RIGHT-OF-WAY CENTERLINE</t>
  </si>
  <si>
    <t>Face of Parking Area</t>
  </si>
  <si>
    <t xml:space="preserve">Elevation "C" =  </t>
  </si>
  <si>
    <t>Max Slope = 15%</t>
  </si>
  <si>
    <t>Alley Pavement</t>
  </si>
  <si>
    <t xml:space="preserve">Elevation "R" = </t>
  </si>
  <si>
    <t>MIN ELEVATION</t>
  </si>
  <si>
    <t>Hold elevation, Begin Vertical Curve / Driveway Grade Break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</si>
  <si>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min</t>
    </r>
    <r>
      <rPr>
        <b/>
        <sz val="11"/>
        <color theme="1"/>
        <rFont val="Aptos Narrow"/>
        <family val="2"/>
        <scheme val="minor"/>
      </rPr>
      <t>=</t>
    </r>
  </si>
  <si>
    <t>Applicant notes (optional):</t>
  </si>
  <si>
    <t>PARKING AND DRIVEWAY TO STREET CONNECTION CALCULATOR</t>
  </si>
  <si>
    <t>Alley Version AW.2607</t>
  </si>
  <si>
    <t>Step</t>
  </si>
  <si>
    <t>Name</t>
  </si>
  <si>
    <t>Letter</t>
  </si>
  <si>
    <t>Excel Named Range</t>
  </si>
  <si>
    <t>Value</t>
  </si>
  <si>
    <t>Units</t>
  </si>
  <si>
    <t>Type</t>
  </si>
  <si>
    <t>Notes</t>
  </si>
  <si>
    <t>Input Variables</t>
  </si>
  <si>
    <t>Constant Variables (Copied from Global Constants Tab)</t>
  </si>
  <si>
    <t>C1</t>
  </si>
  <si>
    <t>Alley Pavement Slope</t>
  </si>
  <si>
    <r>
      <t>S</t>
    </r>
    <r>
      <rPr>
        <vertAlign val="subscript"/>
        <sz val="11"/>
        <color theme="1"/>
        <rFont val="Aptos Narrow"/>
        <family val="2"/>
        <scheme val="minor"/>
      </rPr>
      <t>A</t>
    </r>
  </si>
  <si>
    <t>aw_S_a</t>
  </si>
  <si>
    <t>percent</t>
  </si>
  <si>
    <t>C2</t>
  </si>
  <si>
    <t>Alley Max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</si>
  <si>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</t>
    </r>
  </si>
  <si>
    <t>aw_S_max</t>
  </si>
  <si>
    <t>C3</t>
  </si>
  <si>
    <t>Alley Max Back-In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</si>
  <si>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MAX-BACKIN</t>
    </r>
  </si>
  <si>
    <t>aw_S_maxbackin</t>
  </si>
  <si>
    <t>Only used if Step S2 is used to indicate that the driveway doesn't accommodate turning around requiring backing into the right-of-way</t>
  </si>
  <si>
    <t>Alley User Input</t>
  </si>
  <si>
    <t>Alley Driveway and Frontage Information</t>
  </si>
  <si>
    <t>S1</t>
  </si>
  <si>
    <t>Alley Zone Category</t>
  </si>
  <si>
    <t>aw_ZoneCategory</t>
  </si>
  <si>
    <t>string</t>
  </si>
  <si>
    <t>S2</t>
  </si>
  <si>
    <t>Alley Turn Around in Driveway</t>
  </si>
  <si>
    <t>aw_TurnAround_bool</t>
  </si>
  <si>
    <t>bool</t>
  </si>
  <si>
    <t>Currently locked to "yes", add user input on worksheet in a named range called "aw_enter_TurnAround_bool" with options "Yes" and "No" to enable switching</t>
  </si>
  <si>
    <t>Alley Worksheet Values</t>
  </si>
  <si>
    <t>W1</t>
  </si>
  <si>
    <t>Alley ROW Centerline Elevation</t>
  </si>
  <si>
    <t>C</t>
  </si>
  <si>
    <t>aw_C</t>
  </si>
  <si>
    <t>ft</t>
  </si>
  <si>
    <t>number</t>
  </si>
  <si>
    <t>W2</t>
  </si>
  <si>
    <t>Centerline To Existing Property Line Or Proposed Setback</t>
  </si>
  <si>
    <t>P</t>
  </si>
  <si>
    <t>aw_P</t>
  </si>
  <si>
    <t>W3</t>
  </si>
  <si>
    <t>Existing Property Line To Face Of Parking</t>
  </si>
  <si>
    <t>L</t>
  </si>
  <si>
    <t>aw_L</t>
  </si>
  <si>
    <t>Alley Data Lookup and Constants Calculation</t>
  </si>
  <si>
    <t>L1</t>
  </si>
  <si>
    <t>Alley Minimum ROW by Zone Category</t>
  </si>
  <si>
    <r>
      <t>W</t>
    </r>
    <r>
      <rPr>
        <vertAlign val="subscript"/>
        <sz val="11"/>
        <color theme="1"/>
        <rFont val="Aptos Narrow"/>
        <family val="2"/>
        <scheme val="minor"/>
      </rPr>
      <t>ROW</t>
    </r>
  </si>
  <si>
    <t>aw_W_row</t>
  </si>
  <si>
    <t>L2</t>
  </si>
  <si>
    <t>Alley Max Driveway Slope by vehicle turnaround in driveway</t>
  </si>
  <si>
    <r>
      <t>S</t>
    </r>
    <r>
      <rPr>
        <vertAlign val="subscript"/>
        <sz val="11"/>
        <color theme="1"/>
        <rFont val="Aptos Narrow"/>
        <family val="2"/>
        <scheme val="minor"/>
      </rPr>
      <t>T-Max</t>
    </r>
  </si>
  <si>
    <t>aw_S_T_max</t>
  </si>
  <si>
    <t>Alley Calculations</t>
  </si>
  <si>
    <t>AW1</t>
  </si>
  <si>
    <t>Alley Future Required ROW Offset</t>
  </si>
  <si>
    <t>F</t>
  </si>
  <si>
    <t>aw_F</t>
  </si>
  <si>
    <t>AW2</t>
  </si>
  <si>
    <t>Alley Future Property Line Elevation</t>
  </si>
  <si>
    <t>R</t>
  </si>
  <si>
    <t>aw_R</t>
  </si>
  <si>
    <t>AW3</t>
  </si>
  <si>
    <t>Alley Driveway Length</t>
  </si>
  <si>
    <r>
      <t>L</t>
    </r>
    <r>
      <rPr>
        <vertAlign val="subscript"/>
        <sz val="11"/>
        <color theme="1"/>
        <rFont val="Aptos Narrow"/>
        <family val="2"/>
        <scheme val="minor"/>
      </rPr>
      <t>DWAY</t>
    </r>
  </si>
  <si>
    <t>aw_L_dway</t>
  </si>
  <si>
    <t>AW4</t>
  </si>
  <si>
    <t>Alley Max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</si>
  <si>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MAX</t>
    </r>
  </si>
  <si>
    <t>aw_E_max</t>
  </si>
  <si>
    <t>AW5</t>
  </si>
  <si>
    <t>Alley Min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</si>
  <si>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MIN</t>
    </r>
  </si>
  <si>
    <t>aw_E_min</t>
  </si>
  <si>
    <t>Error Name</t>
  </si>
  <si>
    <t>Error Logic</t>
  </si>
  <si>
    <t>Error Priority</t>
  </si>
  <si>
    <t>Use String</t>
  </si>
  <si>
    <t>Error User Language</t>
  </si>
  <si>
    <t>Error F</t>
  </si>
  <si>
    <t>Error R</t>
  </si>
  <si>
    <t>Error S</t>
  </si>
  <si>
    <t>Error Emin</t>
  </si>
  <si>
    <t>Error Emax</t>
  </si>
  <si>
    <t>S1 Input Missing</t>
  </si>
  <si>
    <t>Zone Category</t>
  </si>
  <si>
    <t>S2 Input Missing</t>
  </si>
  <si>
    <t>Turnaround in Driveway</t>
  </si>
  <si>
    <t>W1 Input Missing</t>
  </si>
  <si>
    <t>Elevation "C"</t>
  </si>
  <si>
    <t>W2 Input Missing</t>
  </si>
  <si>
    <t>Distance "P"</t>
  </si>
  <si>
    <t>W3 Input Missing</t>
  </si>
  <si>
    <t>Distance "L"</t>
  </si>
  <si>
    <t>Required User Input is Missing</t>
  </si>
  <si>
    <t>_aw_error_MissingInput</t>
  </si>
  <si>
    <t>Driveway is shorter than Future ROW</t>
  </si>
  <si>
    <t>_aw_error_DrivewayLength</t>
  </si>
  <si>
    <t>- Distance "L" is too short to accommodate the setback</t>
  </si>
  <si>
    <t>Error Flag</t>
  </si>
  <si>
    <t>_aw_ErrorFlag</t>
  </si>
  <si>
    <t>Error String</t>
  </si>
  <si>
    <t>_aw_errorString</t>
  </si>
  <si>
    <t>_aw_ErrorFlag_F</t>
  </si>
  <si>
    <t>_aw_ErrorFlag_R</t>
  </si>
  <si>
    <t>_aw_ErrorFlag_S</t>
  </si>
  <si>
    <t>_aw_ErrorFlag_Emin</t>
  </si>
  <si>
    <t>_aw_ErrorFlag_Emax</t>
  </si>
  <si>
    <t>If the NC2 height limit is more than 40 feet, select the NC3 zone instead</t>
  </si>
  <si>
    <t>Number</t>
  </si>
  <si>
    <t>Symbol</t>
  </si>
  <si>
    <t>Fixed by Code/Standards</t>
  </si>
  <si>
    <t>G_S_A</t>
  </si>
  <si>
    <t>Standard Plan 403</t>
  </si>
  <si>
    <t>Max Driveway Slope</t>
  </si>
  <si>
    <t>G_S_MAX</t>
  </si>
  <si>
    <t>SMC 23.54.030.D.3.</t>
  </si>
  <si>
    <t>Max Back-In Driveway Slope</t>
  </si>
  <si>
    <t>G_S_MAXBACKIN</t>
  </si>
  <si>
    <t>Not Currently used. Slope per SI 3.1 Construction of Roadways / Access Easements and Driveways Figure J</t>
  </si>
  <si>
    <t>Zones</t>
  </si>
  <si>
    <t>Abbreviated</t>
  </si>
  <si>
    <t>Existing Required ROW (ft) (Table A/Table B for 23.53.015)</t>
  </si>
  <si>
    <t>ROW Width for Alleys Considered to be Improved (ft) (Table B 23.53.030)</t>
  </si>
  <si>
    <t>Warning</t>
  </si>
  <si>
    <t>STREET RIGHT-OF-WAY WIDTHS PER ROWIM</t>
  </si>
  <si>
    <t>Residential, Neighborhood</t>
  </si>
  <si>
    <t>NR</t>
  </si>
  <si>
    <t>Street Type</t>
  </si>
  <si>
    <t>Include?</t>
  </si>
  <si>
    <t>40' Row</t>
  </si>
  <si>
    <t>52' ROW</t>
  </si>
  <si>
    <t>Desirable Frontage Zone</t>
  </si>
  <si>
    <t>Ped Clear Zone</t>
  </si>
  <si>
    <t>PDZ Ped Clear Zone</t>
  </si>
  <si>
    <t>RR Ped Clear Zone</t>
  </si>
  <si>
    <t>Landscape Zone</t>
  </si>
  <si>
    <t>RR Landscape Zone</t>
  </si>
  <si>
    <t>Total Minimum Width</t>
  </si>
  <si>
    <t>RR Total Minimum Width</t>
  </si>
  <si>
    <t>PDZ Total Minimum Width</t>
  </si>
  <si>
    <t>PDZ + RR Total Minimum Width</t>
  </si>
  <si>
    <t>40' ROW Pavement Width</t>
  </si>
  <si>
    <t>40' ROW RR Pavement Width</t>
  </si>
  <si>
    <t>40' ROW PDZ Pavement Width</t>
  </si>
  <si>
    <t>40' ROW PDZ+RR Pavement Width</t>
  </si>
  <si>
    <t>52' ROW Pavement Width</t>
  </si>
  <si>
    <t>52' ROW RR Pavement Width</t>
  </si>
  <si>
    <t>52' ROW PDZ Pavement Width</t>
  </si>
  <si>
    <t>52' ROW PDZ+RR Pavement Width</t>
  </si>
  <si>
    <t>Residential, Multifamily, Lowrise 1</t>
  </si>
  <si>
    <t>LR1</t>
  </si>
  <si>
    <t>Downtown</t>
  </si>
  <si>
    <t>Residential, Multifamily, Lowrise 2</t>
  </si>
  <si>
    <t>LR2</t>
  </si>
  <si>
    <t>Downtown Neighborhood</t>
  </si>
  <si>
    <t>Residential, Multifamily, Lowrise 3</t>
  </si>
  <si>
    <t>LR3</t>
  </si>
  <si>
    <t>Downtown Neighborhood Access</t>
  </si>
  <si>
    <t>Residential, Multifamily, Midrise</t>
  </si>
  <si>
    <t>MR</t>
  </si>
  <si>
    <t>Urban Village Main</t>
  </si>
  <si>
    <t>Residential, Multifamily, Highrise</t>
  </si>
  <si>
    <t>HR</t>
  </si>
  <si>
    <t>Urban Village Neighborhood</t>
  </si>
  <si>
    <t>Neighborhood Commercial 1</t>
  </si>
  <si>
    <t>NC1</t>
  </si>
  <si>
    <t>Urban Village Neighborhood Access</t>
  </si>
  <si>
    <t>Neighborhood Commercial 2</t>
  </si>
  <si>
    <t>NC2</t>
  </si>
  <si>
    <t>Urban Center Connector</t>
  </si>
  <si>
    <t>Neighborhood Commercial 3</t>
  </si>
  <si>
    <t>NC3</t>
  </si>
  <si>
    <t>Neighborhood Corridor</t>
  </si>
  <si>
    <t>Seattle Mixed—South Lake Union</t>
  </si>
  <si>
    <t>SM-SLU</t>
  </si>
  <si>
    <t>Industrial Access</t>
  </si>
  <si>
    <t>Seattle Mixed—Dravus</t>
  </si>
  <si>
    <t>SM-D</t>
  </si>
  <si>
    <t>Minor Industrial Access</t>
  </si>
  <si>
    <t>Seattle Mixed—North Rainier</t>
  </si>
  <si>
    <t>SM-NR</t>
  </si>
  <si>
    <t>Neighborhood Yield</t>
  </si>
  <si>
    <t>Seattle Mixed - Rainier Beach</t>
  </si>
  <si>
    <t>SM-RB</t>
  </si>
  <si>
    <t>Neighborhood Yield (40' ROW)</t>
  </si>
  <si>
    <t>Seattle Mixed—University District</t>
  </si>
  <si>
    <t>SM-U</t>
  </si>
  <si>
    <t>Urban Curbless Street</t>
  </si>
  <si>
    <t>Seattle Mixed—Uptown</t>
  </si>
  <si>
    <t>SM-UP</t>
  </si>
  <si>
    <t>Neighborhood Curbless Street</t>
  </si>
  <si>
    <t>Seattle Mixed—Northgate</t>
  </si>
  <si>
    <t>SM-NG</t>
  </si>
  <si>
    <t>Commercial 1</t>
  </si>
  <si>
    <t>Street Types List</t>
  </si>
  <si>
    <t>Commercial 2</t>
  </si>
  <si>
    <t>Master Planned Community—Yesler Terrace</t>
  </si>
  <si>
    <t>MPC-YT</t>
  </si>
  <si>
    <t>Downtown Office Core 1</t>
  </si>
  <si>
    <t>DOC1</t>
  </si>
  <si>
    <t>Downtown Office Core 2</t>
  </si>
  <si>
    <t>DOC2</t>
  </si>
  <si>
    <t>Downtown Retail Core</t>
  </si>
  <si>
    <t>DRC</t>
  </si>
  <si>
    <t>Downtown Mixed Commercial</t>
  </si>
  <si>
    <t>DMC</t>
  </si>
  <si>
    <t>Downtown Mixed Residential</t>
  </si>
  <si>
    <t>DMR</t>
  </si>
  <si>
    <t>Pioneer Square Mixed</t>
  </si>
  <si>
    <t>PSM</t>
  </si>
  <si>
    <t>International District Mixed</t>
  </si>
  <si>
    <t>IDM</t>
  </si>
  <si>
    <t>International District Residential</t>
  </si>
  <si>
    <t>IDR</t>
  </si>
  <si>
    <t>Downtown Harborfront 1</t>
  </si>
  <si>
    <t>DH1</t>
  </si>
  <si>
    <t>Downtown Harborfront 2</t>
  </si>
  <si>
    <t>DH2</t>
  </si>
  <si>
    <t>Pike Market Mixed</t>
  </si>
  <si>
    <t>PMM</t>
  </si>
  <si>
    <t>Zone Category List</t>
  </si>
  <si>
    <t>General Industrial 1</t>
  </si>
  <si>
    <t>IG1</t>
  </si>
  <si>
    <t>General Industrial 2</t>
  </si>
  <si>
    <t>IG2</t>
  </si>
  <si>
    <t>Industrial Buffer</t>
  </si>
  <si>
    <t>IB</t>
  </si>
  <si>
    <t>Industrial Commercial</t>
  </si>
  <si>
    <t>IC</t>
  </si>
  <si>
    <t>Maritime Manufacturing and Logistics</t>
  </si>
  <si>
    <t>MML</t>
  </si>
  <si>
    <t>Industry and Innovation</t>
  </si>
  <si>
    <t>II</t>
  </si>
  <si>
    <t>Urban Industrial</t>
  </si>
  <si>
    <t>UI</t>
  </si>
  <si>
    <t>Table last updated per ORD 127376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</si>
</sst>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\ &quot;FT&quot;"/>
    <numFmt numFmtId="165" formatCode="0.0000"/>
    <numFmt numFmtId="166" formatCode="0.000000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1"/>
      <name val="Aptos Display"/>
      <family val="2"/>
      <scheme val="major"/>
    </font>
    <font>
      <sz val="9"/>
      <color theme="1"/>
      <name val="Aptos Mono"/>
      <family val="3"/>
    </font>
    <font>
      <b/>
      <sz val="10"/>
      <color theme="1" tint="0.1499679555650502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vertAlign val="subscript"/>
      <sz val="11"/>
      <color theme="1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sz val="10"/>
      <color theme="2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 tint="0.49998474074526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499984740745262"/>
      <name val="Aptos Display"/>
      <family val="2"/>
      <scheme val="major"/>
    </font>
    <font>
      <b/>
      <sz val="12"/>
      <color theme="0"/>
      <name val="Aptos Serif"/>
      <family val="1"/>
    </font>
    <font>
      <b/>
      <sz val="10"/>
      <color theme="1"/>
      <name val="Aptos Serif"/>
      <family val="1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name val="Aptos Serif"/>
      <family val="1"/>
    </font>
    <font>
      <sz val="12"/>
      <color rgb="FF5A544F"/>
      <name val="Courier New"/>
      <family val="3"/>
    </font>
    <font>
      <sz val="9"/>
      <color rgb="FF8A0000"/>
      <name val="Aptos Narrow"/>
      <family val="2"/>
      <scheme val="minor"/>
    </font>
    <font>
      <b/>
      <sz val="11"/>
      <color rgb="FF004089"/>
      <name val="Aptos Narrow"/>
      <family val="2"/>
      <scheme val="minor"/>
    </font>
    <font>
      <b/>
      <sz val="11"/>
      <color rgb="FF0D3512"/>
      <name val="Aptos Narrow"/>
      <family val="2"/>
      <scheme val="minor"/>
    </font>
    <font>
      <sz val="9"/>
      <color rgb="FF0070C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46AD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7F7F7F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2060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46AD"/>
      </left>
      <right/>
      <top style="thin">
        <color rgb="FF0046AD"/>
      </top>
      <bottom style="thin">
        <color rgb="FF0046AD"/>
      </bottom>
      <diagonal/>
    </border>
    <border>
      <left/>
      <right/>
      <top style="thin">
        <color rgb="FF0046AD"/>
      </top>
      <bottom style="thin">
        <color rgb="FF0046AD"/>
      </bottom>
      <diagonal/>
    </border>
    <border>
      <left/>
      <right style="thin">
        <color rgb="FF0046AD"/>
      </right>
      <top style="thin">
        <color rgb="FF0046AD"/>
      </top>
      <bottom style="thin">
        <color rgb="FF0046AD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4" fillId="14" borderId="31" applyNumberFormat="0" applyAlignment="0" applyProtection="0"/>
    <xf numFmtId="0" fontId="5" fillId="2" borderId="0" applyBorder="0">
      <alignment horizontal="right"/>
    </xf>
    <xf numFmtId="164" fontId="33" fillId="3" borderId="10" applyNumberFormat="0" applyProtection="0">
      <alignment horizontal="center" vertical="center"/>
    </xf>
    <xf numFmtId="10" fontId="22" fillId="4" borderId="0" applyNumberFormat="0" applyAlignment="0">
      <alignment horizontal="center" vertical="center"/>
    </xf>
    <xf numFmtId="0" fontId="13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11" fillId="6" borderId="0" xfId="0" applyFont="1" applyFill="1" applyAlignment="1">
      <alignment horizontal="center"/>
    </xf>
    <xf numFmtId="10" fontId="0" fillId="6" borderId="0" xfId="1" applyNumberFormat="1" applyFont="1" applyFill="1" applyAlignment="1">
      <alignment horizontal="center"/>
    </xf>
    <xf numFmtId="0" fontId="2" fillId="2" borderId="0" xfId="0" applyFont="1" applyFill="1"/>
    <xf numFmtId="2" fontId="0" fillId="2" borderId="0" xfId="0" applyNumberFormat="1" applyFill="1" applyAlignment="1">
      <alignment horizontal="center"/>
    </xf>
    <xf numFmtId="0" fontId="15" fillId="8" borderId="0" xfId="0" applyFont="1" applyFill="1"/>
    <xf numFmtId="0" fontId="15" fillId="8" borderId="0" xfId="0" applyFont="1" applyFill="1" applyAlignment="1">
      <alignment horizontal="center"/>
    </xf>
    <xf numFmtId="0" fontId="3" fillId="10" borderId="0" xfId="0" applyFont="1" applyFill="1" applyAlignment="1">
      <alignment horizontal="centerContinuous"/>
    </xf>
    <xf numFmtId="0" fontId="0" fillId="10" borderId="0" xfId="0" applyFill="1" applyAlignment="1">
      <alignment horizontal="centerContinuous"/>
    </xf>
    <xf numFmtId="0" fontId="3" fillId="11" borderId="0" xfId="0" applyFont="1" applyFill="1" applyAlignment="1">
      <alignment horizontal="centerContinuous"/>
    </xf>
    <xf numFmtId="0" fontId="0" fillId="11" borderId="0" xfId="0" applyFill="1" applyAlignment="1">
      <alignment horizontal="centerContinuous"/>
    </xf>
    <xf numFmtId="0" fontId="3" fillId="12" borderId="0" xfId="0" applyFont="1" applyFill="1"/>
    <xf numFmtId="0" fontId="0" fillId="13" borderId="16" xfId="0" applyFill="1" applyBorder="1"/>
    <xf numFmtId="0" fontId="0" fillId="0" borderId="0" xfId="0" applyAlignment="1">
      <alignment wrapText="1"/>
    </xf>
    <xf numFmtId="0" fontId="14" fillId="10" borderId="0" xfId="0" applyFont="1" applyFill="1" applyAlignment="1">
      <alignment horizontal="centerContinuous"/>
    </xf>
    <xf numFmtId="0" fontId="0" fillId="15" borderId="0" xfId="0" applyFill="1"/>
    <xf numFmtId="0" fontId="0" fillId="15" borderId="0" xfId="0" applyFill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1" xfId="0" applyBorder="1"/>
    <xf numFmtId="0" fontId="15" fillId="8" borderId="22" xfId="0" applyFont="1" applyFill="1" applyBorder="1" applyAlignment="1">
      <alignment horizontal="center"/>
    </xf>
    <xf numFmtId="0" fontId="15" fillId="8" borderId="23" xfId="0" applyFont="1" applyFill="1" applyBorder="1" applyAlignment="1">
      <alignment horizontal="center"/>
    </xf>
    <xf numFmtId="0" fontId="15" fillId="8" borderId="24" xfId="0" applyFont="1" applyFill="1" applyBorder="1" applyAlignment="1">
      <alignment horizontal="center"/>
    </xf>
    <xf numFmtId="2" fontId="0" fillId="0" borderId="23" xfId="0" applyNumberFormat="1" applyBorder="1"/>
    <xf numFmtId="2" fontId="0" fillId="6" borderId="0" xfId="1" applyNumberFormat="1" applyFont="1" applyFill="1" applyAlignment="1">
      <alignment horizontal="center"/>
    </xf>
    <xf numFmtId="0" fontId="3" fillId="9" borderId="0" xfId="0" applyFont="1" applyFill="1" applyAlignment="1">
      <alignment horizontal="centerContinuous"/>
    </xf>
    <xf numFmtId="0" fontId="14" fillId="9" borderId="0" xfId="0" applyFont="1" applyFill="1" applyAlignment="1">
      <alignment horizontal="centerContinuous"/>
    </xf>
    <xf numFmtId="0" fontId="0" fillId="7" borderId="0" xfId="0" applyFill="1" applyAlignment="1">
      <alignment horizontal="center"/>
    </xf>
    <xf numFmtId="0" fontId="0" fillId="7" borderId="0" xfId="0" applyFill="1"/>
    <xf numFmtId="2" fontId="0" fillId="7" borderId="0" xfId="0" applyNumberFormat="1" applyFill="1" applyAlignment="1">
      <alignment horizontal="center"/>
    </xf>
    <xf numFmtId="0" fontId="3" fillId="18" borderId="0" xfId="0" applyFont="1" applyFill="1" applyAlignment="1">
      <alignment horizontal="centerContinuous"/>
    </xf>
    <xf numFmtId="0" fontId="14" fillId="18" borderId="0" xfId="0" applyFont="1" applyFill="1" applyAlignment="1">
      <alignment horizontal="centerContinuous"/>
    </xf>
    <xf numFmtId="0" fontId="3" fillId="5" borderId="0" xfId="0" applyFont="1" applyFill="1" applyAlignment="1">
      <alignment horizontal="centerContinuous"/>
    </xf>
    <xf numFmtId="0" fontId="0" fillId="19" borderId="0" xfId="0" applyFill="1"/>
    <xf numFmtId="0" fontId="0" fillId="0" borderId="30" xfId="0" applyBorder="1"/>
    <xf numFmtId="0" fontId="29" fillId="0" borderId="0" xfId="0" applyFont="1"/>
    <xf numFmtId="1" fontId="0" fillId="0" borderId="23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0" fontId="0" fillId="0" borderId="30" xfId="0" quotePrefix="1" applyBorder="1"/>
    <xf numFmtId="0" fontId="0" fillId="0" borderId="30" xfId="0" applyBorder="1" applyAlignment="1">
      <alignment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horizontal="right" vertical="center"/>
    </xf>
    <xf numFmtId="164" fontId="22" fillId="2" borderId="2" xfId="5" applyNumberFormat="1" applyFill="1" applyBorder="1" applyAlignment="1">
      <alignment vertical="center" shrinkToFit="1"/>
    </xf>
    <xf numFmtId="0" fontId="0" fillId="2" borderId="3" xfId="0" applyFill="1" applyBorder="1"/>
    <xf numFmtId="0" fontId="3" fillId="2" borderId="4" xfId="0" applyFont="1" applyFill="1" applyBorder="1" applyAlignment="1">
      <alignment wrapText="1"/>
    </xf>
    <xf numFmtId="0" fontId="9" fillId="2" borderId="4" xfId="0" applyFont="1" applyFill="1" applyBorder="1"/>
    <xf numFmtId="0" fontId="4" fillId="20" borderId="36" xfId="0" applyFont="1" applyFill="1" applyBorder="1"/>
    <xf numFmtId="0" fontId="0" fillId="20" borderId="15" xfId="0" applyFill="1" applyBorder="1"/>
    <xf numFmtId="0" fontId="0" fillId="20" borderId="19" xfId="0" applyFill="1" applyBorder="1"/>
    <xf numFmtId="0" fontId="0" fillId="20" borderId="3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5" xfId="0" applyFill="1" applyBorder="1"/>
    <xf numFmtId="0" fontId="0" fillId="20" borderId="37" xfId="0" applyFill="1" applyBorder="1" applyAlignment="1">
      <alignment vertical="center"/>
    </xf>
    <xf numFmtId="0" fontId="0" fillId="20" borderId="38" xfId="0" applyFill="1" applyBorder="1"/>
    <xf numFmtId="0" fontId="0" fillId="20" borderId="7" xfId="0" applyFill="1" applyBorder="1" applyAlignment="1">
      <alignment horizontal="right" vertical="center"/>
    </xf>
    <xf numFmtId="0" fontId="0" fillId="20" borderId="8" xfId="0" applyFill="1" applyBorder="1"/>
    <xf numFmtId="0" fontId="0" fillId="20" borderId="39" xfId="0" applyFill="1" applyBorder="1" applyAlignment="1">
      <alignment vertical="center"/>
    </xf>
    <xf numFmtId="0" fontId="0" fillId="2" borderId="16" xfId="0" applyFill="1" applyBorder="1"/>
    <xf numFmtId="0" fontId="24" fillId="4" borderId="2" xfId="0" applyFont="1" applyFill="1" applyBorder="1" applyAlignment="1">
      <alignment vertical="center" wrapText="1"/>
    </xf>
    <xf numFmtId="0" fontId="30" fillId="4" borderId="2" xfId="6" applyFont="1" applyFill="1" applyBorder="1" applyAlignment="1" applyProtection="1">
      <alignment vertical="center" wrapText="1"/>
    </xf>
    <xf numFmtId="0" fontId="30" fillId="4" borderId="3" xfId="6" applyFont="1" applyFill="1" applyBorder="1" applyAlignment="1" applyProtection="1">
      <alignment vertical="center" wrapText="1"/>
    </xf>
    <xf numFmtId="0" fontId="30" fillId="4" borderId="5" xfId="6" applyFont="1" applyFill="1" applyBorder="1" applyAlignment="1" applyProtection="1">
      <alignment vertical="center" wrapText="1"/>
    </xf>
    <xf numFmtId="0" fontId="24" fillId="4" borderId="5" xfId="0" applyFont="1" applyFill="1" applyBorder="1"/>
    <xf numFmtId="0" fontId="24" fillId="4" borderId="8" xfId="0" applyFont="1" applyFill="1" applyBorder="1"/>
    <xf numFmtId="0" fontId="4" fillId="20" borderId="0" xfId="0" applyFont="1" applyFill="1"/>
    <xf numFmtId="0" fontId="0" fillId="20" borderId="0" xfId="0" applyFill="1"/>
    <xf numFmtId="0" fontId="0" fillId="20" borderId="4" xfId="0" applyFill="1" applyBorder="1"/>
    <xf numFmtId="0" fontId="0" fillId="20" borderId="0" xfId="0" applyFill="1" applyAlignment="1">
      <alignment vertical="center"/>
    </xf>
    <xf numFmtId="0" fontId="3" fillId="2" borderId="0" xfId="0" applyFont="1" applyFill="1" applyAlignment="1">
      <alignment wrapText="1"/>
    </xf>
    <xf numFmtId="0" fontId="16" fillId="2" borderId="0" xfId="0" applyFont="1" applyFill="1" applyAlignment="1">
      <alignment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right"/>
    </xf>
    <xf numFmtId="166" fontId="28" fillId="2" borderId="0" xfId="0" applyNumberFormat="1" applyFont="1" applyFill="1"/>
    <xf numFmtId="0" fontId="9" fillId="2" borderId="0" xfId="0" applyFont="1" applyFill="1" applyAlignment="1">
      <alignment horizontal="right" vertical="center"/>
    </xf>
    <xf numFmtId="164" fontId="22" fillId="2" borderId="0" xfId="5" applyNumberFormat="1" applyFill="1" applyAlignment="1">
      <alignment vertical="center" shrinkToFit="1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wrapText="1"/>
    </xf>
    <xf numFmtId="0" fontId="24" fillId="2" borderId="0" xfId="0" applyFont="1" applyFill="1"/>
    <xf numFmtId="10" fontId="22" fillId="2" borderId="0" xfId="5" applyNumberFormat="1" applyFill="1" applyAlignment="1">
      <alignment vertical="center" shrinkToFit="1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0" fillId="2" borderId="0" xfId="0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25" fillId="2" borderId="0" xfId="0" applyFont="1" applyFill="1" applyAlignment="1">
      <alignment vertical="center" wrapText="1"/>
    </xf>
    <xf numFmtId="164" fontId="22" fillId="2" borderId="0" xfId="5" applyNumberFormat="1" applyFill="1" applyAlignment="1"/>
    <xf numFmtId="0" fontId="19" fillId="2" borderId="5" xfId="0" applyFont="1" applyFill="1" applyBorder="1" applyAlignment="1">
      <alignment horizontal="right"/>
    </xf>
    <xf numFmtId="0" fontId="20" fillId="2" borderId="0" xfId="0" applyFont="1" applyFill="1"/>
    <xf numFmtId="0" fontId="0" fillId="2" borderId="7" xfId="0" applyFill="1" applyBorder="1" applyAlignment="1">
      <alignment vertical="center"/>
    </xf>
    <xf numFmtId="0" fontId="0" fillId="2" borderId="0" xfId="0" applyFill="1" applyAlignment="1">
      <alignment horizontal="right"/>
    </xf>
    <xf numFmtId="0" fontId="31" fillId="0" borderId="0" xfId="0" applyFont="1"/>
    <xf numFmtId="2" fontId="0" fillId="7" borderId="0" xfId="1" applyNumberFormat="1" applyFont="1" applyFill="1" applyAlignment="1">
      <alignment horizontal="center"/>
    </xf>
    <xf numFmtId="0" fontId="15" fillId="8" borderId="41" xfId="0" applyFont="1" applyFill="1" applyBorder="1" applyAlignment="1">
      <alignment horizontal="left" indent="1"/>
    </xf>
    <xf numFmtId="0" fontId="0" fillId="9" borderId="41" xfId="0" applyFill="1" applyBorder="1" applyAlignment="1">
      <alignment horizontal="left" indent="1"/>
    </xf>
    <xf numFmtId="0" fontId="0" fillId="10" borderId="41" xfId="0" applyFill="1" applyBorder="1" applyAlignment="1">
      <alignment horizontal="left" indent="1"/>
    </xf>
    <xf numFmtId="0" fontId="0" fillId="6" borderId="41" xfId="0" applyFill="1" applyBorder="1" applyAlignment="1">
      <alignment horizontal="left" indent="1"/>
    </xf>
    <xf numFmtId="0" fontId="0" fillId="6" borderId="41" xfId="0" applyFill="1" applyBorder="1" applyAlignment="1">
      <alignment horizontal="left" vertical="center" wrapText="1" indent="1"/>
    </xf>
    <xf numFmtId="0" fontId="0" fillId="11" borderId="41" xfId="0" applyFill="1" applyBorder="1" applyAlignment="1">
      <alignment horizontal="left" vertical="center" wrapText="1" indent="1"/>
    </xf>
    <xf numFmtId="0" fontId="4" fillId="6" borderId="41" xfId="0" applyFont="1" applyFill="1" applyBorder="1" applyAlignment="1">
      <alignment horizontal="left" indent="1"/>
    </xf>
    <xf numFmtId="0" fontId="0" fillId="18" borderId="41" xfId="0" applyFill="1" applyBorder="1" applyAlignment="1">
      <alignment horizontal="left" indent="1"/>
    </xf>
    <xf numFmtId="0" fontId="0" fillId="7" borderId="41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6" borderId="0" xfId="0" applyFill="1" applyAlignment="1">
      <alignment horizontal="left" indent="1"/>
    </xf>
    <xf numFmtId="0" fontId="4" fillId="21" borderId="0" xfId="0" applyFont="1" applyFill="1"/>
    <xf numFmtId="0" fontId="4" fillId="21" borderId="0" xfId="0" applyFont="1" applyFill="1" applyAlignment="1">
      <alignment horizontal="center"/>
    </xf>
    <xf numFmtId="0" fontId="4" fillId="6" borderId="41" xfId="0" applyFont="1" applyFill="1" applyBorder="1" applyAlignment="1">
      <alignment horizontal="left" vertical="center" wrapText="1" indent="1"/>
    </xf>
    <xf numFmtId="14" fontId="33" fillId="20" borderId="7" xfId="4" applyNumberFormat="1" applyFill="1" applyBorder="1" applyProtection="1">
      <alignment horizontal="center" vertical="center"/>
    </xf>
    <xf numFmtId="0" fontId="7" fillId="2" borderId="0" xfId="0" applyFont="1" applyFill="1" applyAlignment="1">
      <alignment vertical="top" wrapText="1"/>
    </xf>
    <xf numFmtId="0" fontId="4" fillId="0" borderId="0" xfId="0" applyFont="1"/>
    <xf numFmtId="0" fontId="0" fillId="22" borderId="0" xfId="0" applyFill="1"/>
    <xf numFmtId="165" fontId="0" fillId="22" borderId="0" xfId="0" applyNumberFormat="1" applyFill="1"/>
    <xf numFmtId="0" fontId="9" fillId="2" borderId="0" xfId="0" applyFont="1" applyFill="1" applyAlignment="1">
      <alignment horizontal="right"/>
    </xf>
    <xf numFmtId="0" fontId="0" fillId="0" borderId="0" xfId="0" applyAlignment="1">
      <alignment horizontal="left" vertical="top" wrapText="1"/>
    </xf>
    <xf numFmtId="0" fontId="32" fillId="4" borderId="29" xfId="0" applyFont="1" applyFill="1" applyBorder="1" applyAlignment="1">
      <alignment horizontal="center" vertical="center" shrinkToFit="1"/>
    </xf>
    <xf numFmtId="14" fontId="14" fillId="16" borderId="42" xfId="2" applyNumberFormat="1" applyFont="1" applyFill="1" applyBorder="1" applyAlignment="1" applyProtection="1">
      <alignment horizontal="center"/>
    </xf>
    <xf numFmtId="14" fontId="14" fillId="16" borderId="29" xfId="2" applyNumberFormat="1" applyFont="1" applyFill="1" applyBorder="1" applyAlignment="1" applyProtection="1">
      <alignment horizontal="center"/>
    </xf>
    <xf numFmtId="14" fontId="14" fillId="16" borderId="28" xfId="2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right" vertical="center"/>
    </xf>
    <xf numFmtId="0" fontId="4" fillId="4" borderId="27" xfId="0" applyFont="1" applyFill="1" applyBorder="1" applyAlignment="1">
      <alignment horizontal="right" vertical="center"/>
    </xf>
    <xf numFmtId="0" fontId="33" fillId="3" borderId="10" xfId="4" applyNumberFormat="1" applyAlignment="1" applyProtection="1">
      <alignment horizontal="center" vertical="center"/>
      <protection locked="0"/>
    </xf>
    <xf numFmtId="0" fontId="4" fillId="4" borderId="17" xfId="0" applyFont="1" applyFill="1" applyBorder="1" applyAlignment="1">
      <alignment horizontal="right" vertical="center"/>
    </xf>
    <xf numFmtId="0" fontId="4" fillId="4" borderId="26" xfId="0" applyFont="1" applyFill="1" applyBorder="1" applyAlignment="1">
      <alignment horizontal="right" vertical="center"/>
    </xf>
    <xf numFmtId="14" fontId="33" fillId="3" borderId="13" xfId="4" applyNumberFormat="1" applyBorder="1" applyAlignment="1" applyProtection="1">
      <alignment horizontal="center" vertical="center"/>
      <protection locked="0"/>
    </xf>
    <xf numFmtId="14" fontId="33" fillId="3" borderId="10" xfId="4" applyNumberFormat="1" applyAlignment="1" applyProtection="1">
      <alignment horizontal="center" vertical="center"/>
      <protection locked="0"/>
    </xf>
    <xf numFmtId="0" fontId="4" fillId="4" borderId="17" xfId="0" applyFont="1" applyFill="1" applyBorder="1" applyAlignment="1">
      <alignment horizontal="left" vertical="center" shrinkToFit="1"/>
    </xf>
    <xf numFmtId="0" fontId="4" fillId="4" borderId="18" xfId="0" applyFont="1" applyFill="1" applyBorder="1" applyAlignment="1">
      <alignment horizontal="left" vertical="center" shrinkToFit="1"/>
    </xf>
    <xf numFmtId="0" fontId="4" fillId="4" borderId="26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right" vertical="center" wrapText="1"/>
    </xf>
    <xf numFmtId="164" fontId="34" fillId="14" borderId="31" xfId="2" applyNumberFormat="1" applyAlignment="1" applyProtection="1">
      <alignment horizontal="center" vertical="center" shrinkToFit="1"/>
    </xf>
    <xf numFmtId="164" fontId="34" fillId="14" borderId="31" xfId="2" applyNumberFormat="1" applyAlignment="1" applyProtection="1">
      <alignment horizontal="center" vertical="center"/>
    </xf>
    <xf numFmtId="0" fontId="6" fillId="2" borderId="4" xfId="0" applyFont="1" applyFill="1" applyBorder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4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18" fillId="16" borderId="33" xfId="0" applyFont="1" applyFill="1" applyBorder="1" applyAlignment="1">
      <alignment horizontal="center" vertical="center"/>
    </xf>
    <xf numFmtId="0" fontId="18" fillId="16" borderId="34" xfId="0" applyFont="1" applyFill="1" applyBorder="1" applyAlignment="1">
      <alignment horizontal="center" vertical="center"/>
    </xf>
    <xf numFmtId="0" fontId="18" fillId="16" borderId="2" xfId="0" applyFont="1" applyFill="1" applyBorder="1" applyAlignment="1">
      <alignment horizontal="center" vertical="center"/>
    </xf>
    <xf numFmtId="0" fontId="18" fillId="16" borderId="35" xfId="0" applyFont="1" applyFill="1" applyBorder="1" applyAlignment="1">
      <alignment horizontal="center" vertical="center"/>
    </xf>
    <xf numFmtId="0" fontId="37" fillId="2" borderId="43" xfId="7" applyFont="1" applyFill="1" applyBorder="1" applyAlignment="1">
      <alignment horizontal="center"/>
    </xf>
    <xf numFmtId="0" fontId="37" fillId="2" borderId="44" xfId="7" applyFont="1" applyFill="1" applyBorder="1" applyAlignment="1">
      <alignment horizontal="center"/>
    </xf>
    <xf numFmtId="0" fontId="37" fillId="2" borderId="45" xfId="7" applyFont="1" applyFill="1" applyBorder="1" applyAlignment="1">
      <alignment horizontal="center"/>
    </xf>
    <xf numFmtId="0" fontId="33" fillId="3" borderId="10" xfId="4" applyNumberFormat="1" applyAlignment="1" applyProtection="1">
      <alignment horizontal="left" vertical="top" wrapText="1"/>
      <protection locked="0"/>
    </xf>
    <xf numFmtId="0" fontId="26" fillId="16" borderId="14" xfId="0" applyFont="1" applyFill="1" applyBorder="1" applyAlignment="1">
      <alignment horizontal="center" vertical="center" wrapText="1"/>
    </xf>
    <xf numFmtId="0" fontId="26" fillId="16" borderId="15" xfId="0" applyFont="1" applyFill="1" applyBorder="1" applyAlignment="1">
      <alignment horizontal="center" vertical="center" wrapText="1"/>
    </xf>
    <xf numFmtId="0" fontId="26" fillId="16" borderId="40" xfId="0" applyFont="1" applyFill="1" applyBorder="1" applyAlignment="1">
      <alignment horizontal="center" vertical="center" wrapText="1"/>
    </xf>
    <xf numFmtId="0" fontId="26" fillId="16" borderId="41" xfId="0" applyFont="1" applyFill="1" applyBorder="1" applyAlignment="1">
      <alignment horizontal="center" vertical="center" wrapText="1"/>
    </xf>
    <xf numFmtId="0" fontId="26" fillId="16" borderId="0" xfId="0" applyFont="1" applyFill="1" applyAlignment="1">
      <alignment horizontal="center" vertical="center" wrapText="1"/>
    </xf>
    <xf numFmtId="0" fontId="26" fillId="16" borderId="39" xfId="0" applyFont="1" applyFill="1" applyBorder="1" applyAlignment="1">
      <alignment horizontal="center" vertical="center" wrapText="1"/>
    </xf>
    <xf numFmtId="0" fontId="27" fillId="17" borderId="17" xfId="0" applyFont="1" applyFill="1" applyBorder="1" applyAlignment="1">
      <alignment horizontal="center" vertical="center" wrapText="1"/>
    </xf>
    <xf numFmtId="0" fontId="27" fillId="17" borderId="18" xfId="0" applyFont="1" applyFill="1" applyBorder="1" applyAlignment="1">
      <alignment horizontal="center" vertical="center" wrapText="1"/>
    </xf>
    <xf numFmtId="0" fontId="27" fillId="17" borderId="2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164" fontId="33" fillId="3" borderId="10" xfId="4" applyNumberFormat="1" applyAlignment="1" applyProtection="1">
      <alignment horizontal="center" vertical="center"/>
      <protection locked="0"/>
    </xf>
    <xf numFmtId="0" fontId="23" fillId="2" borderId="0" xfId="0" applyFont="1" applyFill="1" applyAlignment="1">
      <alignment vertical="center" textRotation="90" shrinkToFit="1"/>
    </xf>
    <xf numFmtId="0" fontId="9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wrapText="1"/>
    </xf>
    <xf numFmtId="164" fontId="33" fillId="3" borderId="11" xfId="4" applyNumberFormat="1" applyBorder="1" applyAlignment="1" applyProtection="1">
      <alignment horizontal="center" vertical="center"/>
      <protection locked="0"/>
    </xf>
    <xf numFmtId="164" fontId="33" fillId="3" borderId="12" xfId="4" applyNumberFormat="1" applyBorder="1" applyAlignment="1" applyProtection="1">
      <alignment horizontal="center" vertical="center"/>
      <protection locked="0"/>
    </xf>
    <xf numFmtId="164" fontId="33" fillId="3" borderId="13" xfId="4" applyNumberFormat="1" applyBorder="1" applyAlignment="1" applyProtection="1">
      <alignment horizontal="center" vertical="center"/>
      <protection locked="0"/>
    </xf>
    <xf numFmtId="0" fontId="6" fillId="2" borderId="0" xfId="3" applyFont="1" applyBorder="1" applyAlignment="1">
      <alignment horizontal="center" vertical="top"/>
    </xf>
    <xf numFmtId="0" fontId="6" fillId="2" borderId="9" xfId="3" applyFont="1" applyBorder="1" applyAlignment="1">
      <alignment horizontal="center" vertical="top"/>
    </xf>
    <xf numFmtId="0" fontId="6" fillId="2" borderId="0" xfId="3" applyFont="1" applyBorder="1" applyAlignment="1">
      <alignment horizontal="center"/>
    </xf>
    <xf numFmtId="0" fontId="6" fillId="2" borderId="9" xfId="3" applyFont="1" applyBorder="1" applyAlignment="1">
      <alignment horizontal="center"/>
    </xf>
    <xf numFmtId="0" fontId="35" fillId="2" borderId="0" xfId="0" applyFont="1" applyFill="1" applyAlignment="1">
      <alignment horizontal="left" vertical="top" wrapText="1"/>
    </xf>
    <xf numFmtId="0" fontId="0" fillId="2" borderId="0" xfId="0" applyFill="1" applyAlignment="1">
      <alignment vertical="center" textRotation="90"/>
    </xf>
    <xf numFmtId="0" fontId="0" fillId="0" borderId="0" xfId="0" applyAlignment="1">
      <alignment horizontal="left" vertical="top" wrapText="1"/>
    </xf>
    <xf numFmtId="0" fontId="12" fillId="2" borderId="0" xfId="0" applyFont="1" applyFill="1" applyAlignment="1">
      <alignment horizontal="center"/>
    </xf>
  </cellXfs>
  <cellStyles count="8">
    <cellStyle name="BGS Input" xfId="4" xr:uid="{92D3910D-4AC5-4652-A68D-4CECA66F2580}"/>
    <cellStyle name="Hyperlink" xfId="7" builtinId="8"/>
    <cellStyle name="Input Label" xfId="3" xr:uid="{2008C704-F175-49D7-9526-7F64F29743DF}"/>
    <cellStyle name="Normal" xfId="0" builtinId="0"/>
    <cellStyle name="Output" xfId="2" builtinId="21" customBuiltin="1"/>
    <cellStyle name="Percent" xfId="1" builtinId="5"/>
    <cellStyle name="Ref Output" xfId="5" xr:uid="{41359888-8A9C-4CBA-BA0B-7E2ED0DCF55C}"/>
    <cellStyle name="Title" xfId="6" builtinId="15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0006"/>
      </font>
    </dxf>
    <dxf>
      <font>
        <color rgb="FF0046AD"/>
      </font>
      <fill>
        <patternFill patternType="none">
          <bgColor auto="1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  <dxf>
      <font>
        <b/>
        <i val="0"/>
        <color theme="0"/>
      </font>
      <fill>
        <patternFill>
          <bgColor rgb="FF0046AD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</dxfs>
  <tableStyles count="0" defaultTableStyle="TableStyleMedium2" defaultPivotStyle="PivotStyleLight16"/>
  <colors>
    <mruColors>
      <color rgb="FF0046AD"/>
      <color rgb="FF0D3512"/>
      <color rgb="FF004089"/>
      <color rgb="FF0070C0"/>
      <color rgb="FF8A0000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3948</xdr:colOff>
      <xdr:row>9</xdr:row>
      <xdr:rowOff>76569</xdr:rowOff>
    </xdr:from>
    <xdr:to>
      <xdr:col>48</xdr:col>
      <xdr:colOff>33999</xdr:colOff>
      <xdr:row>27</xdr:row>
      <xdr:rowOff>80629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D393FE51-CF9F-A8EA-ED2C-2970EBFF6B0C}"/>
            </a:ext>
          </a:extLst>
        </xdr:cNvPr>
        <xdr:cNvGrpSpPr/>
      </xdr:nvGrpSpPr>
      <xdr:grpSpPr>
        <a:xfrm>
          <a:off x="184923" y="1791069"/>
          <a:ext cx="8535876" cy="3433060"/>
          <a:chOff x="905103" y="657225"/>
          <a:chExt cx="8539887" cy="3438775"/>
        </a:xfrm>
      </xdr:grpSpPr>
      <xdr:cxnSp macro="">
        <xdr:nvCxnSpPr>
          <xdr:cNvPr id="209" name="Straight Connector 208">
            <a:extLst>
              <a:ext uri="{FF2B5EF4-FFF2-40B4-BE49-F238E27FC236}">
                <a16:creationId xmlns:a16="http://schemas.microsoft.com/office/drawing/2014/main" id="{C8E11B9D-696E-4920-8705-66105C3B96C3}"/>
              </a:ext>
            </a:extLst>
          </xdr:cNvPr>
          <xdr:cNvCxnSpPr>
            <a:stCxn id="6" idx="1"/>
          </xdr:cNvCxnSpPr>
        </xdr:nvCxnSpPr>
        <xdr:spPr>
          <a:xfrm flipV="1">
            <a:off x="1985439" y="962025"/>
            <a:ext cx="7899" cy="2664620"/>
          </a:xfrm>
          <a:prstGeom prst="line">
            <a:avLst/>
          </a:prstGeom>
          <a:ln w="12700">
            <a:solidFill>
              <a:sysClr val="windowText" lastClr="000000"/>
            </a:solidFill>
            <a:prstDash val="sys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8471D865-5F5B-44AE-B6C8-00AE75D09EEA}"/>
              </a:ext>
            </a:extLst>
          </xdr:cNvPr>
          <xdr:cNvSpPr/>
        </xdr:nvSpPr>
        <xdr:spPr>
          <a:xfrm>
            <a:off x="4345099" y="2664341"/>
            <a:ext cx="1085851" cy="212209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2792621 w 2792621"/>
              <a:gd name="connsiteY0" fmla="*/ 11062 h 308252"/>
              <a:gd name="connsiteX1" fmla="*/ 0 w 2792621"/>
              <a:gd name="connsiteY1" fmla="*/ 308252 h 308252"/>
              <a:gd name="connsiteX0" fmla="*/ 2792621 w 2792621"/>
              <a:gd name="connsiteY0" fmla="*/ 10141 h 307331"/>
              <a:gd name="connsiteX1" fmla="*/ 0 w 2792621"/>
              <a:gd name="connsiteY1" fmla="*/ 307331 h 307331"/>
              <a:gd name="connsiteX0" fmla="*/ 2792280 w 2792280"/>
              <a:gd name="connsiteY0" fmla="*/ 11310 h 291018"/>
              <a:gd name="connsiteX1" fmla="*/ 0 w 2792280"/>
              <a:gd name="connsiteY1" fmla="*/ 291018 h 291018"/>
              <a:gd name="connsiteX0" fmla="*/ 2792280 w 2792280"/>
              <a:gd name="connsiteY0" fmla="*/ 3490 h 283198"/>
              <a:gd name="connsiteX1" fmla="*/ 0 w 2792280"/>
              <a:gd name="connsiteY1" fmla="*/ 283198 h 283198"/>
              <a:gd name="connsiteX0" fmla="*/ 2792280 w 2792280"/>
              <a:gd name="connsiteY0" fmla="*/ 46963 h 326671"/>
              <a:gd name="connsiteX1" fmla="*/ 0 w 2792280"/>
              <a:gd name="connsiteY1" fmla="*/ 326671 h 326671"/>
              <a:gd name="connsiteX0" fmla="*/ 2792280 w 2792280"/>
              <a:gd name="connsiteY0" fmla="*/ 51355 h 331063"/>
              <a:gd name="connsiteX1" fmla="*/ 0 w 2792280"/>
              <a:gd name="connsiteY1" fmla="*/ 331063 h 331063"/>
              <a:gd name="connsiteX0" fmla="*/ 2792280 w 2792280"/>
              <a:gd name="connsiteY0" fmla="*/ 31874 h 311582"/>
              <a:gd name="connsiteX1" fmla="*/ 0 w 2792280"/>
              <a:gd name="connsiteY1" fmla="*/ 311582 h 31158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792280" h="311582">
                <a:moveTo>
                  <a:pt x="2792280" y="31874"/>
                </a:moveTo>
                <a:cubicBezTo>
                  <a:pt x="1784531" y="-67617"/>
                  <a:pt x="1144798" y="76898"/>
                  <a:pt x="0" y="311582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8CA4C0FA-D214-47F0-AE1A-3FCFC13C9823}"/>
              </a:ext>
            </a:extLst>
          </xdr:cNvPr>
          <xdr:cNvSpPr/>
        </xdr:nvSpPr>
        <xdr:spPr>
          <a:xfrm>
            <a:off x="1985439" y="3257551"/>
            <a:ext cx="1454786" cy="369105"/>
          </a:xfrm>
          <a:custGeom>
            <a:avLst/>
            <a:gdLst>
              <a:gd name="connsiteX0" fmla="*/ 2415702 w 2494902"/>
              <a:gd name="connsiteY0" fmla="*/ 0 h 453958"/>
              <a:gd name="connsiteX1" fmla="*/ 2196830 w 2494902"/>
              <a:gd name="connsiteY1" fmla="*/ 97277 h 453958"/>
              <a:gd name="connsiteX2" fmla="*/ 0 w 2494902"/>
              <a:gd name="connsiteY2" fmla="*/ 453958 h 453958"/>
              <a:gd name="connsiteX0" fmla="*/ 2415702 w 2423608"/>
              <a:gd name="connsiteY0" fmla="*/ 0 h 453958"/>
              <a:gd name="connsiteX1" fmla="*/ 1374032 w 2423608"/>
              <a:gd name="connsiteY1" fmla="*/ 336415 h 453958"/>
              <a:gd name="connsiteX2" fmla="*/ 0 w 2423608"/>
              <a:gd name="connsiteY2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4002"/>
              <a:gd name="connsiteX1" fmla="*/ 0 w 2415702"/>
              <a:gd name="connsiteY1" fmla="*/ 453958 h 454002"/>
              <a:gd name="connsiteX0" fmla="*/ 2379935 w 2379935"/>
              <a:gd name="connsiteY0" fmla="*/ 0 h 428854"/>
              <a:gd name="connsiteX1" fmla="*/ 0 w 2379935"/>
              <a:gd name="connsiteY1" fmla="*/ 428798 h 428854"/>
              <a:gd name="connsiteX0" fmla="*/ 2408548 w 2408548"/>
              <a:gd name="connsiteY0" fmla="*/ 0 h 443225"/>
              <a:gd name="connsiteX1" fmla="*/ 0 w 2408548"/>
              <a:gd name="connsiteY1" fmla="*/ 443176 h 443225"/>
              <a:gd name="connsiteX0" fmla="*/ 2355469 w 2355469"/>
              <a:gd name="connsiteY0" fmla="*/ 0 h 414666"/>
              <a:gd name="connsiteX1" fmla="*/ 0 w 2355469"/>
              <a:gd name="connsiteY1" fmla="*/ 414601 h 414666"/>
              <a:gd name="connsiteX0" fmla="*/ 2325379 w 2325379"/>
              <a:gd name="connsiteY0" fmla="*/ 0 h 502117"/>
              <a:gd name="connsiteX1" fmla="*/ 0 w 2325379"/>
              <a:gd name="connsiteY1" fmla="*/ 502085 h 502117"/>
              <a:gd name="connsiteX0" fmla="*/ 2325379 w 2325379"/>
              <a:gd name="connsiteY0" fmla="*/ 0 h 607276"/>
              <a:gd name="connsiteX1" fmla="*/ 0 w 2325379"/>
              <a:gd name="connsiteY1" fmla="*/ 607257 h 607276"/>
              <a:gd name="connsiteX0" fmla="*/ 2391577 w 2391577"/>
              <a:gd name="connsiteY0" fmla="*/ 0 h 641643"/>
              <a:gd name="connsiteX1" fmla="*/ 0 w 2391577"/>
              <a:gd name="connsiteY1" fmla="*/ 641627 h 641643"/>
              <a:gd name="connsiteX0" fmla="*/ 2379541 w 2379541"/>
              <a:gd name="connsiteY0" fmla="*/ 0 h 638519"/>
              <a:gd name="connsiteX1" fmla="*/ 0 w 2379541"/>
              <a:gd name="connsiteY1" fmla="*/ 638502 h 638519"/>
              <a:gd name="connsiteX0" fmla="*/ 2388568 w 2388568"/>
              <a:gd name="connsiteY0" fmla="*/ 0 h 638519"/>
              <a:gd name="connsiteX1" fmla="*/ 0 w 2388568"/>
              <a:gd name="connsiteY1" fmla="*/ 638502 h 638519"/>
              <a:gd name="connsiteX0" fmla="*/ 2391577 w 2391577"/>
              <a:gd name="connsiteY0" fmla="*/ 0 h 641644"/>
              <a:gd name="connsiteX1" fmla="*/ 0 w 2391577"/>
              <a:gd name="connsiteY1" fmla="*/ 641627 h 641644"/>
              <a:gd name="connsiteX0" fmla="*/ 2391577 w 2391577"/>
              <a:gd name="connsiteY0" fmla="*/ 0 h 641627"/>
              <a:gd name="connsiteX1" fmla="*/ 0 w 2391577"/>
              <a:gd name="connsiteY1" fmla="*/ 641627 h 64162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77"/>
              <a:gd name="connsiteX1" fmla="*/ 0 w 2414597"/>
              <a:gd name="connsiteY1" fmla="*/ 550347 h 550377"/>
              <a:gd name="connsiteX0" fmla="*/ 2414597 w 2414597"/>
              <a:gd name="connsiteY0" fmla="*/ 0 h 550368"/>
              <a:gd name="connsiteX1" fmla="*/ 0 w 2414597"/>
              <a:gd name="connsiteY1" fmla="*/ 550347 h 550368"/>
              <a:gd name="connsiteX0" fmla="*/ 2414595 w 2414595"/>
              <a:gd name="connsiteY0" fmla="*/ 0 h 533170"/>
              <a:gd name="connsiteX1" fmla="*/ 0 w 2414595"/>
              <a:gd name="connsiteY1" fmla="*/ 533148 h 533170"/>
              <a:gd name="connsiteX0" fmla="*/ 2414595 w 2414595"/>
              <a:gd name="connsiteY0" fmla="*/ 0 h 533164"/>
              <a:gd name="connsiteX1" fmla="*/ 0 w 2414595"/>
              <a:gd name="connsiteY1" fmla="*/ 533148 h 53316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414595" h="533164">
                <a:moveTo>
                  <a:pt x="2414595" y="0"/>
                </a:moveTo>
                <a:cubicBezTo>
                  <a:pt x="1880463" y="193889"/>
                  <a:pt x="1017293" y="535895"/>
                  <a:pt x="0" y="533148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A9A7AEEE-E635-4F7B-8531-06CE94E5D7FC}"/>
              </a:ext>
            </a:extLst>
          </xdr:cNvPr>
          <xdr:cNvCxnSpPr>
            <a:cxnSpLocks/>
            <a:stCxn id="6" idx="1"/>
          </xdr:cNvCxnSpPr>
        </xdr:nvCxnSpPr>
        <xdr:spPr>
          <a:xfrm flipH="1" flipV="1">
            <a:off x="905894" y="3626643"/>
            <a:ext cx="1079545" cy="2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334166BC-0D15-4E95-8995-0CE587338A20}"/>
              </a:ext>
            </a:extLst>
          </xdr:cNvPr>
          <xdr:cNvCxnSpPr/>
        </xdr:nvCxnSpPr>
        <xdr:spPr>
          <a:xfrm>
            <a:off x="3440225" y="2114550"/>
            <a:ext cx="916288" cy="333883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3C124905-C1A3-4C2D-BC85-974C8B5AF403}"/>
              </a:ext>
            </a:extLst>
          </xdr:cNvPr>
          <xdr:cNvCxnSpPr>
            <a:cxnSpLocks/>
          </xdr:cNvCxnSpPr>
        </xdr:nvCxnSpPr>
        <xdr:spPr>
          <a:xfrm flipH="1">
            <a:off x="905103" y="1912143"/>
            <a:ext cx="1086008" cy="0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D177C8CC-75CB-4109-AD84-6B4C625EAF43}"/>
              </a:ext>
            </a:extLst>
          </xdr:cNvPr>
          <xdr:cNvCxnSpPr/>
        </xdr:nvCxnSpPr>
        <xdr:spPr>
          <a:xfrm flipH="1">
            <a:off x="3440225" y="2876550"/>
            <a:ext cx="904874" cy="381000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DD437784-312D-4457-B3C3-4B6F057E0354}"/>
              </a:ext>
            </a:extLst>
          </xdr:cNvPr>
          <xdr:cNvCxnSpPr/>
        </xdr:nvCxnSpPr>
        <xdr:spPr>
          <a:xfrm flipH="1">
            <a:off x="8680053" y="2997884"/>
            <a:ext cx="730781" cy="214838"/>
          </a:xfrm>
          <a:prstGeom prst="line">
            <a:avLst/>
          </a:prstGeom>
          <a:ln>
            <a:headEnd type="none" w="lg" len="med"/>
            <a:tailEnd type="oval" w="med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E652B3D1-B0A4-45D0-82EB-C2AD2FDC997B}"/>
              </a:ext>
            </a:extLst>
          </xdr:cNvPr>
          <xdr:cNvGrpSpPr/>
        </xdr:nvGrpSpPr>
        <xdr:grpSpPr>
          <a:xfrm>
            <a:off x="9377016" y="2869698"/>
            <a:ext cx="67974" cy="247650"/>
            <a:chOff x="11894820" y="3326130"/>
            <a:chExt cx="240030" cy="632460"/>
          </a:xfrm>
        </xdr:grpSpPr>
        <xdr:cxnSp macro="">
          <xdr:nvCxnSpPr>
            <xdr:cNvPr id="51" name="Straight Connector 50">
              <a:extLst>
                <a:ext uri="{FF2B5EF4-FFF2-40B4-BE49-F238E27FC236}">
                  <a16:creationId xmlns:a16="http://schemas.microsoft.com/office/drawing/2014/main" id="{D2CBCEC4-C7FA-2A50-F5EB-7A45A13E9E9C}"/>
                </a:ext>
              </a:extLst>
            </xdr:cNvPr>
            <xdr:cNvCxnSpPr/>
          </xdr:nvCxnSpPr>
          <xdr:spPr>
            <a:xfrm>
              <a:off x="12012930" y="3326130"/>
              <a:ext cx="0" cy="20955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2" name="Straight Connector 51">
              <a:extLst>
                <a:ext uri="{FF2B5EF4-FFF2-40B4-BE49-F238E27FC236}">
                  <a16:creationId xmlns:a16="http://schemas.microsoft.com/office/drawing/2014/main" id="{5D5C4FF4-434F-180A-81E1-0E28C8079331}"/>
                </a:ext>
              </a:extLst>
            </xdr:cNvPr>
            <xdr:cNvCxnSpPr/>
          </xdr:nvCxnSpPr>
          <xdr:spPr>
            <a:xfrm>
              <a:off x="12012931" y="3539491"/>
              <a:ext cx="118111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3" name="Straight Connector 52">
              <a:extLst>
                <a:ext uri="{FF2B5EF4-FFF2-40B4-BE49-F238E27FC236}">
                  <a16:creationId xmlns:a16="http://schemas.microsoft.com/office/drawing/2014/main" id="{0DA5CC10-2D08-18CF-C346-C49853CE723B}"/>
                </a:ext>
              </a:extLst>
            </xdr:cNvPr>
            <xdr:cNvCxnSpPr/>
          </xdr:nvCxnSpPr>
          <xdr:spPr>
            <a:xfrm flipH="1">
              <a:off x="11894820" y="3547110"/>
              <a:ext cx="240030" cy="2400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4" name="Straight Connector 53">
              <a:extLst>
                <a:ext uri="{FF2B5EF4-FFF2-40B4-BE49-F238E27FC236}">
                  <a16:creationId xmlns:a16="http://schemas.microsoft.com/office/drawing/2014/main" id="{95087EBB-A8C5-5709-E431-192E3F388B2E}"/>
                </a:ext>
              </a:extLst>
            </xdr:cNvPr>
            <xdr:cNvCxnSpPr/>
          </xdr:nvCxnSpPr>
          <xdr:spPr>
            <a:xfrm>
              <a:off x="11898630" y="3787140"/>
              <a:ext cx="118110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Straight Connector 54">
              <a:extLst>
                <a:ext uri="{FF2B5EF4-FFF2-40B4-BE49-F238E27FC236}">
                  <a16:creationId xmlns:a16="http://schemas.microsoft.com/office/drawing/2014/main" id="{EF5CD19F-94FD-2726-8266-EEEE71EC8BD1}"/>
                </a:ext>
              </a:extLst>
            </xdr:cNvPr>
            <xdr:cNvCxnSpPr/>
          </xdr:nvCxnSpPr>
          <xdr:spPr>
            <a:xfrm>
              <a:off x="12016740" y="3794760"/>
              <a:ext cx="0" cy="1638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5B2D6263-EE45-4B78-98CA-852A7624C263}"/>
              </a:ext>
            </a:extLst>
          </xdr:cNvPr>
          <xdr:cNvCxnSpPr/>
        </xdr:nvCxnSpPr>
        <xdr:spPr>
          <a:xfrm flipV="1">
            <a:off x="8687693" y="2583223"/>
            <a:ext cx="0" cy="487540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4" name="Freeform: Shape 83">
            <a:extLst>
              <a:ext uri="{FF2B5EF4-FFF2-40B4-BE49-F238E27FC236}">
                <a16:creationId xmlns:a16="http://schemas.microsoft.com/office/drawing/2014/main" id="{645459B5-0EF5-436E-9B24-75C917A52E2A}"/>
              </a:ext>
            </a:extLst>
          </xdr:cNvPr>
          <xdr:cNvSpPr/>
        </xdr:nvSpPr>
        <xdr:spPr>
          <a:xfrm flipH="1" flipV="1">
            <a:off x="7687938" y="3068203"/>
            <a:ext cx="461284" cy="469624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610798 w 610798"/>
              <a:gd name="connsiteY0" fmla="*/ 722197 h 722197"/>
              <a:gd name="connsiteX1" fmla="*/ 0 w 610798"/>
              <a:gd name="connsiteY1" fmla="*/ 38 h 722197"/>
              <a:gd name="connsiteX0" fmla="*/ 610798 w 610798"/>
              <a:gd name="connsiteY0" fmla="*/ 722205 h 722205"/>
              <a:gd name="connsiteX1" fmla="*/ 0 w 610798"/>
              <a:gd name="connsiteY1" fmla="*/ 46 h 722205"/>
              <a:gd name="connsiteX0" fmla="*/ 616492 w 616492"/>
              <a:gd name="connsiteY0" fmla="*/ 709108 h 709108"/>
              <a:gd name="connsiteX1" fmla="*/ 0 w 616492"/>
              <a:gd name="connsiteY1" fmla="*/ 48 h 709108"/>
              <a:gd name="connsiteX0" fmla="*/ 616492 w 616492"/>
              <a:gd name="connsiteY0" fmla="*/ 349563 h 349563"/>
              <a:gd name="connsiteX1" fmla="*/ 0 w 616492"/>
              <a:gd name="connsiteY1" fmla="*/ 607 h 349563"/>
              <a:gd name="connsiteX0" fmla="*/ 624038 w 624038"/>
              <a:gd name="connsiteY0" fmla="*/ 397023 h 397023"/>
              <a:gd name="connsiteX1" fmla="*/ 0 w 624038"/>
              <a:gd name="connsiteY1" fmla="*/ 256 h 397023"/>
              <a:gd name="connsiteX0" fmla="*/ 608944 w 608944"/>
              <a:gd name="connsiteY0" fmla="*/ 384034 h 384035"/>
              <a:gd name="connsiteX1" fmla="*/ 0 w 608944"/>
              <a:gd name="connsiteY1" fmla="*/ 306 h 38403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608944" h="384035">
                <a:moveTo>
                  <a:pt x="608944" y="384034"/>
                </a:moveTo>
                <a:cubicBezTo>
                  <a:pt x="487343" y="48436"/>
                  <a:pt x="367416" y="-4690"/>
                  <a:pt x="0" y="306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1A072B70-5288-4E3F-83FB-52CA0DA44217}"/>
              </a:ext>
            </a:extLst>
          </xdr:cNvPr>
          <xdr:cNvCxnSpPr/>
        </xdr:nvCxnSpPr>
        <xdr:spPr>
          <a:xfrm flipV="1">
            <a:off x="5795779" y="962025"/>
            <a:ext cx="0" cy="1714500"/>
          </a:xfrm>
          <a:prstGeom prst="line">
            <a:avLst/>
          </a:prstGeom>
          <a:ln w="9525">
            <a:solidFill>
              <a:schemeClr val="tx1">
                <a:lumMod val="85000"/>
                <a:lumOff val="15000"/>
              </a:schemeClr>
            </a:solidFill>
            <a:prstDash val="lgDashDot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A4CCBF9C-890F-4D2B-9EC2-B31172247D4C}"/>
              </a:ext>
            </a:extLst>
          </xdr:cNvPr>
          <xdr:cNvCxnSpPr>
            <a:stCxn id="148" idx="0"/>
          </xdr:cNvCxnSpPr>
        </xdr:nvCxnSpPr>
        <xdr:spPr>
          <a:xfrm flipH="1" flipV="1">
            <a:off x="5429383" y="1343025"/>
            <a:ext cx="733" cy="1343026"/>
          </a:xfrm>
          <a:prstGeom prst="line">
            <a:avLst/>
          </a:prstGeom>
          <a:ln w="15875">
            <a:solidFill>
              <a:schemeClr val="tx1">
                <a:lumMod val="85000"/>
                <a:lumOff val="15000"/>
              </a:schemeClr>
            </a:solidFill>
            <a:prstDash val="lgDashDotDot"/>
            <a:tailEnd w="lg" len="sm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Arrow Connector 108">
            <a:extLst>
              <a:ext uri="{FF2B5EF4-FFF2-40B4-BE49-F238E27FC236}">
                <a16:creationId xmlns:a16="http://schemas.microsoft.com/office/drawing/2014/main" id="{4B27C9CB-5DAF-47E8-88F6-225C1395E055}"/>
              </a:ext>
            </a:extLst>
          </xdr:cNvPr>
          <xdr:cNvCxnSpPr/>
        </xdr:nvCxnSpPr>
        <xdr:spPr>
          <a:xfrm>
            <a:off x="5428685" y="1533525"/>
            <a:ext cx="361950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Freeform: Shape 110">
            <a:extLst>
              <a:ext uri="{FF2B5EF4-FFF2-40B4-BE49-F238E27FC236}">
                <a16:creationId xmlns:a16="http://schemas.microsoft.com/office/drawing/2014/main" id="{62ED55EF-A412-43CC-97F3-B607D4F72B60}"/>
              </a:ext>
            </a:extLst>
          </xdr:cNvPr>
          <xdr:cNvSpPr/>
        </xdr:nvSpPr>
        <xdr:spPr>
          <a:xfrm>
            <a:off x="5229224" y="657225"/>
            <a:ext cx="380480" cy="876300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846516 w 846516"/>
              <a:gd name="connsiteY0" fmla="*/ 674812 h 674812"/>
              <a:gd name="connsiteX1" fmla="*/ 0 w 846516"/>
              <a:gd name="connsiteY1" fmla="*/ 17092 h 674812"/>
              <a:gd name="connsiteX0" fmla="*/ 846516 w 846516"/>
              <a:gd name="connsiteY0" fmla="*/ 657720 h 657720"/>
              <a:gd name="connsiteX1" fmla="*/ 0 w 846516"/>
              <a:gd name="connsiteY1" fmla="*/ 0 h 65772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60808" h="1655280">
                <a:moveTo>
                  <a:pt x="460808" y="1655280"/>
                </a:moveTo>
                <a:cubicBezTo>
                  <a:pt x="284146" y="518580"/>
                  <a:pt x="396380" y="53352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112" name="Freeform: Shape 111">
            <a:extLst>
              <a:ext uri="{FF2B5EF4-FFF2-40B4-BE49-F238E27FC236}">
                <a16:creationId xmlns:a16="http://schemas.microsoft.com/office/drawing/2014/main" id="{E0F79CFB-8CB0-453F-8C91-2B82E355DF58}"/>
              </a:ext>
            </a:extLst>
          </xdr:cNvPr>
          <xdr:cNvSpPr/>
        </xdr:nvSpPr>
        <xdr:spPr>
          <a:xfrm flipH="1">
            <a:off x="5795779" y="1813926"/>
            <a:ext cx="337230" cy="10059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31513 w 531513"/>
              <a:gd name="connsiteY0" fmla="*/ 1236146 h 1236146"/>
              <a:gd name="connsiteX1" fmla="*/ 0 w 531513"/>
              <a:gd name="connsiteY1" fmla="*/ 45 h 12361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531513" h="1236146">
                <a:moveTo>
                  <a:pt x="531513" y="1236146"/>
                </a:moveTo>
                <a:cubicBezTo>
                  <a:pt x="190170" y="405766"/>
                  <a:pt x="367416" y="-4951"/>
                  <a:pt x="0" y="45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DF2FCAE4-6DEB-4168-B262-95EF146178C8}"/>
              </a:ext>
            </a:extLst>
          </xdr:cNvPr>
          <xdr:cNvCxnSpPr/>
        </xdr:nvCxnSpPr>
        <xdr:spPr>
          <a:xfrm>
            <a:off x="5795779" y="1146918"/>
            <a:ext cx="2895601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Connector 115">
            <a:extLst>
              <a:ext uri="{FF2B5EF4-FFF2-40B4-BE49-F238E27FC236}">
                <a16:creationId xmlns:a16="http://schemas.microsoft.com/office/drawing/2014/main" id="{53178313-0391-4137-8A87-004D64767F61}"/>
              </a:ext>
            </a:extLst>
          </xdr:cNvPr>
          <xdr:cNvCxnSpPr/>
        </xdr:nvCxnSpPr>
        <xdr:spPr>
          <a:xfrm flipV="1">
            <a:off x="8687693" y="962025"/>
            <a:ext cx="0" cy="950118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Freeform: Shape 147">
            <a:extLst>
              <a:ext uri="{FF2B5EF4-FFF2-40B4-BE49-F238E27FC236}">
                <a16:creationId xmlns:a16="http://schemas.microsoft.com/office/drawing/2014/main" id="{A4651001-03E7-BF5A-6E4F-BE68FBD000F9}"/>
              </a:ext>
            </a:extLst>
          </xdr:cNvPr>
          <xdr:cNvSpPr/>
        </xdr:nvSpPr>
        <xdr:spPr>
          <a:xfrm>
            <a:off x="4338406" y="2442481"/>
            <a:ext cx="1091709" cy="243570"/>
          </a:xfrm>
          <a:custGeom>
            <a:avLst/>
            <a:gdLst>
              <a:gd name="connsiteX0" fmla="*/ 1066122 w 1066122"/>
              <a:gd name="connsiteY0" fmla="*/ 290763 h 290763"/>
              <a:gd name="connsiteX1" fmla="*/ 414412 w 1066122"/>
              <a:gd name="connsiteY1" fmla="*/ 260684 h 290763"/>
              <a:gd name="connsiteX2" fmla="*/ 3333 w 1066122"/>
              <a:gd name="connsiteY2" fmla="*/ 110289 h 290763"/>
              <a:gd name="connsiteX3" fmla="*/ 253990 w 1066122"/>
              <a:gd name="connsiteY3" fmla="*/ 0 h 290763"/>
              <a:gd name="connsiteX0" fmla="*/ 1062789 w 1062789"/>
              <a:gd name="connsiteY0" fmla="*/ 180474 h 180474"/>
              <a:gd name="connsiteX1" fmla="*/ 411079 w 1062789"/>
              <a:gd name="connsiteY1" fmla="*/ 150395 h 180474"/>
              <a:gd name="connsiteX2" fmla="*/ 0 w 1062789"/>
              <a:gd name="connsiteY2" fmla="*/ 0 h 180474"/>
              <a:gd name="connsiteX0" fmla="*/ 1062789 w 1062789"/>
              <a:gd name="connsiteY0" fmla="*/ 180474 h 184272"/>
              <a:gd name="connsiteX1" fmla="*/ 355687 w 1062789"/>
              <a:gd name="connsiteY1" fmla="*/ 165511 h 184272"/>
              <a:gd name="connsiteX2" fmla="*/ 0 w 1062789"/>
              <a:gd name="connsiteY2" fmla="*/ 0 h 184272"/>
              <a:gd name="connsiteX0" fmla="*/ 1062789 w 1062789"/>
              <a:gd name="connsiteY0" fmla="*/ 180474 h 180474"/>
              <a:gd name="connsiteX1" fmla="*/ 373723 w 1062789"/>
              <a:gd name="connsiteY1" fmla="*/ 118785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77662 w 1077662"/>
              <a:gd name="connsiteY0" fmla="*/ 185486 h 185486"/>
              <a:gd name="connsiteX1" fmla="*/ 0 w 1077662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  <a:gd name="connsiteX0" fmla="*/ 918696 w 918696"/>
              <a:gd name="connsiteY0" fmla="*/ 205539 h 205539"/>
              <a:gd name="connsiteX1" fmla="*/ 0 w 918696"/>
              <a:gd name="connsiteY1" fmla="*/ 0 h 205539"/>
              <a:gd name="connsiteX0" fmla="*/ 918696 w 918696"/>
              <a:gd name="connsiteY0" fmla="*/ 205539 h 205539"/>
              <a:gd name="connsiteX1" fmla="*/ 0 w 918696"/>
              <a:gd name="connsiteY1" fmla="*/ 0 h 205539"/>
              <a:gd name="connsiteX0" fmla="*/ 918696 w 918696"/>
              <a:gd name="connsiteY0" fmla="*/ 205539 h 205539"/>
              <a:gd name="connsiteX1" fmla="*/ 0 w 918696"/>
              <a:gd name="connsiteY1" fmla="*/ 0 h 205539"/>
              <a:gd name="connsiteX0" fmla="*/ 900639 w 900639"/>
              <a:gd name="connsiteY0" fmla="*/ 191162 h 191162"/>
              <a:gd name="connsiteX1" fmla="*/ 0 w 900639"/>
              <a:gd name="connsiteY1" fmla="*/ 0 h 1911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900639" h="191162">
                <a:moveTo>
                  <a:pt x="900639" y="191162"/>
                </a:moveTo>
                <a:cubicBezTo>
                  <a:pt x="577613" y="138810"/>
                  <a:pt x="444271" y="129302"/>
                  <a:pt x="0" y="0"/>
                </a:cubicBezTo>
              </a:path>
            </a:pathLst>
          </a:custGeom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Freeform: Shape 159">
            <a:extLst>
              <a:ext uri="{FF2B5EF4-FFF2-40B4-BE49-F238E27FC236}">
                <a16:creationId xmlns:a16="http://schemas.microsoft.com/office/drawing/2014/main" id="{6F66EBFD-C382-4AD1-87FA-06EFFFD1192B}"/>
              </a:ext>
            </a:extLst>
          </xdr:cNvPr>
          <xdr:cNvSpPr/>
        </xdr:nvSpPr>
        <xdr:spPr>
          <a:xfrm>
            <a:off x="1993337" y="1912095"/>
            <a:ext cx="1446887" cy="202455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3251375 w 3251375"/>
              <a:gd name="connsiteY0" fmla="*/ 361973 h 361972"/>
              <a:gd name="connsiteX1" fmla="*/ 0 w 3251375"/>
              <a:gd name="connsiteY1" fmla="*/ 69841 h 361972"/>
              <a:gd name="connsiteX0" fmla="*/ 3715857 w 3715857"/>
              <a:gd name="connsiteY0" fmla="*/ 350852 h 350853"/>
              <a:gd name="connsiteX1" fmla="*/ 0 w 3715857"/>
              <a:gd name="connsiteY1" fmla="*/ 71146 h 350853"/>
              <a:gd name="connsiteX0" fmla="*/ 3715857 w 3715857"/>
              <a:gd name="connsiteY0" fmla="*/ 365062 h 365062"/>
              <a:gd name="connsiteX1" fmla="*/ 0 w 3715857"/>
              <a:gd name="connsiteY1" fmla="*/ 85356 h 365062"/>
              <a:gd name="connsiteX0" fmla="*/ 3715857 w 3715857"/>
              <a:gd name="connsiteY0" fmla="*/ 279706 h 279706"/>
              <a:gd name="connsiteX1" fmla="*/ 0 w 3715857"/>
              <a:gd name="connsiteY1" fmla="*/ 0 h 279706"/>
              <a:gd name="connsiteX0" fmla="*/ 3715857 w 3715857"/>
              <a:gd name="connsiteY0" fmla="*/ 279784 h 279784"/>
              <a:gd name="connsiteX1" fmla="*/ 0 w 3715857"/>
              <a:gd name="connsiteY1" fmla="*/ 78 h 279784"/>
              <a:gd name="connsiteX0" fmla="*/ 3715514 w 3715514"/>
              <a:gd name="connsiteY0" fmla="*/ 297261 h 297261"/>
              <a:gd name="connsiteX1" fmla="*/ 0 w 3715514"/>
              <a:gd name="connsiteY1" fmla="*/ 69 h 2972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3715514" h="297261">
                <a:moveTo>
                  <a:pt x="3715514" y="297261"/>
                </a:moveTo>
                <a:cubicBezTo>
                  <a:pt x="2877150" y="128885"/>
                  <a:pt x="1407862" y="-3456"/>
                  <a:pt x="0" y="69"/>
                </a:cubicBezTo>
              </a:path>
            </a:pathLst>
          </a:custGeom>
          <a:ln/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12" name="Straight Connector 211">
            <a:extLst>
              <a:ext uri="{FF2B5EF4-FFF2-40B4-BE49-F238E27FC236}">
                <a16:creationId xmlns:a16="http://schemas.microsoft.com/office/drawing/2014/main" id="{2313632F-E1FA-4BFC-9160-EC52A19D020A}"/>
              </a:ext>
            </a:extLst>
          </xdr:cNvPr>
          <xdr:cNvCxnSpPr/>
        </xdr:nvCxnSpPr>
        <xdr:spPr>
          <a:xfrm>
            <a:off x="1086714" y="1924050"/>
            <a:ext cx="0" cy="1714500"/>
          </a:xfrm>
          <a:prstGeom prst="line">
            <a:avLst/>
          </a:prstGeom>
          <a:ln w="9525">
            <a:solidFill>
              <a:sysClr val="windowText" lastClr="000000"/>
            </a:solidFill>
            <a:headEnd type="stealth" w="med" len="med"/>
            <a:tailEnd type="stealth" w="med" len="med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16" name="Straight Connector 215">
            <a:extLst>
              <a:ext uri="{FF2B5EF4-FFF2-40B4-BE49-F238E27FC236}">
                <a16:creationId xmlns:a16="http://schemas.microsoft.com/office/drawing/2014/main" id="{A2339384-D15A-BD55-4B81-2EAE4C668FC0}"/>
              </a:ext>
            </a:extLst>
          </xdr:cNvPr>
          <xdr:cNvCxnSpPr/>
        </xdr:nvCxnSpPr>
        <xdr:spPr>
          <a:xfrm>
            <a:off x="1849855" y="1440906"/>
            <a:ext cx="105276" cy="375987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F785E7E9-EA6F-B43D-E932-9213C0038149}"/>
              </a:ext>
            </a:extLst>
          </xdr:cNvPr>
          <xdr:cNvCxnSpPr/>
        </xdr:nvCxnSpPr>
        <xdr:spPr>
          <a:xfrm flipV="1">
            <a:off x="1849855" y="3704034"/>
            <a:ext cx="120629" cy="391966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4" name="Straight Arrow Connector 223">
            <a:extLst>
              <a:ext uri="{FF2B5EF4-FFF2-40B4-BE49-F238E27FC236}">
                <a16:creationId xmlns:a16="http://schemas.microsoft.com/office/drawing/2014/main" id="{212E001C-170E-4F45-94FF-F0F37321AE32}"/>
              </a:ext>
            </a:extLst>
          </xdr:cNvPr>
          <xdr:cNvCxnSpPr/>
        </xdr:nvCxnSpPr>
        <xdr:spPr>
          <a:xfrm>
            <a:off x="3701143" y="2158093"/>
            <a:ext cx="498943" cy="161624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Straight Arrow Connector 228">
            <a:extLst>
              <a:ext uri="{FF2B5EF4-FFF2-40B4-BE49-F238E27FC236}">
                <a16:creationId xmlns:a16="http://schemas.microsoft.com/office/drawing/2014/main" id="{8908B034-94F6-9A60-5F71-BC184D0041ED}"/>
              </a:ext>
            </a:extLst>
          </xdr:cNvPr>
          <xdr:cNvCxnSpPr/>
        </xdr:nvCxnSpPr>
        <xdr:spPr>
          <a:xfrm flipH="1">
            <a:off x="3596370" y="2914650"/>
            <a:ext cx="477610" cy="201386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2" name="Freeform: Shape 231">
            <a:extLst>
              <a:ext uri="{FF2B5EF4-FFF2-40B4-BE49-F238E27FC236}">
                <a16:creationId xmlns:a16="http://schemas.microsoft.com/office/drawing/2014/main" id="{495527CB-B0B1-A772-0EDC-08EB5F71B5C1}"/>
              </a:ext>
            </a:extLst>
          </xdr:cNvPr>
          <xdr:cNvSpPr/>
        </xdr:nvSpPr>
        <xdr:spPr>
          <a:xfrm flipV="1">
            <a:off x="3673699" y="2264837"/>
            <a:ext cx="298770" cy="332745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962992 w 962992"/>
              <a:gd name="connsiteY0" fmla="*/ 1473730 h 1473730"/>
              <a:gd name="connsiteX1" fmla="*/ 0 w 962992"/>
              <a:gd name="connsiteY1" fmla="*/ 12698 h 1473730"/>
              <a:gd name="connsiteX0" fmla="*/ 928004 w 928004"/>
              <a:gd name="connsiteY0" fmla="*/ 1500527 h 1500527"/>
              <a:gd name="connsiteX1" fmla="*/ 0 w 928004"/>
              <a:gd name="connsiteY1" fmla="*/ 9901 h 1500527"/>
              <a:gd name="connsiteX0" fmla="*/ 893016 w 893016"/>
              <a:gd name="connsiteY0" fmla="*/ 1447494 h 1447494"/>
              <a:gd name="connsiteX1" fmla="*/ 0 w 893016"/>
              <a:gd name="connsiteY1" fmla="*/ 16061 h 14474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93016" h="1447494">
                <a:moveTo>
                  <a:pt x="893016" y="1447494"/>
                </a:moveTo>
                <a:cubicBezTo>
                  <a:pt x="436228" y="-203701"/>
                  <a:pt x="145828" y="92"/>
                  <a:pt x="0" y="16061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233" name="Freeform: Shape 232">
            <a:extLst>
              <a:ext uri="{FF2B5EF4-FFF2-40B4-BE49-F238E27FC236}">
                <a16:creationId xmlns:a16="http://schemas.microsoft.com/office/drawing/2014/main" id="{A3788F1B-527F-4430-9989-67C01D0BBC2B}"/>
              </a:ext>
            </a:extLst>
          </xdr:cNvPr>
          <xdr:cNvSpPr/>
        </xdr:nvSpPr>
        <xdr:spPr>
          <a:xfrm>
            <a:off x="3684674" y="2601369"/>
            <a:ext cx="270375" cy="366918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765431 w 765431"/>
              <a:gd name="connsiteY0" fmla="*/ 1581601 h 1581601"/>
              <a:gd name="connsiteX1" fmla="*/ 0 w 765431"/>
              <a:gd name="connsiteY1" fmla="*/ 4550 h 1581601"/>
              <a:gd name="connsiteX0" fmla="*/ 736311 w 736311"/>
              <a:gd name="connsiteY0" fmla="*/ 1613579 h 1613579"/>
              <a:gd name="connsiteX1" fmla="*/ 0 w 736311"/>
              <a:gd name="connsiteY1" fmla="*/ 3380 h 1613579"/>
              <a:gd name="connsiteX0" fmla="*/ 736311 w 736311"/>
              <a:gd name="connsiteY0" fmla="*/ 1610199 h 1610199"/>
              <a:gd name="connsiteX1" fmla="*/ 0 w 736311"/>
              <a:gd name="connsiteY1" fmla="*/ 0 h 1610199"/>
              <a:gd name="connsiteX0" fmla="*/ 910298 w 910298"/>
              <a:gd name="connsiteY0" fmla="*/ 1596152 h 1596152"/>
              <a:gd name="connsiteX1" fmla="*/ 0 w 910298"/>
              <a:gd name="connsiteY1" fmla="*/ 0 h 1596152"/>
              <a:gd name="connsiteX0" fmla="*/ 857773 w 857773"/>
              <a:gd name="connsiteY0" fmla="*/ 1596152 h 1596152"/>
              <a:gd name="connsiteX1" fmla="*/ 0 w 857773"/>
              <a:gd name="connsiteY1" fmla="*/ 0 h 15961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57773" h="1596152">
                <a:moveTo>
                  <a:pt x="857773" y="1596152"/>
                </a:moveTo>
                <a:cubicBezTo>
                  <a:pt x="400985" y="-55043"/>
                  <a:pt x="252599" y="33753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63" name="Straight Connector 262">
            <a:extLst>
              <a:ext uri="{FF2B5EF4-FFF2-40B4-BE49-F238E27FC236}">
                <a16:creationId xmlns:a16="http://schemas.microsoft.com/office/drawing/2014/main" id="{D41571AA-59E2-4455-A2BD-594A4CFE61B7}"/>
              </a:ext>
            </a:extLst>
          </xdr:cNvPr>
          <xdr:cNvCxnSpPr/>
        </xdr:nvCxnSpPr>
        <xdr:spPr>
          <a:xfrm flipH="1" flipV="1">
            <a:off x="5474369" y="2746208"/>
            <a:ext cx="473898" cy="987920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5" name="Straight Arrow Connector 274">
            <a:extLst>
              <a:ext uri="{FF2B5EF4-FFF2-40B4-BE49-F238E27FC236}">
                <a16:creationId xmlns:a16="http://schemas.microsoft.com/office/drawing/2014/main" id="{416C72EC-B633-5E40-7E9D-C5852335A0A4}"/>
              </a:ext>
            </a:extLst>
          </xdr:cNvPr>
          <xdr:cNvCxnSpPr/>
        </xdr:nvCxnSpPr>
        <xdr:spPr>
          <a:xfrm>
            <a:off x="2002415" y="1146918"/>
            <a:ext cx="3793364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B17433D1-8D4F-41A2-BE04-904B8DCA2505}"/>
              </a:ext>
            </a:extLst>
          </xdr:cNvPr>
          <xdr:cNvCxnSpPr>
            <a:cxnSpLocks/>
          </xdr:cNvCxnSpPr>
        </xdr:nvCxnSpPr>
        <xdr:spPr>
          <a:xfrm flipH="1" flipV="1">
            <a:off x="5430116" y="2686050"/>
            <a:ext cx="3242698" cy="526672"/>
          </a:xfrm>
          <a:prstGeom prst="line">
            <a:avLst/>
          </a:prstGeom>
          <a:ln cap="rnd">
            <a:round/>
            <a:headEnd type="none" w="lg" len="med"/>
            <a:tailEnd type="diamond" w="lg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16566</xdr:colOff>
      <xdr:row>14</xdr:row>
      <xdr:rowOff>107676</xdr:rowOff>
    </xdr:from>
    <xdr:to>
      <xdr:col>26</xdr:col>
      <xdr:colOff>34237</xdr:colOff>
      <xdr:row>15</xdr:row>
      <xdr:rowOff>41273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5BFE9E8D-2E59-4E47-8760-031BCAD18348}"/>
            </a:ext>
          </a:extLst>
        </xdr:cNvPr>
        <xdr:cNvSpPr/>
      </xdr:nvSpPr>
      <xdr:spPr>
        <a:xfrm>
          <a:off x="4389783" y="2782959"/>
          <a:ext cx="364961" cy="127907"/>
        </a:xfrm>
        <a:custGeom>
          <a:avLst/>
          <a:gdLst>
            <a:gd name="connsiteX0" fmla="*/ 480391 w 480391"/>
            <a:gd name="connsiteY0" fmla="*/ 211759 h 211759"/>
            <a:gd name="connsiteX1" fmla="*/ 215347 w 480391"/>
            <a:gd name="connsiteY1" fmla="*/ 21259 h 211759"/>
            <a:gd name="connsiteX2" fmla="*/ 0 w 480391"/>
            <a:gd name="connsiteY2" fmla="*/ 12976 h 211759"/>
            <a:gd name="connsiteX0" fmla="*/ 610798 w 610798"/>
            <a:gd name="connsiteY0" fmla="*/ 336746 h 336746"/>
            <a:gd name="connsiteX1" fmla="*/ 345754 w 610798"/>
            <a:gd name="connsiteY1" fmla="*/ 146246 h 336746"/>
            <a:gd name="connsiteX2" fmla="*/ 0 w 610798"/>
            <a:gd name="connsiteY2" fmla="*/ 1041 h 336746"/>
            <a:gd name="connsiteX0" fmla="*/ 610798 w 610798"/>
            <a:gd name="connsiteY0" fmla="*/ 337678 h 337678"/>
            <a:gd name="connsiteX1" fmla="*/ 405030 w 610798"/>
            <a:gd name="connsiteY1" fmla="*/ 93600 h 337678"/>
            <a:gd name="connsiteX2" fmla="*/ 0 w 610798"/>
            <a:gd name="connsiteY2" fmla="*/ 1973 h 337678"/>
            <a:gd name="connsiteX0" fmla="*/ 610798 w 610798"/>
            <a:gd name="connsiteY0" fmla="*/ 335705 h 335705"/>
            <a:gd name="connsiteX1" fmla="*/ 0 w 610798"/>
            <a:gd name="connsiteY1" fmla="*/ 0 h 335705"/>
            <a:gd name="connsiteX0" fmla="*/ 610798 w 610798"/>
            <a:gd name="connsiteY0" fmla="*/ 335785 h 335785"/>
            <a:gd name="connsiteX1" fmla="*/ 0 w 610798"/>
            <a:gd name="connsiteY1" fmla="*/ 80 h 335785"/>
            <a:gd name="connsiteX0" fmla="*/ 610798 w 610798"/>
            <a:gd name="connsiteY0" fmla="*/ 335900 h 335900"/>
            <a:gd name="connsiteX1" fmla="*/ 0 w 610798"/>
            <a:gd name="connsiteY1" fmla="*/ 195 h 335900"/>
            <a:gd name="connsiteX0" fmla="*/ 564130 w 564130"/>
            <a:gd name="connsiteY0" fmla="*/ 1202281 h 1202281"/>
            <a:gd name="connsiteX1" fmla="*/ 0 w 564130"/>
            <a:gd name="connsiteY1" fmla="*/ 18 h 1202281"/>
            <a:gd name="connsiteX0" fmla="*/ 573697 w 573697"/>
            <a:gd name="connsiteY0" fmla="*/ 1236118 h 1236118"/>
            <a:gd name="connsiteX1" fmla="*/ 0 w 573697"/>
            <a:gd name="connsiteY1" fmla="*/ 18 h 1236118"/>
            <a:gd name="connsiteX0" fmla="*/ 573697 w 573697"/>
            <a:gd name="connsiteY0" fmla="*/ 1236146 h 1236146"/>
            <a:gd name="connsiteX1" fmla="*/ 0 w 573697"/>
            <a:gd name="connsiteY1" fmla="*/ 46 h 1236146"/>
            <a:gd name="connsiteX0" fmla="*/ 531513 w 531513"/>
            <a:gd name="connsiteY0" fmla="*/ 1236146 h 1236146"/>
            <a:gd name="connsiteX1" fmla="*/ 0 w 531513"/>
            <a:gd name="connsiteY1" fmla="*/ 45 h 123614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531513" h="1236146">
              <a:moveTo>
                <a:pt x="531513" y="1236146"/>
              </a:moveTo>
              <a:cubicBezTo>
                <a:pt x="190170" y="405766"/>
                <a:pt x="367416" y="-4951"/>
                <a:pt x="0" y="45"/>
              </a:cubicBezTo>
            </a:path>
          </a:pathLst>
        </a:custGeom>
        <a:noFill/>
        <a:ln w="6350">
          <a:solidFill>
            <a:sysClr val="windowText" lastClr="000000"/>
          </a:solidFill>
          <a:head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noAutofit/>
        </a:bodyPr>
        <a:lstStyle/>
        <a:p>
          <a:pPr algn="l"/>
          <a:endParaRPr lang="en-US" sz="1100" kern="12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A4DE5-5B67-40B2-A70D-93BD3B348851}" name="Table_Zones" displayName="Table_Zones" ref="A1:E38" totalsRowShown="0">
  <autoFilter ref="A1:E38" xr:uid="{FFBA4DE5-5B67-40B2-A70D-93BD3B348851}"/>
  <tableColumns count="5">
    <tableColumn id="1" xr3:uid="{C5BAEB77-A967-4049-8539-3F88A1459E66}" name="Zones"/>
    <tableColumn id="2" xr3:uid="{B0C66630-67C8-46EA-9A5B-31A1119D4EDA}" name="Abbreviated"/>
    <tableColumn id="4" xr3:uid="{C3E333FC-B9A5-4027-8F7A-324A7181BC55}" name="Existing Required ROW (ft) (Table A/Table B for 23.53.015)"/>
    <tableColumn id="3" xr3:uid="{EF1FA2BD-CE60-4242-8D3A-7348B4C331DD}" name="ROW Width for Alleys Considered to be Improved (ft) (Table B 23.53.030)"/>
    <tableColumn id="6" xr3:uid="{37A23FFC-AFFF-4B5F-8A4B-B4CB988B22C5}" name="Warning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C3C3A0-F65D-4B02-9DE8-518827BEE3BD}" name="Table_ROWIM_Widths" displayName="Table_ROWIM_Widths" ref="G2:AB16" totalsRowShown="0">
  <autoFilter ref="G2:AB16" xr:uid="{CAC3C3A0-F65D-4B02-9DE8-518827BEE3BD}"/>
  <tableColumns count="22">
    <tableColumn id="1" xr3:uid="{842CE18B-6CC4-4244-A9DA-CE63FAB959D7}" name="Street Type"/>
    <tableColumn id="15" xr3:uid="{6DC3DBF5-A4F7-42EB-AC7A-B27685377ACE}" name="Include?"/>
    <tableColumn id="2" xr3:uid="{085729CD-4BB9-4E20-B2BB-59C2916057D4}" name="40' Row"/>
    <tableColumn id="14" xr3:uid="{109EAEED-95A4-450A-B14D-49F8FCD91BA7}" name="52' ROW"/>
    <tableColumn id="24" xr3:uid="{8F32407F-93EE-403A-9321-706F46D8CFD5}" name="Desirable Frontage Zone" dataDxfId="12"/>
    <tableColumn id="18" xr3:uid="{D4D77E72-DF27-4B41-B85F-97EAE1EFD802}" name="Ped Clear Zone"/>
    <tableColumn id="17" xr3:uid="{095446BB-FCDA-4B0C-85D5-DA7B83260C03}" name="PDZ Ped Clear Zone"/>
    <tableColumn id="16" xr3:uid="{C7B244BC-1425-45A0-A7CC-96E5A8293F20}" name="RR Ped Clear Zone"/>
    <tableColumn id="3" xr3:uid="{7BFB0FB6-35B5-493D-9367-A5C9925E4951}" name="Landscape Zone"/>
    <tableColumn id="5" xr3:uid="{EE1D6D53-2FE6-4429-8682-F6010407F1DE}" name="RR Landscape Zone"/>
    <tableColumn id="6" xr3:uid="{5A389BEF-3650-4155-85A0-9F645ADEB86F}" name="Total Minimum Width" dataDxfId="11">
      <calculatedColumnFormula>Table_ROWIM_Widths[[#This Row],[Ped Clear Zone]]+Table_ROWIM_Widths[[#This Row],[Landscape Zone]]</calculatedColumnFormula>
    </tableColumn>
    <tableColumn id="7" xr3:uid="{0AFABD4F-5B47-46A9-9C3D-3A7F493DF9D4}" name="RR Total Minimum Width" dataDxfId="10">
      <calculatedColumnFormula>Table_ROWIM_Widths[[#This Row],[RR Ped Clear Zone]]+Table_ROWIM_Widths[[#This Row],[RR Landscape Zone]]</calculatedColumnFormula>
    </tableColumn>
    <tableColumn id="8" xr3:uid="{5C60D677-35A4-4837-8909-94E18ED55E99}" name="PDZ Total Minimum Width" dataDxfId="9">
      <calculatedColumnFormula>Table_ROWIM_Widths[[#This Row],[PDZ Ped Clear Zone]]+Table_ROWIM_Widths[[#This Row],[Landscape Zone]]</calculatedColumnFormula>
    </tableColumn>
    <tableColumn id="19" xr3:uid="{13BB556B-384B-41A7-83C1-839C2189D94E}" name="PDZ + RR Total Minimum Width" dataDxfId="8">
      <calculatedColumnFormula>MAX(Table_ROWIM_Widths[[#This Row],[PDZ Ped Clear Zone]],Table_ROWIM_Widths[[#This Row],[RR Ped Clear Zone]])+Table_ROWIM_Widths[[#This Row],[RR Landscape Zone]]</calculatedColumnFormula>
    </tableColumn>
    <tableColumn id="9" xr3:uid="{BABE8989-60A7-424A-AFDB-518A31271C8B}" name="40' ROW Pavement Width" dataDxfId="7">
      <calculatedColumnFormula>40-Table_ROWIM_Widths[[#This Row],[Total Minimum Width]]*2</calculatedColumnFormula>
    </tableColumn>
    <tableColumn id="22" xr3:uid="{29D6BF45-3EB6-4D27-B56A-779AB6B98057}" name="40' ROW RR Pavement Width" dataDxfId="6">
      <calculatedColumnFormula>40-Table_ROWIM_Widths[[#This Row],[RR Total Minimum Width]]*2</calculatedColumnFormula>
    </tableColumn>
    <tableColumn id="21" xr3:uid="{CE4B3B5E-4BE3-4A44-B690-CE99B2DDBC03}" name="40' ROW PDZ Pavement Width" dataDxfId="5">
      <calculatedColumnFormula>40-Table_ROWIM_Widths[[#This Row],[PDZ Total Minimum Width]]*2</calculatedColumnFormula>
    </tableColumn>
    <tableColumn id="20" xr3:uid="{5CF59643-383C-4AF0-856C-159D251D9FDC}" name="40' ROW PDZ+RR Pavement Width" dataDxfId="4">
      <calculatedColumnFormula>40-Table_ROWIM_Widths[[#This Row],[PDZ + RR Total Minimum Width]]*2</calculatedColumnFormula>
    </tableColumn>
    <tableColumn id="10" xr3:uid="{FE0F18CF-1C2D-46AA-BF5A-1543052FAF02}" name="52' ROW Pavement Width" dataDxfId="3">
      <calculatedColumnFormula>52-Table_ROWIM_Widths[[#This Row],[Total Minimum Width]]*2</calculatedColumnFormula>
    </tableColumn>
    <tableColumn id="23" xr3:uid="{9F06C976-ECC5-4449-8C55-F6ACBC195781}" name="52' ROW RR Pavement Width" dataDxfId="2">
      <calculatedColumnFormula>52-Table_ROWIM_Widths[[#This Row],[RR Total Minimum Width]]*2</calculatedColumnFormula>
    </tableColumn>
    <tableColumn id="25" xr3:uid="{9347E225-94AE-41FC-84AA-BCC4F3A54081}" name="52' ROW PDZ Pavement Width" dataDxfId="1">
      <calculatedColumnFormula>52-Table_ROWIM_Widths[[#This Row],[PDZ Total Minimum Width]]*2</calculatedColumnFormula>
    </tableColumn>
    <tableColumn id="26" xr3:uid="{5C22B143-1062-4BCD-8784-2E214D6FBEDF}" name="52' ROW PDZ+RR Pavement Width" dataDxfId="0">
      <calculatedColumnFormula>52-Table_ROWIM_Widths[[#This Row],[PDZ + RR Total Minimum Width]]*2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attlegov.zendesk.com/hc/en-us/articles/42125999896343--Parking-and-Driveway-to-Street-Connection-Calculato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A2CC-791C-4D27-9348-F9037EF234DE}">
  <sheetPr codeName="Sheet1">
    <tabColor theme="6" tint="0.79998168889431442"/>
  </sheetPr>
  <dimension ref="A1:BB35"/>
  <sheetViews>
    <sheetView tabSelected="1" zoomScaleNormal="100" zoomScaleSheetLayoutView="100" zoomScalePageLayoutView="115" workbookViewId="0">
      <selection activeCell="G5" sqref="G5:J5"/>
    </sheetView>
  </sheetViews>
  <sheetFormatPr defaultColWidth="2.7109375" defaultRowHeight="14.45"/>
  <cols>
    <col min="1" max="5" width="2.7109375" style="127"/>
    <col min="6" max="6" width="2.7109375" style="127" customWidth="1"/>
    <col min="7" max="53" width="2.7109375" style="127"/>
    <col min="54" max="54" width="2.7109375" style="127" customWidth="1"/>
    <col min="55" max="55" width="3.28515625" style="127" bestFit="1" customWidth="1"/>
    <col min="56" max="56" width="2.7109375" style="127"/>
    <col min="57" max="57" width="3.28515625" style="127" customWidth="1"/>
    <col min="58" max="16384" width="2.7109375" style="127"/>
  </cols>
  <sheetData>
    <row r="1" spans="1:49" ht="15" customHeight="1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2"/>
      <c r="AC1" s="163"/>
      <c r="AD1" s="161" t="s">
        <v>1</v>
      </c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3"/>
    </row>
    <row r="2" spans="1:49" ht="15" customHeight="1">
      <c r="A2" s="62"/>
      <c r="B2" s="81" t="s">
        <v>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63"/>
      <c r="AB2" s="63"/>
      <c r="AC2" s="64"/>
      <c r="AD2" s="65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4"/>
    </row>
    <row r="3" spans="1:49" ht="15" customHeight="1">
      <c r="A3" s="66"/>
      <c r="B3" s="164" t="s">
        <v>3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6"/>
      <c r="T3" s="82"/>
      <c r="U3" s="82"/>
      <c r="V3" s="82"/>
      <c r="W3" s="82"/>
      <c r="X3" s="82"/>
      <c r="Y3" s="82"/>
      <c r="Z3" s="82"/>
      <c r="AA3" s="82"/>
      <c r="AB3" s="82"/>
      <c r="AC3" s="67"/>
      <c r="AD3" s="69"/>
      <c r="AE3" s="142" t="s">
        <v>4</v>
      </c>
      <c r="AF3" s="142"/>
      <c r="AG3" s="142"/>
      <c r="AH3" s="142"/>
      <c r="AI3" s="142"/>
      <c r="AJ3" s="142"/>
      <c r="AK3" s="143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70"/>
    </row>
    <row r="4" spans="1:49" ht="15" customHeight="1">
      <c r="A4" s="66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68"/>
      <c r="AD4" s="69"/>
      <c r="AE4" s="142" t="s">
        <v>5</v>
      </c>
      <c r="AF4" s="142"/>
      <c r="AG4" s="142"/>
      <c r="AH4" s="142"/>
      <c r="AI4" s="142"/>
      <c r="AJ4" s="142"/>
      <c r="AK4" s="143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70"/>
    </row>
    <row r="5" spans="1:49" ht="15" customHeight="1">
      <c r="A5" s="83"/>
      <c r="B5" s="149" t="s">
        <v>6</v>
      </c>
      <c r="C5" s="150"/>
      <c r="D5" s="150"/>
      <c r="E5" s="150"/>
      <c r="F5" s="151"/>
      <c r="G5" s="144"/>
      <c r="H5" s="144"/>
      <c r="I5" s="144"/>
      <c r="J5" s="144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68"/>
      <c r="AD5" s="73"/>
      <c r="AE5" s="142" t="s">
        <v>7</v>
      </c>
      <c r="AF5" s="142"/>
      <c r="AG5" s="142"/>
      <c r="AH5" s="142"/>
      <c r="AI5" s="142"/>
      <c r="AJ5" s="142"/>
      <c r="AK5" s="143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70"/>
    </row>
    <row r="6" spans="1:49" ht="15" customHeight="1">
      <c r="A6" s="83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68"/>
      <c r="AD6" s="84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68"/>
    </row>
    <row r="7" spans="1:49" ht="15" customHeight="1">
      <c r="A7" s="83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68"/>
      <c r="AD7" s="84"/>
      <c r="AE7" s="145" t="s">
        <v>8</v>
      </c>
      <c r="AF7" s="142"/>
      <c r="AG7" s="142"/>
      <c r="AH7" s="142"/>
      <c r="AI7" s="142"/>
      <c r="AJ7" s="142"/>
      <c r="AK7" s="146"/>
      <c r="AL7" s="147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68"/>
    </row>
    <row r="8" spans="1:49" ht="15" customHeight="1" thickBot="1">
      <c r="A8" s="83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72"/>
      <c r="AD8" s="71"/>
      <c r="AE8" s="71"/>
      <c r="AF8" s="71"/>
      <c r="AG8" s="71"/>
      <c r="AH8" s="71"/>
      <c r="AI8" s="71"/>
      <c r="AJ8" s="71"/>
      <c r="AK8" s="71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72"/>
    </row>
    <row r="9" spans="1:49" ht="15" customHeight="1">
      <c r="A9" s="52"/>
      <c r="B9" s="53"/>
      <c r="C9" s="54"/>
      <c r="D9" s="54"/>
      <c r="E9" s="54"/>
      <c r="F9" s="54"/>
      <c r="G9" s="54"/>
      <c r="H9" s="54"/>
      <c r="I9" s="54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  <c r="AO9" s="56"/>
      <c r="AP9" s="56"/>
      <c r="AQ9" s="56"/>
      <c r="AR9" s="57"/>
      <c r="AS9" s="58"/>
      <c r="AT9" s="58"/>
      <c r="AU9" s="58"/>
      <c r="AV9" s="58"/>
      <c r="AW9" s="59"/>
    </row>
    <row r="10" spans="1:49" ht="15" customHeight="1">
      <c r="A10" s="60"/>
      <c r="B10" s="85"/>
      <c r="C10" s="86"/>
      <c r="D10" s="86"/>
      <c r="E10" s="86"/>
      <c r="F10" s="86"/>
      <c r="G10" s="86"/>
      <c r="H10" s="86"/>
      <c r="I10" s="86"/>
      <c r="J10" s="2"/>
      <c r="K10" s="2"/>
      <c r="L10" s="87"/>
      <c r="M10" s="87"/>
      <c r="N10" s="87"/>
      <c r="O10" s="87"/>
      <c r="P10" s="87"/>
      <c r="Q10" s="87"/>
      <c r="R10" s="87"/>
      <c r="S10" s="87"/>
      <c r="T10" s="87"/>
      <c r="U10" s="88" t="s">
        <v>9</v>
      </c>
      <c r="V10" s="153" t="str">
        <f>IF(_aw_ErrorFlag_F,"ERROR",aw_F)</f>
        <v>ERROR</v>
      </c>
      <c r="W10" s="153"/>
      <c r="X10" s="153"/>
      <c r="Y10" s="153"/>
      <c r="Z10" s="2"/>
      <c r="AA10" s="2"/>
      <c r="AB10" s="2"/>
      <c r="AC10" s="2"/>
      <c r="AD10" s="2"/>
      <c r="AE10" s="89"/>
      <c r="AF10" s="89"/>
      <c r="AG10" s="89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90"/>
      <c r="AS10" s="91"/>
      <c r="AT10" s="91"/>
      <c r="AU10" s="91"/>
      <c r="AV10" s="91"/>
      <c r="AW10" s="49"/>
    </row>
    <row r="11" spans="1:49" ht="15" customHeight="1">
      <c r="A11" s="61"/>
      <c r="B11" s="92"/>
      <c r="C11" s="92"/>
      <c r="D11" s="92"/>
      <c r="E11" s="93"/>
      <c r="F11" s="91"/>
      <c r="G11" s="91"/>
      <c r="H11" s="9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2"/>
      <c r="AT11" s="2"/>
      <c r="AU11" s="2"/>
      <c r="AV11" s="2"/>
      <c r="AW11" s="49"/>
    </row>
    <row r="12" spans="1:49" ht="15" customHeight="1">
      <c r="A12" s="61"/>
      <c r="B12" s="92"/>
      <c r="C12" s="92"/>
      <c r="D12" s="92"/>
      <c r="E12" s="93"/>
      <c r="F12" s="2"/>
      <c r="G12" s="2"/>
      <c r="H12" s="177" t="s">
        <v>10</v>
      </c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2"/>
      <c r="AB12" s="2"/>
      <c r="AC12" s="182" t="s">
        <v>11</v>
      </c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2"/>
      <c r="AT12" s="2"/>
      <c r="AU12" s="2"/>
      <c r="AV12" s="2"/>
      <c r="AW12" s="49"/>
    </row>
    <row r="13" spans="1:49" ht="15" customHeight="1">
      <c r="A13" s="155" t="s">
        <v>12</v>
      </c>
      <c r="B13" s="156"/>
      <c r="C13" s="156"/>
      <c r="D13" s="156"/>
      <c r="E13" s="156"/>
      <c r="F13" s="156"/>
      <c r="G13" s="156"/>
      <c r="H13" s="2"/>
      <c r="I13" s="178" t="s">
        <v>13</v>
      </c>
      <c r="J13" s="178"/>
      <c r="K13" s="178"/>
      <c r="L13" s="178"/>
      <c r="M13" s="178"/>
      <c r="N13" s="178"/>
      <c r="O13" s="178"/>
      <c r="P13" s="178"/>
      <c r="Q13" s="178"/>
      <c r="R13" s="179"/>
      <c r="S13" s="179"/>
      <c r="T13" s="179"/>
      <c r="U13" s="179"/>
      <c r="V13" s="179"/>
      <c r="W13" s="2"/>
      <c r="X13" s="2"/>
      <c r="Y13" s="2"/>
      <c r="Z13" s="2"/>
      <c r="AA13" s="2"/>
      <c r="AB13" s="2"/>
      <c r="AC13" s="2"/>
      <c r="AD13" s="2"/>
      <c r="AE13" s="188" t="s">
        <v>14</v>
      </c>
      <c r="AF13" s="188"/>
      <c r="AG13" s="188"/>
      <c r="AH13" s="188"/>
      <c r="AI13" s="188"/>
      <c r="AJ13" s="189"/>
      <c r="AK13" s="179"/>
      <c r="AL13" s="179"/>
      <c r="AM13" s="179"/>
      <c r="AN13" s="179"/>
      <c r="AO13" s="179"/>
      <c r="AP13" s="2"/>
      <c r="AQ13" s="2"/>
      <c r="AR13" s="2"/>
      <c r="AS13" s="2"/>
      <c r="AT13" s="2"/>
      <c r="AU13" s="2"/>
      <c r="AV13" s="2"/>
      <c r="AW13" s="49"/>
    </row>
    <row r="14" spans="1:49" ht="15" customHeight="1">
      <c r="A14" s="157" t="s">
        <v>15</v>
      </c>
      <c r="B14" s="158"/>
      <c r="C14" s="154" t="str">
        <f>IF(_aw_ErrorFlag_Emax,"ERROR",aw_E_max)</f>
        <v>ERROR</v>
      </c>
      <c r="D14" s="154"/>
      <c r="E14" s="154"/>
      <c r="F14" s="154"/>
      <c r="G14" s="2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49"/>
    </row>
    <row r="15" spans="1:49" ht="15" customHeight="1">
      <c r="A15" s="48"/>
      <c r="B15" s="2"/>
      <c r="C15" s="2"/>
      <c r="D15" s="2"/>
      <c r="E15" s="2"/>
      <c r="F15" s="2"/>
      <c r="G15" s="2"/>
      <c r="H15" s="2"/>
      <c r="I15" s="92"/>
      <c r="J15" s="92"/>
      <c r="K15" s="91"/>
      <c r="L15" s="91"/>
      <c r="M15" s="91"/>
      <c r="N15" s="2"/>
      <c r="O15" s="91"/>
      <c r="P15" s="2"/>
      <c r="Q15" s="92"/>
      <c r="R15" s="92"/>
      <c r="S15" s="92"/>
      <c r="T15" s="2"/>
      <c r="U15" s="92"/>
      <c r="V15" s="92"/>
      <c r="W15" s="91"/>
      <c r="X15" s="107" t="s">
        <v>16</v>
      </c>
      <c r="Y15" s="91"/>
      <c r="Z15" s="91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49"/>
    </row>
    <row r="16" spans="1:49" ht="15" customHeight="1">
      <c r="A16" s="48"/>
      <c r="B16" s="92"/>
      <c r="C16" s="92"/>
      <c r="D16" s="96"/>
      <c r="E16" s="96"/>
      <c r="F16" s="96"/>
      <c r="G16" s="2"/>
      <c r="H16" s="2"/>
      <c r="I16" s="2"/>
      <c r="J16" s="2"/>
      <c r="K16" s="2"/>
      <c r="L16" s="2"/>
      <c r="M16" s="2"/>
      <c r="N16" s="2"/>
      <c r="O16" s="2"/>
      <c r="P16" s="2"/>
      <c r="Q16" s="91"/>
      <c r="R16" s="91"/>
      <c r="S16" s="91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 t="s">
        <v>17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49"/>
    </row>
    <row r="17" spans="1:54" ht="15" customHeight="1">
      <c r="A17" s="48"/>
      <c r="B17" s="135" t="s">
        <v>18</v>
      </c>
      <c r="C17" s="13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92"/>
      <c r="Q17" s="92"/>
      <c r="R17" s="96"/>
      <c r="S17" s="96"/>
      <c r="T17" s="96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82" t="s">
        <v>19</v>
      </c>
      <c r="AN17" s="182"/>
      <c r="AO17" s="182"/>
      <c r="AP17" s="182"/>
      <c r="AQ17" s="182"/>
      <c r="AR17" s="182"/>
      <c r="AS17" s="182"/>
      <c r="AT17" s="182"/>
      <c r="AU17" s="182"/>
      <c r="AV17" s="182"/>
      <c r="AW17" s="49"/>
    </row>
    <row r="18" spans="1:54" ht="15" customHeight="1">
      <c r="A18" s="48"/>
      <c r="B18" s="135"/>
      <c r="C18" s="135"/>
      <c r="D18" s="2"/>
      <c r="E18" s="2"/>
      <c r="F18" s="2"/>
      <c r="G18" s="191" t="s">
        <v>20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92"/>
      <c r="W18" s="92"/>
      <c r="X18" s="91"/>
      <c r="Y18" s="91"/>
      <c r="Z18" s="91"/>
      <c r="AA18" s="2"/>
      <c r="AB18" s="2"/>
      <c r="AC18" s="97"/>
      <c r="AD18" s="97"/>
      <c r="AE18" s="91"/>
      <c r="AF18" s="91"/>
      <c r="AG18" s="91"/>
      <c r="AH18" s="91"/>
      <c r="AI18" s="2"/>
      <c r="AJ18" s="2"/>
      <c r="AK18" s="2"/>
      <c r="AL18" s="2"/>
      <c r="AM18" s="182"/>
      <c r="AN18" s="182"/>
      <c r="AO18" s="182"/>
      <c r="AP18" s="182"/>
      <c r="AQ18" s="182"/>
      <c r="AR18" s="182"/>
      <c r="AS18" s="182"/>
      <c r="AT18" s="182"/>
      <c r="AU18" s="182"/>
      <c r="AV18" s="182"/>
      <c r="AW18" s="49"/>
    </row>
    <row r="19" spans="1:54" ht="15" customHeight="1">
      <c r="A19" s="48"/>
      <c r="B19" s="135"/>
      <c r="C19" s="135"/>
      <c r="D19" s="2"/>
      <c r="E19" s="2"/>
      <c r="F19" s="2"/>
      <c r="G19" s="191"/>
      <c r="H19" s="2"/>
      <c r="I19" s="2"/>
      <c r="J19" s="92"/>
      <c r="K19" s="92"/>
      <c r="L19" s="91"/>
      <c r="M19" s="91"/>
      <c r="N19" s="9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86" t="s">
        <v>21</v>
      </c>
      <c r="AN19" s="186"/>
      <c r="AO19" s="186"/>
      <c r="AP19" s="186"/>
      <c r="AQ19" s="186"/>
      <c r="AR19" s="187"/>
      <c r="AS19" s="183"/>
      <c r="AT19" s="184"/>
      <c r="AU19" s="184"/>
      <c r="AV19" s="185"/>
      <c r="AW19" s="49"/>
    </row>
    <row r="20" spans="1:54" ht="15" customHeight="1">
      <c r="A20" s="48"/>
      <c r="B20" s="135"/>
      <c r="C20" s="135"/>
      <c r="D20" s="2"/>
      <c r="E20" s="2"/>
      <c r="F20" s="2"/>
      <c r="G20" s="191"/>
      <c r="H20" s="2"/>
      <c r="I20" s="2"/>
      <c r="J20" s="2"/>
      <c r="K20" s="2"/>
      <c r="L20" s="2"/>
      <c r="M20" s="2"/>
      <c r="N20" s="2"/>
      <c r="O20" s="2"/>
      <c r="P20" s="98" t="s">
        <v>22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92"/>
      <c r="AE20" s="92"/>
      <c r="AF20" s="96"/>
      <c r="AG20" s="96"/>
      <c r="AH20" s="96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49"/>
      <c r="BB20" s="128"/>
    </row>
    <row r="21" spans="1:54" ht="15" customHeight="1">
      <c r="A21" s="48"/>
      <c r="B21" s="135"/>
      <c r="C21" s="135"/>
      <c r="D21" s="2"/>
      <c r="E21" s="2"/>
      <c r="F21" s="2"/>
      <c r="G21" s="19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99"/>
      <c r="AK21" s="99"/>
      <c r="AL21" s="2"/>
      <c r="AM21" s="99"/>
      <c r="AN21" s="129"/>
      <c r="AO21" s="96"/>
      <c r="AP21" s="96"/>
      <c r="AQ21" s="96"/>
      <c r="AR21" s="2"/>
      <c r="AS21" s="2"/>
      <c r="AT21" s="2"/>
      <c r="AU21" s="2"/>
      <c r="AV21" s="2"/>
      <c r="AW21" s="49"/>
      <c r="BB21" s="128"/>
    </row>
    <row r="22" spans="1:54" ht="15" customHeight="1">
      <c r="A22" s="48"/>
      <c r="B22" s="135"/>
      <c r="C22" s="135"/>
      <c r="D22" s="2"/>
      <c r="E22" s="2"/>
      <c r="F22" s="2"/>
      <c r="G22" s="191"/>
      <c r="H22" s="2"/>
      <c r="I22" s="2"/>
      <c r="J22" s="181"/>
      <c r="K22" s="181"/>
      <c r="L22" s="91"/>
      <c r="M22" s="91"/>
      <c r="N22" s="9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49"/>
    </row>
    <row r="23" spans="1:54" ht="15" customHeight="1">
      <c r="A23" s="48"/>
      <c r="B23" s="135"/>
      <c r="C23" s="135"/>
      <c r="D23" s="2"/>
      <c r="E23" s="2"/>
      <c r="F23" s="2"/>
      <c r="G23" s="19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92"/>
      <c r="W23" s="92"/>
      <c r="X23" s="91"/>
      <c r="Y23" s="91"/>
      <c r="Z23" s="91"/>
      <c r="AA23" s="2"/>
      <c r="AB23" s="2"/>
      <c r="AC23" s="2"/>
      <c r="AD23" s="2"/>
      <c r="AE23" s="2"/>
      <c r="AF23" s="2"/>
      <c r="AG23" s="100"/>
      <c r="AH23" s="2"/>
      <c r="AI23" s="2"/>
      <c r="AJ23" s="101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49"/>
    </row>
    <row r="24" spans="1:54" ht="15" customHeight="1">
      <c r="A24" s="48"/>
      <c r="B24" s="135"/>
      <c r="C24" s="135"/>
      <c r="D24" s="2"/>
      <c r="E24" s="2"/>
      <c r="F24" s="2"/>
      <c r="G24" s="19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102"/>
      <c r="AE24" s="102"/>
      <c r="AF24" s="102"/>
      <c r="AG24" s="102"/>
      <c r="AH24" s="102"/>
      <c r="AI24" s="102"/>
      <c r="AJ24" s="103"/>
      <c r="AK24" s="103"/>
      <c r="AL24" s="103"/>
      <c r="AM24" s="103"/>
      <c r="AN24" s="2"/>
      <c r="AO24" s="2"/>
      <c r="AP24" s="2"/>
      <c r="AQ24" s="2"/>
      <c r="AR24" s="2"/>
      <c r="AS24" s="2"/>
      <c r="AT24" s="2"/>
      <c r="AU24" s="2"/>
      <c r="AV24" s="2"/>
      <c r="AW24" s="49"/>
    </row>
    <row r="25" spans="1:54" ht="15" customHeight="1">
      <c r="A25" s="48"/>
      <c r="B25" s="135"/>
      <c r="C25" s="135"/>
      <c r="D25" s="2"/>
      <c r="E25" s="2"/>
      <c r="F25" s="2"/>
      <c r="G25" s="3"/>
      <c r="H25" s="2"/>
      <c r="I25" s="2"/>
      <c r="J25" s="2"/>
      <c r="K25" s="2"/>
      <c r="L25" s="2"/>
      <c r="M25" s="2"/>
      <c r="N25" s="2"/>
      <c r="O25" s="2"/>
      <c r="P25" s="92"/>
      <c r="Q25" s="92"/>
      <c r="R25" s="96"/>
      <c r="S25" s="96"/>
      <c r="T25" s="96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 t="s">
        <v>23</v>
      </c>
      <c r="AQ25" s="2"/>
      <c r="AR25" s="2"/>
      <c r="AS25" s="2"/>
      <c r="AT25" s="2"/>
      <c r="AU25" s="2"/>
      <c r="AV25" s="2"/>
      <c r="AW25" s="49"/>
    </row>
    <row r="26" spans="1:54" ht="15" customHeight="1">
      <c r="A26" s="48"/>
      <c r="B26" s="92"/>
      <c r="C26" s="92"/>
      <c r="D26" s="96"/>
      <c r="E26" s="96"/>
      <c r="F26" s="9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152" t="s">
        <v>24</v>
      </c>
      <c r="AD26" s="152"/>
      <c r="AE26" s="152"/>
      <c r="AF26" s="152"/>
      <c r="AG26" s="152"/>
      <c r="AH26" s="152"/>
      <c r="AI26" s="153" t="str">
        <f>IF(_aw_ErrorFlag_R,"ERROR",aw_R)</f>
        <v>ERROR</v>
      </c>
      <c r="AJ26" s="153"/>
      <c r="AK26" s="153"/>
      <c r="AL26" s="153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49"/>
    </row>
    <row r="27" spans="1:54" ht="15" customHeight="1">
      <c r="A27" s="155" t="s">
        <v>25</v>
      </c>
      <c r="B27" s="156"/>
      <c r="C27" s="156"/>
      <c r="D27" s="156"/>
      <c r="E27" s="156"/>
      <c r="F27" s="156"/>
      <c r="G27" s="156"/>
      <c r="H27" s="95"/>
      <c r="I27" s="180" t="str">
        <f>IF(_aw_ErrorFlag,"ERROR","")</f>
        <v>ERROR</v>
      </c>
      <c r="J27" s="190" t="str" cm="1">
        <f t="array" ref="J27">_aw_errorString</f>
        <v>- Make all selections in DRIVEWAY AND FRONTAGE SELECTIONS BOX 
- Input value(s) for: Elevation "C", Distance "P", Distance "L"</v>
      </c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25"/>
      <c r="AD27" s="2" t="s">
        <v>26</v>
      </c>
      <c r="AE27" s="2"/>
      <c r="AF27" s="97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49"/>
    </row>
    <row r="28" spans="1:54" ht="15" customHeight="1">
      <c r="A28" s="157" t="s">
        <v>27</v>
      </c>
      <c r="B28" s="158"/>
      <c r="C28" s="154" t="str">
        <f>IF(_aw_ErrorFlag_Emin,"ERROR",aw_E_min)</f>
        <v>ERROR</v>
      </c>
      <c r="D28" s="154"/>
      <c r="E28" s="154"/>
      <c r="F28" s="154"/>
      <c r="G28" s="2"/>
      <c r="H28" s="2"/>
      <c r="I28" s="18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25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49"/>
    </row>
    <row r="29" spans="1:54" ht="15" customHeight="1">
      <c r="A29" s="4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91"/>
      <c r="R29" s="91"/>
      <c r="S29" s="9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104"/>
    </row>
    <row r="30" spans="1:54" ht="15" customHeight="1" thickBot="1">
      <c r="A30" s="48"/>
      <c r="B30" s="10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49"/>
    </row>
    <row r="31" spans="1:54" ht="15" customHeight="1">
      <c r="A31" s="48"/>
      <c r="B31" s="159" t="s">
        <v>28</v>
      </c>
      <c r="C31" s="159"/>
      <c r="D31" s="159"/>
      <c r="E31" s="159"/>
      <c r="F31" s="159"/>
      <c r="G31" s="159"/>
      <c r="H31" s="159"/>
      <c r="I31" s="159"/>
      <c r="J31" s="159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2"/>
      <c r="Z31" s="136" t="e" vm="1">
        <v>#VALUE!</v>
      </c>
      <c r="AA31" s="137"/>
      <c r="AB31" s="137"/>
      <c r="AC31" s="137"/>
      <c r="AD31" s="137"/>
      <c r="AE31" s="137"/>
      <c r="AF31" s="137"/>
      <c r="AG31" s="137"/>
      <c r="AH31" s="75"/>
      <c r="AI31" s="75"/>
      <c r="AJ31" s="75"/>
      <c r="AK31" s="75"/>
      <c r="AL31" s="75"/>
      <c r="AM31" s="75"/>
      <c r="AN31" s="76"/>
      <c r="AO31" s="76"/>
      <c r="AP31" s="76"/>
      <c r="AQ31" s="76"/>
      <c r="AR31" s="76"/>
      <c r="AS31" s="76"/>
      <c r="AT31" s="76"/>
      <c r="AU31" s="76"/>
      <c r="AV31" s="76"/>
      <c r="AW31" s="77"/>
    </row>
    <row r="32" spans="1:54" ht="15" customHeight="1">
      <c r="A32" s="48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2"/>
      <c r="Z32" s="138"/>
      <c r="AA32" s="139"/>
      <c r="AB32" s="139"/>
      <c r="AC32" s="139"/>
      <c r="AD32" s="139"/>
      <c r="AE32" s="139"/>
      <c r="AF32" s="139"/>
      <c r="AG32" s="139"/>
      <c r="AH32" s="168" t="s">
        <v>29</v>
      </c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70"/>
      <c r="AW32" s="78"/>
    </row>
    <row r="33" spans="1:49" ht="15" customHeight="1">
      <c r="A33" s="48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2"/>
      <c r="Z33" s="138"/>
      <c r="AA33" s="139"/>
      <c r="AB33" s="139"/>
      <c r="AC33" s="139"/>
      <c r="AD33" s="139"/>
      <c r="AE33" s="139"/>
      <c r="AF33" s="139"/>
      <c r="AG33" s="139"/>
      <c r="AH33" s="171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3"/>
      <c r="AW33" s="79"/>
    </row>
    <row r="34" spans="1:49" ht="15" customHeight="1">
      <c r="A34" s="48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2"/>
      <c r="Z34" s="138"/>
      <c r="AA34" s="139"/>
      <c r="AB34" s="139"/>
      <c r="AC34" s="139"/>
      <c r="AD34" s="139"/>
      <c r="AE34" s="139"/>
      <c r="AF34" s="139"/>
      <c r="AG34" s="139"/>
      <c r="AH34" s="174" t="s">
        <v>30</v>
      </c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6"/>
      <c r="AW34" s="79"/>
    </row>
    <row r="35" spans="1:49" ht="15" customHeight="1" thickBot="1">
      <c r="A35" s="50"/>
      <c r="B35" s="106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140"/>
      <c r="AA35" s="141"/>
      <c r="AB35" s="141"/>
      <c r="AC35" s="141"/>
      <c r="AD35" s="141"/>
      <c r="AE35" s="141"/>
      <c r="AF35" s="141"/>
      <c r="AG35" s="141"/>
      <c r="AH35" s="131"/>
      <c r="AI35" s="131"/>
      <c r="AJ35" s="131"/>
      <c r="AK35" s="131"/>
      <c r="AL35" s="131"/>
      <c r="AM35" s="131"/>
      <c r="AN35" s="131"/>
      <c r="AO35" s="132" t="str">
        <f ca="1">_xlfn.CONCAT("Date Printed: ",TEXT(TODAY(),"mm/dd/yyyy"))</f>
        <v>Date Printed: 07/22/2026</v>
      </c>
      <c r="AP35" s="133"/>
      <c r="AQ35" s="133"/>
      <c r="AR35" s="133"/>
      <c r="AS35" s="133"/>
      <c r="AT35" s="133"/>
      <c r="AU35" s="133"/>
      <c r="AV35" s="134"/>
      <c r="AW35" s="80"/>
    </row>
  </sheetData>
  <sheetProtection algorithmName="SHA-512" hashValue="qc5qNhb6I5yx927iHa7kWx14/YhiBAgCOzpAcDkPq+kBiqJj0OD9NkYvevlAeaSlrVJg6vPmoKWaUgDkXJyz0Q==" saltValue="PVSiTGDxs9Y6wkyGZ1giTA==" spinCount="100000" sheet="1" objects="1" scenarios="1" selectLockedCells="1"/>
  <mergeCells count="43">
    <mergeCell ref="V10:Y10"/>
    <mergeCell ref="AM17:AV18"/>
    <mergeCell ref="A13:G13"/>
    <mergeCell ref="C14:F14"/>
    <mergeCell ref="A14:B14"/>
    <mergeCell ref="G18:G24"/>
    <mergeCell ref="B32:X34"/>
    <mergeCell ref="AH32:AV33"/>
    <mergeCell ref="AH34:AV34"/>
    <mergeCell ref="H12:Z12"/>
    <mergeCell ref="I13:Q13"/>
    <mergeCell ref="R13:V13"/>
    <mergeCell ref="I27:I28"/>
    <mergeCell ref="J22:K22"/>
    <mergeCell ref="AC12:AR12"/>
    <mergeCell ref="AS19:AV19"/>
    <mergeCell ref="AM19:AR19"/>
    <mergeCell ref="AE13:AJ13"/>
    <mergeCell ref="J27:AB28"/>
    <mergeCell ref="AK13:AO13"/>
    <mergeCell ref="A1:AC1"/>
    <mergeCell ref="AD1:AW1"/>
    <mergeCell ref="AE3:AK3"/>
    <mergeCell ref="AL3:AV3"/>
    <mergeCell ref="AE4:AK4"/>
    <mergeCell ref="AL4:AV4"/>
    <mergeCell ref="B3:S3"/>
    <mergeCell ref="AH35:AN35"/>
    <mergeCell ref="AO35:AV35"/>
    <mergeCell ref="B17:C25"/>
    <mergeCell ref="Z31:AG35"/>
    <mergeCell ref="AE5:AK5"/>
    <mergeCell ref="AL5:AV5"/>
    <mergeCell ref="AE7:AK7"/>
    <mergeCell ref="AL7:AV7"/>
    <mergeCell ref="B5:F5"/>
    <mergeCell ref="AC26:AH26"/>
    <mergeCell ref="AI26:AL26"/>
    <mergeCell ref="C28:F28"/>
    <mergeCell ref="A27:G27"/>
    <mergeCell ref="A28:B28"/>
    <mergeCell ref="G5:J5"/>
    <mergeCell ref="B31:J31"/>
  </mergeCells>
  <conditionalFormatting sqref="I27:I28">
    <cfRule type="containsText" dxfId="18" priority="1" operator="containsText" text="ERROR">
      <formula>NOT(ISERROR(SEARCH("ERROR",I27)))</formula>
    </cfRule>
  </conditionalFormatting>
  <conditionalFormatting sqref="J27:AB28">
    <cfRule type="notContainsBlanks" dxfId="17" priority="5">
      <formula>LEN(TRIM(J27))&gt;0</formula>
    </cfRule>
  </conditionalFormatting>
  <dataValidations count="4">
    <dataValidation type="list" allowBlank="1" showInputMessage="1" showErrorMessage="1" errorTitle="Zone Category" error="Choose the Zone Category from the drop-down menu." promptTitle="Zone Category" prompt="Use the dropdown to make your selection" sqref="G5:J5" xr:uid="{8E4B4AD1-41FC-4EF7-8626-B8E22732A8D9}">
      <formula1>List_ZoneCategories</formula1>
    </dataValidation>
    <dataValidation allowBlank="1" showInputMessage="1" showErrorMessage="1" errorTitle="Distance L" error="Please enter a valid distance." sqref="R13:V13" xr:uid="{3005D7AD-0E4F-4ACD-87C1-0C2B2EAD1892}"/>
    <dataValidation type="custom" allowBlank="1" showInputMessage="1" showErrorMessage="1" errorTitle="Distance P" error="Please enter a valid distance." sqref="AK13:AO13" xr:uid="{7EF4FFA7-328F-44F9-8CBD-FEFECEC7C492}">
      <formula1>ISNUMBER(AK13)</formula1>
    </dataValidation>
    <dataValidation type="custom" allowBlank="1" showInputMessage="1" showErrorMessage="1" errorTitle="Elevation C" error="Please enter a valid elevation." sqref="AS19:AV19" xr:uid="{69D6617F-D1D9-430E-A5C3-78F01600F9F0}">
      <formula1>ISNUMBER(AS19)</formula1>
    </dataValidation>
  </dataValidations>
  <hyperlinks>
    <hyperlink ref="B3" r:id="rId1" display="Click here for instructions on the SDOT website " xr:uid="{E9C273BD-D4D7-4859-98F3-FDD2B5F0D2A5}"/>
  </hyperlinks>
  <printOptions horizontalCentered="1" verticalCentered="1"/>
  <pageMargins left="0.25" right="0.25" top="0.25" bottom="0.2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B1B8-3D89-46E1-B8ED-04EE1A8C4EAF}">
  <sheetPr codeName="Sheet2">
    <tabColor theme="6" tint="0.79998168889431442"/>
  </sheetPr>
  <dimension ref="A1:U24"/>
  <sheetViews>
    <sheetView zoomScale="85" zoomScaleNormal="85" workbookViewId="0">
      <selection activeCell="B32" sqref="B32:X34"/>
    </sheetView>
  </sheetViews>
  <sheetFormatPr defaultRowHeight="14.45"/>
  <cols>
    <col min="1" max="1" width="7.140625" style="1" bestFit="1" customWidth="1"/>
    <col min="2" max="2" width="63.5703125" customWidth="1"/>
    <col min="3" max="3" width="10.7109375" style="1" customWidth="1"/>
    <col min="4" max="4" width="36.42578125" style="1" bestFit="1" customWidth="1"/>
    <col min="5" max="5" width="33.28515625" style="1" bestFit="1" customWidth="1"/>
    <col min="6" max="7" width="10.7109375" style="1" customWidth="1"/>
    <col min="8" max="8" width="140.28515625" style="119" bestFit="1" customWidth="1"/>
    <col min="9" max="9" width="7.140625" bestFit="1" customWidth="1"/>
    <col min="10" max="10" width="63.5703125" style="1" customWidth="1"/>
    <col min="11" max="11" width="10.7109375" style="1" customWidth="1"/>
    <col min="12" max="12" width="36.42578125" style="1" bestFit="1" customWidth="1"/>
    <col min="13" max="13" width="33.28515625" style="1" bestFit="1" customWidth="1"/>
    <col min="14" max="14" width="10.7109375" style="1" customWidth="1"/>
    <col min="15" max="15" width="11.140625" style="1" bestFit="1" customWidth="1"/>
    <col min="16" max="16" width="7.140625" bestFit="1" customWidth="1"/>
    <col min="17" max="17" width="63.5703125" style="1" customWidth="1"/>
    <col min="18" max="18" width="10.7109375" style="1" customWidth="1"/>
    <col min="19" max="19" width="36.42578125" style="1" bestFit="1" customWidth="1"/>
    <col min="20" max="20" width="33.28515625" style="1" bestFit="1" customWidth="1"/>
    <col min="21" max="21" width="10.7109375" style="1" customWidth="1"/>
  </cols>
  <sheetData>
    <row r="1" spans="1:21" ht="15" customHeight="1">
      <c r="A1" s="12" t="s">
        <v>31</v>
      </c>
      <c r="B1" s="11" t="s">
        <v>32</v>
      </c>
      <c r="C1" s="12" t="s">
        <v>33</v>
      </c>
      <c r="D1" s="12" t="s">
        <v>34</v>
      </c>
      <c r="E1" s="12" t="s">
        <v>35</v>
      </c>
      <c r="F1" s="12" t="s">
        <v>36</v>
      </c>
      <c r="G1" s="12" t="s">
        <v>37</v>
      </c>
      <c r="H1" s="110" t="s">
        <v>38</v>
      </c>
    </row>
    <row r="2" spans="1:21" ht="15" customHeight="1">
      <c r="A2" s="32" t="s">
        <v>39</v>
      </c>
      <c r="B2" s="33"/>
      <c r="C2" s="33"/>
      <c r="D2" s="33"/>
      <c r="E2" s="33"/>
      <c r="F2" s="33"/>
      <c r="G2" s="33"/>
      <c r="H2" s="111"/>
    </row>
    <row r="3" spans="1:21" ht="15" customHeight="1">
      <c r="A3" s="13" t="s">
        <v>40</v>
      </c>
      <c r="B3" s="13"/>
      <c r="C3" s="14"/>
      <c r="D3" s="14"/>
      <c r="E3" s="14"/>
      <c r="F3" s="14"/>
      <c r="G3" s="14"/>
      <c r="H3" s="112"/>
    </row>
    <row r="4" spans="1:21" ht="15" customHeight="1">
      <c r="A4" s="5" t="s">
        <v>41</v>
      </c>
      <c r="B4" s="4" t="s">
        <v>42</v>
      </c>
      <c r="C4" s="5" t="s">
        <v>43</v>
      </c>
      <c r="D4" s="5" t="s">
        <v>44</v>
      </c>
      <c r="E4" s="8">
        <f>G_S_A</f>
        <v>4.7E-2</v>
      </c>
      <c r="F4" s="5"/>
      <c r="G4" s="5" t="s">
        <v>45</v>
      </c>
      <c r="H4" s="113"/>
      <c r="I4" s="1"/>
      <c r="L4"/>
      <c r="P4" s="1"/>
      <c r="R4"/>
      <c r="S4"/>
      <c r="T4"/>
      <c r="U4"/>
    </row>
    <row r="5" spans="1:21" ht="15" customHeight="1">
      <c r="A5" s="5" t="s">
        <v>46</v>
      </c>
      <c r="B5" s="4" t="s">
        <v>47</v>
      </c>
      <c r="C5" s="5" t="s">
        <v>48</v>
      </c>
      <c r="D5" s="5" t="s">
        <v>49</v>
      </c>
      <c r="E5" s="8">
        <f>G_S_MAX</f>
        <v>0.15</v>
      </c>
      <c r="F5" s="5"/>
      <c r="G5" s="5" t="s">
        <v>45</v>
      </c>
      <c r="H5" s="113"/>
      <c r="I5" s="1"/>
      <c r="L5"/>
      <c r="P5" s="1"/>
      <c r="R5"/>
      <c r="S5"/>
      <c r="T5"/>
      <c r="U5"/>
    </row>
    <row r="6" spans="1:21" ht="15" customHeight="1">
      <c r="A6" s="5" t="s">
        <v>50</v>
      </c>
      <c r="B6" s="4" t="s">
        <v>51</v>
      </c>
      <c r="C6" s="5" t="s">
        <v>52</v>
      </c>
      <c r="D6" s="5" t="s">
        <v>53</v>
      </c>
      <c r="E6" s="8">
        <f>G_S_MAXBACKIN</f>
        <v>0.1</v>
      </c>
      <c r="F6" s="5"/>
      <c r="G6" s="5" t="s">
        <v>45</v>
      </c>
      <c r="H6" s="123" t="s">
        <v>54</v>
      </c>
      <c r="I6" s="1"/>
      <c r="L6"/>
      <c r="P6" s="1"/>
      <c r="R6"/>
      <c r="S6"/>
      <c r="T6"/>
      <c r="U6"/>
    </row>
    <row r="7" spans="1:21" ht="15" customHeight="1">
      <c r="A7" s="13" t="s">
        <v>55</v>
      </c>
      <c r="B7" s="13"/>
      <c r="C7" s="14"/>
      <c r="D7" s="14"/>
      <c r="E7" s="14"/>
      <c r="F7" s="14"/>
      <c r="G7" s="14"/>
      <c r="H7" s="112"/>
      <c r="I7" s="1"/>
      <c r="J7" s="108"/>
      <c r="L7"/>
      <c r="P7" s="1"/>
      <c r="R7"/>
      <c r="S7"/>
      <c r="T7"/>
      <c r="U7"/>
    </row>
    <row r="8" spans="1:21" ht="15" customHeight="1">
      <c r="A8" s="15" t="s">
        <v>56</v>
      </c>
      <c r="B8" s="15"/>
      <c r="C8" s="16"/>
      <c r="D8" s="16"/>
      <c r="E8" s="16"/>
      <c r="F8" s="16"/>
      <c r="G8" s="16"/>
      <c r="H8" s="115"/>
      <c r="I8" s="1"/>
      <c r="L8"/>
      <c r="P8" s="1"/>
      <c r="R8"/>
      <c r="S8"/>
      <c r="T8"/>
      <c r="U8"/>
    </row>
    <row r="9" spans="1:21" ht="15" customHeight="1">
      <c r="A9" s="5" t="s">
        <v>57</v>
      </c>
      <c r="B9" s="4" t="s">
        <v>58</v>
      </c>
      <c r="C9" s="4"/>
      <c r="D9" s="5" t="s">
        <v>59</v>
      </c>
      <c r="E9" s="5" t="str">
        <f>IF(ISBLANK(AW_enter_ZoneCategory),"",AW_enter_ZoneCategory)</f>
        <v/>
      </c>
      <c r="F9" s="4"/>
      <c r="G9" s="5" t="s">
        <v>60</v>
      </c>
      <c r="H9" s="114"/>
      <c r="I9" s="1"/>
      <c r="K9"/>
      <c r="L9"/>
      <c r="P9" s="1"/>
      <c r="R9"/>
      <c r="S9"/>
      <c r="T9"/>
      <c r="U9"/>
    </row>
    <row r="10" spans="1:21" ht="15" customHeight="1">
      <c r="A10" s="5" t="s">
        <v>61</v>
      </c>
      <c r="B10" s="4" t="s">
        <v>62</v>
      </c>
      <c r="C10" s="5"/>
      <c r="D10" s="5" t="s">
        <v>63</v>
      </c>
      <c r="E10" s="5" t="str" cm="1">
        <f t="array" ref="E10">IFERROR(IF(ISBLANK(aw_enter_TurnAround_bool),"",IF(aw_enter_TurnAround_bool="yes",TRUE,FALSE)), "TRUE")</f>
        <v>TRUE</v>
      </c>
      <c r="F10" s="5"/>
      <c r="G10" s="5" t="s">
        <v>64</v>
      </c>
      <c r="H10" s="116" t="s">
        <v>65</v>
      </c>
      <c r="K10"/>
      <c r="L10"/>
      <c r="P10" s="1"/>
      <c r="R10"/>
      <c r="S10"/>
      <c r="T10"/>
      <c r="U10"/>
    </row>
    <row r="11" spans="1:21" ht="15" customHeight="1">
      <c r="A11" s="15" t="s">
        <v>66</v>
      </c>
      <c r="B11" s="15"/>
      <c r="C11" s="16"/>
      <c r="D11" s="16"/>
      <c r="E11" s="16"/>
      <c r="F11" s="16"/>
      <c r="G11" s="16"/>
      <c r="H11" s="115"/>
      <c r="I11" s="1"/>
      <c r="K11"/>
      <c r="L11"/>
      <c r="P11" s="1"/>
      <c r="R11"/>
      <c r="S11"/>
      <c r="T11"/>
      <c r="U11"/>
    </row>
    <row r="12" spans="1:21" ht="15" customHeight="1">
      <c r="A12" s="5" t="s">
        <v>67</v>
      </c>
      <c r="B12" s="4" t="s">
        <v>68</v>
      </c>
      <c r="C12" s="5" t="s">
        <v>69</v>
      </c>
      <c r="D12" s="5" t="s">
        <v>70</v>
      </c>
      <c r="E12" s="6" t="str">
        <f>IF(ISBLANK(AW_enter_A),"",AW_enter_A)</f>
        <v/>
      </c>
      <c r="F12" s="5" t="s">
        <v>71</v>
      </c>
      <c r="G12" s="5" t="s">
        <v>72</v>
      </c>
      <c r="H12" s="113"/>
      <c r="O12"/>
    </row>
    <row r="13" spans="1:21" ht="15" customHeight="1">
      <c r="A13" s="5" t="s">
        <v>73</v>
      </c>
      <c r="B13" s="4" t="s">
        <v>74</v>
      </c>
      <c r="C13" s="5" t="s">
        <v>75</v>
      </c>
      <c r="D13" s="5" t="s">
        <v>76</v>
      </c>
      <c r="E13" s="6" t="str">
        <f>IF(ISBLANK(AW_enter_P),"",AW_enter_P)</f>
        <v/>
      </c>
      <c r="F13" s="5" t="s">
        <v>71</v>
      </c>
      <c r="G13" s="5" t="s">
        <v>72</v>
      </c>
      <c r="H13" s="113"/>
      <c r="O13"/>
    </row>
    <row r="14" spans="1:21" ht="15" customHeight="1">
      <c r="A14" s="5" t="s">
        <v>77</v>
      </c>
      <c r="B14" s="4" t="s">
        <v>78</v>
      </c>
      <c r="C14" s="5" t="s">
        <v>79</v>
      </c>
      <c r="D14" s="5" t="s">
        <v>80</v>
      </c>
      <c r="E14" s="6" t="str">
        <f>IF(ISBLANK(AW_enter_L),"",AW_enter_L)</f>
        <v/>
      </c>
      <c r="F14" s="5" t="s">
        <v>71</v>
      </c>
      <c r="G14" s="5" t="s">
        <v>72</v>
      </c>
      <c r="H14" s="113"/>
      <c r="O14"/>
    </row>
    <row r="15" spans="1:21" ht="15" customHeight="1">
      <c r="A15" s="13" t="s">
        <v>81</v>
      </c>
      <c r="B15" s="13"/>
      <c r="C15" s="20"/>
      <c r="D15" s="20"/>
      <c r="E15" s="20"/>
      <c r="F15" s="20"/>
      <c r="G15" s="20"/>
      <c r="H15" s="112"/>
      <c r="O15"/>
    </row>
    <row r="16" spans="1:21" ht="15" customHeight="1">
      <c r="A16" s="5" t="s">
        <v>82</v>
      </c>
      <c r="B16" s="4" t="s">
        <v>83</v>
      </c>
      <c r="C16" s="5" t="s">
        <v>84</v>
      </c>
      <c r="D16" s="5" t="s">
        <v>85</v>
      </c>
      <c r="E16" s="31" t="e">
        <f>_xlfn.XLOOKUP(aw_ZoneCategory,Table_Zones[Abbreviated],Table_Zones[ROW Width for Alleys Considered to be Improved (ft) (Table B 23.53.030)])</f>
        <v>#N/A</v>
      </c>
      <c r="F16" s="5" t="s">
        <v>71</v>
      </c>
      <c r="G16" s="5" t="s">
        <v>72</v>
      </c>
      <c r="H16" s="113"/>
      <c r="O16"/>
    </row>
    <row r="17" spans="1:21" ht="15" customHeight="1">
      <c r="A17" s="5" t="s">
        <v>86</v>
      </c>
      <c r="B17" s="4" t="s">
        <v>87</v>
      </c>
      <c r="C17" s="5" t="s">
        <v>88</v>
      </c>
      <c r="D17" s="5" t="s">
        <v>89</v>
      </c>
      <c r="E17" s="8">
        <f>IF(aw_TurnAround_bool,aw_S_max,aw_S_maxbackin)</f>
        <v>0.15</v>
      </c>
      <c r="F17" s="5"/>
      <c r="G17" s="5" t="s">
        <v>45</v>
      </c>
      <c r="H17" s="113"/>
      <c r="O17"/>
    </row>
    <row r="18" spans="1:21" ht="15" customHeight="1">
      <c r="A18" s="37" t="s">
        <v>90</v>
      </c>
      <c r="B18" s="37"/>
      <c r="C18" s="38"/>
      <c r="D18" s="38"/>
      <c r="E18" s="38"/>
      <c r="F18" s="38"/>
      <c r="G18" s="38"/>
      <c r="H18" s="117"/>
      <c r="I18" s="1"/>
      <c r="O18"/>
    </row>
    <row r="19" spans="1:21" ht="15" customHeight="1">
      <c r="A19" s="34" t="s">
        <v>91</v>
      </c>
      <c r="B19" s="35" t="s">
        <v>92</v>
      </c>
      <c r="C19" s="34" t="s">
        <v>93</v>
      </c>
      <c r="D19" s="34" t="s">
        <v>94</v>
      </c>
      <c r="E19" s="36" t="e">
        <f>MAX(aw_W_row/2-aw_P,0)</f>
        <v>#N/A</v>
      </c>
      <c r="F19" s="34" t="s">
        <v>71</v>
      </c>
      <c r="G19" s="34" t="s">
        <v>72</v>
      </c>
      <c r="H19" s="118"/>
      <c r="I19" s="1"/>
      <c r="O19"/>
    </row>
    <row r="20" spans="1:21" ht="15" customHeight="1">
      <c r="A20" s="34" t="s">
        <v>95</v>
      </c>
      <c r="B20" s="35" t="s">
        <v>96</v>
      </c>
      <c r="C20" s="34" t="s">
        <v>97</v>
      </c>
      <c r="D20" s="34" t="s">
        <v>98</v>
      </c>
      <c r="E20" s="36" t="e">
        <f>aw_A+(aw_P+aw_F)*aw_S_a</f>
        <v>#VALUE!</v>
      </c>
      <c r="F20" s="34" t="s">
        <v>71</v>
      </c>
      <c r="G20" s="34" t="s">
        <v>72</v>
      </c>
      <c r="H20" s="118"/>
      <c r="O20"/>
    </row>
    <row r="21" spans="1:21" ht="15" customHeight="1">
      <c r="A21" s="34" t="s">
        <v>99</v>
      </c>
      <c r="B21" s="35" t="s">
        <v>100</v>
      </c>
      <c r="C21" s="34" t="s">
        <v>101</v>
      </c>
      <c r="D21" s="34" t="s">
        <v>102</v>
      </c>
      <c r="E21" s="36" t="e">
        <f>aw_L-aw_F</f>
        <v>#VALUE!</v>
      </c>
      <c r="F21" s="34" t="s">
        <v>71</v>
      </c>
      <c r="G21" s="34" t="s">
        <v>72</v>
      </c>
      <c r="H21" s="118"/>
      <c r="O21"/>
    </row>
    <row r="22" spans="1:21" ht="15" customHeight="1">
      <c r="A22" s="34" t="s">
        <v>103</v>
      </c>
      <c r="B22" s="35" t="s">
        <v>104</v>
      </c>
      <c r="C22" s="34" t="s">
        <v>105</v>
      </c>
      <c r="D22" s="34" t="s">
        <v>106</v>
      </c>
      <c r="E22" s="109" t="e">
        <f>aw_R+aw_L_dway*aw_S_T_max</f>
        <v>#VALUE!</v>
      </c>
      <c r="F22" s="34" t="s">
        <v>71</v>
      </c>
      <c r="G22" s="34" t="s">
        <v>72</v>
      </c>
      <c r="H22" s="118"/>
      <c r="O22"/>
      <c r="Q22"/>
      <c r="R22"/>
      <c r="S22"/>
      <c r="T22"/>
      <c r="U22"/>
    </row>
    <row r="23" spans="1:21" ht="15" customHeight="1">
      <c r="A23" s="34" t="s">
        <v>107</v>
      </c>
      <c r="B23" s="35" t="s">
        <v>108</v>
      </c>
      <c r="C23" s="34" t="s">
        <v>109</v>
      </c>
      <c r="D23" s="34" t="s">
        <v>110</v>
      </c>
      <c r="E23" s="109" t="e">
        <f>aw_R-aw_L_dway*aw_S_T_max</f>
        <v>#VALUE!</v>
      </c>
      <c r="F23" s="34" t="s">
        <v>71</v>
      </c>
      <c r="G23" s="34" t="s">
        <v>72</v>
      </c>
      <c r="H23" s="118"/>
    </row>
    <row r="24" spans="1:21">
      <c r="O24"/>
    </row>
  </sheetData>
  <sortState xmlns:xlrd2="http://schemas.microsoft.com/office/spreadsheetml/2017/richdata2" ref="A5:F5">
    <sortCondition ref="A5"/>
  </sortState>
  <phoneticPr fontId="2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C5BD-1384-4703-A602-14B8DFC2DCE2}">
  <sheetPr codeName="Sheet3">
    <tabColor theme="5" tint="0.79998168889431442"/>
  </sheetPr>
  <dimension ref="A1:K15"/>
  <sheetViews>
    <sheetView workbookViewId="0">
      <selection activeCell="B32" sqref="B32:X34"/>
    </sheetView>
  </sheetViews>
  <sheetFormatPr defaultRowHeight="14.45"/>
  <cols>
    <col min="1" max="1" width="33.42578125" bestFit="1" customWidth="1"/>
    <col min="3" max="3" width="24.42578125" bestFit="1" customWidth="1"/>
    <col min="4" max="4" width="10.42578125" bestFit="1" customWidth="1"/>
    <col min="5" max="5" width="8.7109375" bestFit="1" customWidth="1"/>
    <col min="6" max="6" width="49.85546875" bestFit="1" customWidth="1"/>
    <col min="7" max="7" width="11.140625" bestFit="1" customWidth="1"/>
    <col min="8" max="9" width="11.28515625" bestFit="1" customWidth="1"/>
    <col min="10" max="10" width="13.85546875" bestFit="1" customWidth="1"/>
    <col min="11" max="11" width="14" bestFit="1" customWidth="1"/>
  </cols>
  <sheetData>
    <row r="1" spans="1:11">
      <c r="A1" s="27" t="s">
        <v>111</v>
      </c>
      <c r="B1" s="28" t="s">
        <v>112</v>
      </c>
      <c r="C1" s="28" t="s">
        <v>34</v>
      </c>
      <c r="D1" s="28" t="s">
        <v>113</v>
      </c>
      <c r="E1" s="28" t="s">
        <v>114</v>
      </c>
      <c r="F1" s="29" t="s">
        <v>115</v>
      </c>
      <c r="G1" s="12" t="s">
        <v>116</v>
      </c>
      <c r="H1" s="12" t="s">
        <v>117</v>
      </c>
      <c r="I1" s="12" t="s">
        <v>118</v>
      </c>
      <c r="J1" s="12" t="s">
        <v>119</v>
      </c>
      <c r="K1" s="12" t="s">
        <v>120</v>
      </c>
    </row>
    <row r="2" spans="1:11">
      <c r="A2" s="23" t="s">
        <v>121</v>
      </c>
      <c r="B2" s="30" t="b">
        <f>COUNTBLANK(aw_ZoneCategory)&gt;0</f>
        <v>1</v>
      </c>
      <c r="C2" s="24"/>
      <c r="D2" s="43">
        <v>0</v>
      </c>
      <c r="E2" s="43" t="b">
        <f t="shared" ref="E2:E8" si="0">D2=$D$9</f>
        <v>0</v>
      </c>
      <c r="F2" s="41" t="s">
        <v>122</v>
      </c>
      <c r="G2" s="41" t="b">
        <v>1</v>
      </c>
      <c r="H2" s="41" t="b">
        <v>1</v>
      </c>
      <c r="I2" s="41" t="b">
        <v>1</v>
      </c>
      <c r="J2" s="41" t="b">
        <v>1</v>
      </c>
      <c r="K2" s="41" t="b">
        <v>1</v>
      </c>
    </row>
    <row r="3" spans="1:11">
      <c r="A3" s="23" t="s">
        <v>123</v>
      </c>
      <c r="B3" s="30" t="b">
        <f>COUNTBLANK(aw_TurnAround_bool)&gt;0</f>
        <v>0</v>
      </c>
      <c r="C3" s="24"/>
      <c r="D3" s="43">
        <v>0</v>
      </c>
      <c r="E3" s="43" t="b">
        <f t="shared" si="0"/>
        <v>0</v>
      </c>
      <c r="F3" s="41" t="s">
        <v>124</v>
      </c>
      <c r="G3" s="41" t="b">
        <v>0</v>
      </c>
      <c r="H3" s="41" t="b">
        <v>0</v>
      </c>
      <c r="I3" s="41" t="b">
        <v>1</v>
      </c>
      <c r="J3" s="41" t="b">
        <v>1</v>
      </c>
      <c r="K3" s="41" t="b">
        <v>1</v>
      </c>
    </row>
    <row r="4" spans="1:11">
      <c r="A4" s="23" t="s">
        <v>125</v>
      </c>
      <c r="B4" s="30" t="b">
        <f>COUNTBLANK(aw_A)&gt;0</f>
        <v>1</v>
      </c>
      <c r="C4" s="24"/>
      <c r="D4" s="43">
        <v>0</v>
      </c>
      <c r="E4" s="43" t="b">
        <f t="shared" si="0"/>
        <v>0</v>
      </c>
      <c r="F4" s="41" t="s">
        <v>126</v>
      </c>
      <c r="G4" s="41" t="b">
        <v>1</v>
      </c>
      <c r="H4" s="41" t="b">
        <v>1</v>
      </c>
      <c r="I4" s="41" t="b">
        <v>1</v>
      </c>
      <c r="J4" s="41" t="b">
        <v>1</v>
      </c>
      <c r="K4" s="41" t="b">
        <v>1</v>
      </c>
    </row>
    <row r="5" spans="1:11">
      <c r="A5" s="23" t="s">
        <v>127</v>
      </c>
      <c r="B5" s="30" t="b">
        <f>COUNTBLANK(aw_P)&gt;0</f>
        <v>1</v>
      </c>
      <c r="C5" s="24"/>
      <c r="D5" s="43">
        <v>0</v>
      </c>
      <c r="E5" s="43" t="b">
        <f t="shared" si="0"/>
        <v>0</v>
      </c>
      <c r="F5" s="41" t="s">
        <v>128</v>
      </c>
      <c r="G5" s="41" t="b">
        <v>1</v>
      </c>
      <c r="H5" s="41" t="b">
        <v>1</v>
      </c>
      <c r="I5" s="41" t="b">
        <v>1</v>
      </c>
      <c r="J5" s="41" t="b">
        <v>1</v>
      </c>
      <c r="K5" s="41" t="b">
        <v>1</v>
      </c>
    </row>
    <row r="6" spans="1:11">
      <c r="A6" s="23" t="s">
        <v>129</v>
      </c>
      <c r="B6" s="30" t="b">
        <f>COUNTBLANK(aw_L)&gt;0</f>
        <v>1</v>
      </c>
      <c r="C6" s="24"/>
      <c r="D6" s="43">
        <v>0</v>
      </c>
      <c r="E6" s="43" t="b">
        <f t="shared" si="0"/>
        <v>0</v>
      </c>
      <c r="F6" s="41" t="s">
        <v>130</v>
      </c>
      <c r="G6" s="41" t="b">
        <v>0</v>
      </c>
      <c r="H6" s="41" t="b">
        <v>0</v>
      </c>
      <c r="I6" s="41" t="b">
        <v>1</v>
      </c>
      <c r="J6" s="41" t="b">
        <v>1</v>
      </c>
      <c r="K6" s="41" t="b">
        <v>1</v>
      </c>
    </row>
    <row r="7" spans="1:11" ht="43.5">
      <c r="A7" s="23" t="s">
        <v>131</v>
      </c>
      <c r="B7" s="30" t="b">
        <f>OR(B2:B6)</f>
        <v>1</v>
      </c>
      <c r="C7" s="24" t="s">
        <v>132</v>
      </c>
      <c r="D7" s="43">
        <v>1</v>
      </c>
      <c r="E7" s="43" t="b">
        <f t="shared" si="0"/>
        <v>1</v>
      </c>
      <c r="F7" s="47" t="str" cm="1">
        <f t="array" ref="F7">IF(_aw_ErrorFlag,_xlfn.CONCAT(
_xlfn.TEXTJOIN(CHAR(10),TRUE,IF(OR(B2:B3),"- Make all selections in DRIVEWAY AND FRONTAGE SELECTIONS BOX ",""),
IF(OR(B4:B6),_xlfn.CONCAT("- Input value(s) for: ",_xlfn.TEXTJOIN(", ",TRUE,IF(B4:B6=TRUE,F4:F6,""))),"")
)))</f>
        <v>- Make all selections in DRIVEWAY AND FRONTAGE SELECTIONS BOX 
- Input value(s) for: Elevation "C", Distance "P", Distance "L"</v>
      </c>
      <c r="G7" s="41" t="b">
        <v>0</v>
      </c>
      <c r="H7" s="41" t="b">
        <v>0</v>
      </c>
      <c r="I7" s="41" t="b">
        <v>0</v>
      </c>
      <c r="J7" s="41" t="b">
        <v>0</v>
      </c>
      <c r="K7" s="41" t="b">
        <v>0</v>
      </c>
    </row>
    <row r="8" spans="1:11">
      <c r="A8" s="25" t="s">
        <v>133</v>
      </c>
      <c r="B8" s="26" t="b">
        <f>IF(ISERROR(aw_W_row),TRUE,IF(ISERROR(aw_F),FALSE,aw_L&lt;aw_F))</f>
        <v>1</v>
      </c>
      <c r="C8" s="26" t="s">
        <v>134</v>
      </c>
      <c r="D8" s="44">
        <v>2</v>
      </c>
      <c r="E8" s="45" t="b">
        <f t="shared" si="0"/>
        <v>0</v>
      </c>
      <c r="F8" s="46" t="s">
        <v>135</v>
      </c>
      <c r="G8" s="41" t="b">
        <v>0</v>
      </c>
      <c r="H8" s="41" t="b">
        <v>0</v>
      </c>
      <c r="I8" s="41" t="b">
        <v>1</v>
      </c>
      <c r="J8" s="41" t="b">
        <v>1</v>
      </c>
      <c r="K8" s="41" t="b">
        <v>1</v>
      </c>
    </row>
    <row r="9" spans="1:11">
      <c r="A9" s="21" t="s">
        <v>136</v>
      </c>
      <c r="B9" s="21" t="b">
        <f>IF(COUNTIF(_aw_ErrorList,TRUE)&gt;0,TRUE,FALSE)</f>
        <v>1</v>
      </c>
      <c r="C9" s="21" t="s">
        <v>137</v>
      </c>
      <c r="D9" s="22" cm="1">
        <f t="array" ref="D9">MIN(IF(--_aw_ErrorList*D2:D8&lt;&gt;0,--_aw_ErrorList*D2:D8))</f>
        <v>1</v>
      </c>
      <c r="E9" s="21"/>
      <c r="F9" s="21"/>
      <c r="G9" s="21" t="b" cm="1">
        <f t="array" ref="G9">IF(SUMPRODUCT(--_aw_ErrorList,--G2:G8)&gt;0,TRUE)</f>
        <v>1</v>
      </c>
      <c r="H9" s="21" t="b" cm="1">
        <f t="array" ref="H9">IF(SUMPRODUCT(--_aw_ErrorList,--H2:H8)&gt;0,TRUE)</f>
        <v>1</v>
      </c>
      <c r="I9" s="21" t="b" cm="1">
        <f t="array" ref="I9">IF(SUMPRODUCT(--_aw_ErrorList,--I2:I8)&gt;0,TRUE)</f>
        <v>1</v>
      </c>
      <c r="J9" s="21" t="b" cm="1">
        <f t="array" ref="J9">IF(SUMPRODUCT(--_aw_ErrorList,--J2:J8)&gt;0,TRUE)</f>
        <v>1</v>
      </c>
      <c r="K9" s="21" t="b" cm="1">
        <f t="array" ref="K9">IF(SUMPRODUCT(--_aw_ErrorList,--K2:K8)&gt;0,TRUE)</f>
        <v>1</v>
      </c>
    </row>
    <row r="10" spans="1:11">
      <c r="A10" t="s">
        <v>138</v>
      </c>
      <c r="B10" s="192" t="str" cm="1">
        <f t="array" ref="B10">IF(_aw_ErrorFlag,_xlfn.TEXTJOIN(CHAR(10),TRUE,IF(E7:E8=TRUE,F7:F8,"")),"")</f>
        <v>- Make all selections in DRIVEWAY AND FRONTAGE SELECTIONS BOX 
- Input value(s) for: Elevation "C", Distance "P", Distance "L"</v>
      </c>
      <c r="C10" t="s">
        <v>139</v>
      </c>
      <c r="D10" s="130"/>
      <c r="E10" s="130"/>
      <c r="G10" s="42" t="s">
        <v>140</v>
      </c>
      <c r="H10" s="42" t="s">
        <v>141</v>
      </c>
      <c r="I10" s="42" t="s">
        <v>142</v>
      </c>
      <c r="J10" s="42" t="s">
        <v>143</v>
      </c>
      <c r="K10" s="42" t="s">
        <v>144</v>
      </c>
    </row>
    <row r="11" spans="1:11">
      <c r="B11" s="192"/>
      <c r="D11" s="130"/>
      <c r="E11" s="130"/>
    </row>
    <row r="12" spans="1:11">
      <c r="B12" s="192"/>
      <c r="D12" s="130"/>
      <c r="E12" s="130"/>
    </row>
    <row r="13" spans="1:11">
      <c r="B13" s="192"/>
      <c r="C13" s="1"/>
      <c r="D13" s="130"/>
      <c r="E13" s="130"/>
    </row>
    <row r="15" spans="1:11">
      <c r="A15" s="40" t="s">
        <v>145</v>
      </c>
    </row>
  </sheetData>
  <mergeCells count="1">
    <mergeCell ref="B10:B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45AC-1147-47B1-B204-E89BEB6867B5}">
  <sheetPr codeName="Sheet4">
    <tabColor rgb="FF002060"/>
  </sheetPr>
  <dimension ref="A1:M5"/>
  <sheetViews>
    <sheetView zoomScale="115" zoomScaleNormal="115" workbookViewId="0">
      <selection activeCell="B32" sqref="B32:X34"/>
    </sheetView>
  </sheetViews>
  <sheetFormatPr defaultColWidth="9.140625" defaultRowHeight="14.45"/>
  <cols>
    <col min="1" max="1" width="9.140625" style="2"/>
    <col min="2" max="2" width="42.5703125" style="2" customWidth="1"/>
    <col min="3" max="3" width="14.28515625" style="2" customWidth="1"/>
    <col min="4" max="4" width="22.42578125" style="3" customWidth="1"/>
    <col min="5" max="5" width="34.140625" style="3" customWidth="1"/>
    <col min="6" max="6" width="5.5703125" style="3" customWidth="1"/>
    <col min="7" max="7" width="95.28515625" style="2" bestFit="1" customWidth="1"/>
    <col min="8" max="8" width="25.140625" style="2" customWidth="1"/>
    <col min="9" max="9" width="8.42578125" style="3" bestFit="1" customWidth="1"/>
    <col min="10" max="10" width="13.28515625" style="2" bestFit="1" customWidth="1"/>
    <col min="11" max="11" width="9.85546875" style="2" bestFit="1" customWidth="1"/>
    <col min="12" max="12" width="22.28515625" style="2" bestFit="1" customWidth="1"/>
    <col min="13" max="16384" width="9.140625" style="2"/>
  </cols>
  <sheetData>
    <row r="1" spans="1:13">
      <c r="A1" s="121" t="s">
        <v>146</v>
      </c>
      <c r="B1" s="121" t="s">
        <v>32</v>
      </c>
      <c r="C1" s="121" t="s">
        <v>147</v>
      </c>
      <c r="D1" s="122" t="s">
        <v>34</v>
      </c>
      <c r="E1" s="122" t="s">
        <v>35</v>
      </c>
      <c r="F1" s="122" t="s">
        <v>36</v>
      </c>
      <c r="G1" s="121" t="s">
        <v>38</v>
      </c>
    </row>
    <row r="2" spans="1:13">
      <c r="A2" s="39" t="s">
        <v>148</v>
      </c>
      <c r="B2" s="39"/>
      <c r="C2" s="39"/>
      <c r="D2" s="39"/>
      <c r="E2" s="39"/>
      <c r="F2" s="39"/>
      <c r="G2" s="39"/>
      <c r="H2" s="9"/>
      <c r="I2" s="193"/>
      <c r="J2" s="193"/>
      <c r="K2" s="193"/>
    </row>
    <row r="3" spans="1:13" ht="16.5">
      <c r="A3" s="4" t="s">
        <v>41</v>
      </c>
      <c r="B3" s="4" t="s">
        <v>42</v>
      </c>
      <c r="C3" s="4" t="s">
        <v>43</v>
      </c>
      <c r="D3" s="7" t="s">
        <v>149</v>
      </c>
      <c r="E3" s="8">
        <v>4.7E-2</v>
      </c>
      <c r="F3" s="5"/>
      <c r="G3" s="120" t="s">
        <v>150</v>
      </c>
      <c r="J3" s="3"/>
      <c r="K3" s="3"/>
      <c r="L3" s="3"/>
      <c r="M3" s="3"/>
    </row>
    <row r="4" spans="1:13" ht="16.5">
      <c r="A4" s="4" t="s">
        <v>46</v>
      </c>
      <c r="B4" s="4" t="s">
        <v>151</v>
      </c>
      <c r="C4" s="4" t="s">
        <v>48</v>
      </c>
      <c r="D4" s="7" t="s">
        <v>152</v>
      </c>
      <c r="E4" s="8">
        <v>0.15</v>
      </c>
      <c r="F4" s="5"/>
      <c r="G4" s="120" t="s">
        <v>153</v>
      </c>
      <c r="J4" s="10"/>
      <c r="K4" s="3"/>
      <c r="L4" s="3"/>
    </row>
    <row r="5" spans="1:13" ht="16.5">
      <c r="A5" s="4" t="s">
        <v>50</v>
      </c>
      <c r="B5" s="4" t="s">
        <v>154</v>
      </c>
      <c r="C5" s="4" t="s">
        <v>52</v>
      </c>
      <c r="D5" s="7" t="s">
        <v>155</v>
      </c>
      <c r="E5" s="8">
        <v>0.1</v>
      </c>
      <c r="F5" s="5"/>
      <c r="G5" s="120" t="s">
        <v>156</v>
      </c>
      <c r="J5" s="10"/>
      <c r="K5" s="3"/>
      <c r="L5" s="3"/>
    </row>
  </sheetData>
  <sortState xmlns:xlrd2="http://schemas.microsoft.com/office/spreadsheetml/2017/richdata2" ref="A3:G4">
    <sortCondition ref="A3:A4"/>
  </sortState>
  <mergeCells count="1">
    <mergeCell ref="I2:K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EF2-569A-4277-AE90-200B865DBC40}">
  <sheetPr codeName="Sheet5">
    <tabColor rgb="FF002060"/>
  </sheetPr>
  <dimension ref="A1:AB56"/>
  <sheetViews>
    <sheetView topLeftCell="A16" zoomScale="85" zoomScaleNormal="85" workbookViewId="0">
      <selection activeCell="B32" sqref="B32:X34"/>
    </sheetView>
  </sheetViews>
  <sheetFormatPr defaultRowHeight="14.45"/>
  <cols>
    <col min="1" max="1" width="45.28515625" customWidth="1"/>
    <col min="2" max="2" width="14.85546875" bestFit="1" customWidth="1"/>
    <col min="3" max="3" width="45.42578125" bestFit="1" customWidth="1"/>
    <col min="4" max="4" width="63.140625" customWidth="1"/>
    <col min="5" max="5" width="63.7109375" bestFit="1" customWidth="1"/>
    <col min="7" max="7" width="33.28515625" bestFit="1" customWidth="1"/>
    <col min="8" max="8" width="11" bestFit="1" customWidth="1"/>
    <col min="9" max="9" width="10" bestFit="1" customWidth="1"/>
    <col min="10" max="10" width="10.7109375" bestFit="1" customWidth="1"/>
    <col min="11" max="11" width="21.28515625" customWidth="1"/>
    <col min="12" max="12" width="17" customWidth="1"/>
    <col min="13" max="13" width="17.85546875" customWidth="1"/>
    <col min="14" max="14" width="21.140625" customWidth="1"/>
    <col min="15" max="15" width="20.140625" customWidth="1"/>
    <col min="16" max="16" width="21" customWidth="1"/>
    <col min="17" max="17" width="22.7109375" bestFit="1" customWidth="1"/>
    <col min="18" max="18" width="25.85546875" bestFit="1" customWidth="1"/>
    <col min="19" max="19" width="26.85546875" bestFit="1" customWidth="1"/>
    <col min="20" max="20" width="31.42578125" bestFit="1" customWidth="1"/>
    <col min="21" max="21" width="26.42578125" bestFit="1" customWidth="1"/>
    <col min="22" max="22" width="29.5703125" bestFit="1" customWidth="1"/>
    <col min="23" max="23" width="30.5703125" bestFit="1" customWidth="1"/>
    <col min="24" max="24" width="34.28515625" bestFit="1" customWidth="1"/>
    <col min="25" max="25" width="26" bestFit="1" customWidth="1"/>
    <col min="26" max="26" width="29.5703125" bestFit="1" customWidth="1"/>
    <col min="27" max="27" width="30.5703125" bestFit="1" customWidth="1"/>
    <col min="28" max="28" width="34.28515625" bestFit="1" customWidth="1"/>
  </cols>
  <sheetData>
    <row r="1" spans="1:28">
      <c r="A1" t="s">
        <v>157</v>
      </c>
      <c r="B1" t="s">
        <v>158</v>
      </c>
      <c r="C1" t="s">
        <v>159</v>
      </c>
      <c r="D1" t="s">
        <v>160</v>
      </c>
      <c r="E1" t="s">
        <v>161</v>
      </c>
      <c r="G1" s="17" t="s">
        <v>162</v>
      </c>
      <c r="H1" s="17"/>
      <c r="I1" s="17"/>
      <c r="J1" s="17"/>
      <c r="K1" s="17"/>
      <c r="L1" s="17"/>
    </row>
    <row r="2" spans="1:28">
      <c r="A2" t="s">
        <v>163</v>
      </c>
      <c r="B2" t="s">
        <v>164</v>
      </c>
      <c r="C2">
        <v>40</v>
      </c>
      <c r="D2">
        <v>10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170</v>
      </c>
      <c r="M2" t="s">
        <v>171</v>
      </c>
      <c r="N2" t="s">
        <v>172</v>
      </c>
      <c r="O2" t="s">
        <v>173</v>
      </c>
      <c r="P2" t="s">
        <v>174</v>
      </c>
      <c r="Q2" t="s">
        <v>175</v>
      </c>
      <c r="R2" t="s">
        <v>176</v>
      </c>
      <c r="S2" t="s">
        <v>177</v>
      </c>
      <c r="T2" t="s">
        <v>178</v>
      </c>
      <c r="U2" t="s">
        <v>179</v>
      </c>
      <c r="V2" t="s">
        <v>180</v>
      </c>
      <c r="W2" t="s">
        <v>181</v>
      </c>
      <c r="X2" t="s">
        <v>182</v>
      </c>
      <c r="Y2" t="s">
        <v>183</v>
      </c>
      <c r="Z2" t="s">
        <v>184</v>
      </c>
      <c r="AA2" t="s">
        <v>185</v>
      </c>
      <c r="AB2" t="s">
        <v>186</v>
      </c>
    </row>
    <row r="3" spans="1:28">
      <c r="A3" t="s">
        <v>187</v>
      </c>
      <c r="B3" t="s">
        <v>188</v>
      </c>
      <c r="C3">
        <v>40</v>
      </c>
      <c r="D3">
        <v>10</v>
      </c>
      <c r="G3" t="s">
        <v>189</v>
      </c>
      <c r="H3" t="b">
        <v>1</v>
      </c>
      <c r="I3" t="b">
        <v>0</v>
      </c>
      <c r="J3" t="b">
        <v>1</v>
      </c>
      <c r="K3">
        <v>6</v>
      </c>
      <c r="L3">
        <v>8</v>
      </c>
      <c r="M3">
        <v>8</v>
      </c>
      <c r="N3">
        <v>10</v>
      </c>
      <c r="O3">
        <v>6</v>
      </c>
      <c r="P3">
        <v>8</v>
      </c>
      <c r="Q3">
        <f>Table_ROWIM_Widths[[#This Row],[Ped Clear Zone]]+Table_ROWIM_Widths[[#This Row],[Landscape Zone]]</f>
        <v>14</v>
      </c>
      <c r="R3">
        <f>Table_ROWIM_Widths[[#This Row],[RR Ped Clear Zone]]+Table_ROWIM_Widths[[#This Row],[RR Landscape Zone]]</f>
        <v>18</v>
      </c>
      <c r="S3">
        <f>Table_ROWIM_Widths[[#This Row],[PDZ Ped Clear Zone]]+Table_ROWIM_Widths[[#This Row],[Landscape Zone]]</f>
        <v>14</v>
      </c>
      <c r="T3">
        <f>MAX(Table_ROWIM_Widths[[#This Row],[PDZ Ped Clear Zone]],Table_ROWIM_Widths[[#This Row],[RR Ped Clear Zone]])+Table_ROWIM_Widths[[#This Row],[RR Landscape Zone]]</f>
        <v>18</v>
      </c>
      <c r="U3">
        <f>40-Table_ROWIM_Widths[[#This Row],[Total Minimum Width]]*2</f>
        <v>12</v>
      </c>
      <c r="V3">
        <f>40-Table_ROWIM_Widths[[#This Row],[RR Total Minimum Width]]*2</f>
        <v>4</v>
      </c>
      <c r="W3">
        <f>40-Table_ROWIM_Widths[[#This Row],[PDZ Total Minimum Width]]*2</f>
        <v>12</v>
      </c>
      <c r="X3">
        <f>40-Table_ROWIM_Widths[[#This Row],[PDZ + RR Total Minimum Width]]*2</f>
        <v>4</v>
      </c>
      <c r="Y3">
        <f>52-Table_ROWIM_Widths[[#This Row],[Total Minimum Width]]*2</f>
        <v>24</v>
      </c>
      <c r="Z3">
        <f>52-Table_ROWIM_Widths[[#This Row],[RR Total Minimum Width]]*2</f>
        <v>16</v>
      </c>
      <c r="AA3">
        <f>52-Table_ROWIM_Widths[[#This Row],[PDZ Total Minimum Width]]*2</f>
        <v>24</v>
      </c>
      <c r="AB3">
        <f>52-Table_ROWIM_Widths[[#This Row],[PDZ + RR Total Minimum Width]]*2</f>
        <v>16</v>
      </c>
    </row>
    <row r="4" spans="1:28">
      <c r="A4" t="s">
        <v>190</v>
      </c>
      <c r="B4" t="s">
        <v>191</v>
      </c>
      <c r="C4">
        <v>40</v>
      </c>
      <c r="D4">
        <v>10</v>
      </c>
      <c r="G4" t="s">
        <v>192</v>
      </c>
      <c r="H4" t="b">
        <v>1</v>
      </c>
      <c r="I4" t="b">
        <v>0</v>
      </c>
      <c r="J4" t="b">
        <v>1</v>
      </c>
      <c r="K4">
        <v>6</v>
      </c>
      <c r="L4">
        <v>6</v>
      </c>
      <c r="M4">
        <v>6</v>
      </c>
      <c r="N4">
        <v>8</v>
      </c>
      <c r="O4">
        <v>6</v>
      </c>
      <c r="P4">
        <v>6</v>
      </c>
      <c r="Q4">
        <f>Table_ROWIM_Widths[[#This Row],[Ped Clear Zone]]+Table_ROWIM_Widths[[#This Row],[Landscape Zone]]</f>
        <v>12</v>
      </c>
      <c r="R4">
        <f>Table_ROWIM_Widths[[#This Row],[RR Ped Clear Zone]]+Table_ROWIM_Widths[[#This Row],[RR Landscape Zone]]</f>
        <v>14</v>
      </c>
      <c r="S4">
        <f>Table_ROWIM_Widths[[#This Row],[PDZ Ped Clear Zone]]+Table_ROWIM_Widths[[#This Row],[Landscape Zone]]</f>
        <v>12</v>
      </c>
      <c r="T4">
        <f>MAX(Table_ROWIM_Widths[[#This Row],[PDZ Ped Clear Zone]],Table_ROWIM_Widths[[#This Row],[RR Ped Clear Zone]])+Table_ROWIM_Widths[[#This Row],[RR Landscape Zone]]</f>
        <v>14</v>
      </c>
      <c r="U4">
        <f>40-Table_ROWIM_Widths[[#This Row],[Total Minimum Width]]*2</f>
        <v>16</v>
      </c>
      <c r="V4">
        <f>40-Table_ROWIM_Widths[[#This Row],[RR Total Minimum Width]]*2</f>
        <v>12</v>
      </c>
      <c r="W4">
        <f>40-Table_ROWIM_Widths[[#This Row],[PDZ Total Minimum Width]]*2</f>
        <v>16</v>
      </c>
      <c r="X4">
        <f>40-Table_ROWIM_Widths[[#This Row],[PDZ + RR Total Minimum Width]]*2</f>
        <v>12</v>
      </c>
      <c r="Y4">
        <f>52-Table_ROWIM_Widths[[#This Row],[Total Minimum Width]]*2</f>
        <v>28</v>
      </c>
      <c r="Z4">
        <f>52-Table_ROWIM_Widths[[#This Row],[RR Total Minimum Width]]*2</f>
        <v>24</v>
      </c>
      <c r="AA4">
        <f>52-Table_ROWIM_Widths[[#This Row],[PDZ Total Minimum Width]]*2</f>
        <v>28</v>
      </c>
      <c r="AB4">
        <f>52-Table_ROWIM_Widths[[#This Row],[PDZ + RR Total Minimum Width]]*2</f>
        <v>24</v>
      </c>
    </row>
    <row r="5" spans="1:28">
      <c r="A5" t="s">
        <v>193</v>
      </c>
      <c r="B5" t="s">
        <v>194</v>
      </c>
      <c r="C5">
        <v>52</v>
      </c>
      <c r="D5">
        <v>10</v>
      </c>
      <c r="G5" t="s">
        <v>195</v>
      </c>
      <c r="H5" t="b">
        <v>1</v>
      </c>
      <c r="I5" t="b">
        <v>0</v>
      </c>
      <c r="J5" t="b">
        <v>1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f>Table_ROWIM_Widths[[#This Row],[Ped Clear Zone]]+Table_ROWIM_Widths[[#This Row],[Landscape Zone]]</f>
        <v>12</v>
      </c>
      <c r="R5">
        <f>Table_ROWIM_Widths[[#This Row],[RR Ped Clear Zone]]+Table_ROWIM_Widths[[#This Row],[RR Landscape Zone]]</f>
        <v>12</v>
      </c>
      <c r="S5">
        <f>Table_ROWIM_Widths[[#This Row],[PDZ Ped Clear Zone]]+Table_ROWIM_Widths[[#This Row],[Landscape Zone]]</f>
        <v>12</v>
      </c>
      <c r="T5">
        <f>MAX(Table_ROWIM_Widths[[#This Row],[PDZ Ped Clear Zone]],Table_ROWIM_Widths[[#This Row],[RR Ped Clear Zone]])+Table_ROWIM_Widths[[#This Row],[RR Landscape Zone]]</f>
        <v>12</v>
      </c>
      <c r="U5">
        <f>40-Table_ROWIM_Widths[[#This Row],[Total Minimum Width]]*2</f>
        <v>16</v>
      </c>
      <c r="V5">
        <f>40-Table_ROWIM_Widths[[#This Row],[RR Total Minimum Width]]*2</f>
        <v>16</v>
      </c>
      <c r="W5">
        <f>40-Table_ROWIM_Widths[[#This Row],[PDZ Total Minimum Width]]*2</f>
        <v>16</v>
      </c>
      <c r="X5">
        <f>40-Table_ROWIM_Widths[[#This Row],[PDZ + RR Total Minimum Width]]*2</f>
        <v>16</v>
      </c>
      <c r="Y5">
        <f>52-Table_ROWIM_Widths[[#This Row],[Total Minimum Width]]*2</f>
        <v>28</v>
      </c>
      <c r="Z5">
        <f>52-Table_ROWIM_Widths[[#This Row],[RR Total Minimum Width]]*2</f>
        <v>28</v>
      </c>
      <c r="AA5">
        <f>52-Table_ROWIM_Widths[[#This Row],[PDZ Total Minimum Width]]*2</f>
        <v>28</v>
      </c>
      <c r="AB5">
        <f>52-Table_ROWIM_Widths[[#This Row],[PDZ + RR Total Minimum Width]]*2</f>
        <v>28</v>
      </c>
    </row>
    <row r="6" spans="1:28">
      <c r="A6" t="s">
        <v>196</v>
      </c>
      <c r="B6" t="s">
        <v>197</v>
      </c>
      <c r="C6">
        <v>52</v>
      </c>
      <c r="D6">
        <v>12</v>
      </c>
      <c r="G6" t="s">
        <v>198</v>
      </c>
      <c r="H6" t="b">
        <v>1</v>
      </c>
      <c r="I6" t="b">
        <v>0</v>
      </c>
      <c r="J6" t="b">
        <v>1</v>
      </c>
      <c r="K6">
        <v>6</v>
      </c>
      <c r="L6">
        <v>6</v>
      </c>
      <c r="M6">
        <v>8</v>
      </c>
      <c r="N6">
        <v>6</v>
      </c>
      <c r="O6">
        <v>6</v>
      </c>
      <c r="P6">
        <v>6</v>
      </c>
      <c r="Q6">
        <f>Table_ROWIM_Widths[[#This Row],[Ped Clear Zone]]+Table_ROWIM_Widths[[#This Row],[Landscape Zone]]</f>
        <v>12</v>
      </c>
      <c r="R6">
        <f>Table_ROWIM_Widths[[#This Row],[RR Ped Clear Zone]]+Table_ROWIM_Widths[[#This Row],[RR Landscape Zone]]</f>
        <v>12</v>
      </c>
      <c r="S6">
        <f>Table_ROWIM_Widths[[#This Row],[PDZ Ped Clear Zone]]+Table_ROWIM_Widths[[#This Row],[Landscape Zone]]</f>
        <v>14</v>
      </c>
      <c r="T6">
        <f>MAX(Table_ROWIM_Widths[[#This Row],[PDZ Ped Clear Zone]],Table_ROWIM_Widths[[#This Row],[RR Ped Clear Zone]])+Table_ROWIM_Widths[[#This Row],[RR Landscape Zone]]</f>
        <v>14</v>
      </c>
      <c r="U6">
        <f>40-Table_ROWIM_Widths[[#This Row],[Total Minimum Width]]*2</f>
        <v>16</v>
      </c>
      <c r="V6">
        <f>40-Table_ROWIM_Widths[[#This Row],[RR Total Minimum Width]]*2</f>
        <v>16</v>
      </c>
      <c r="W6">
        <f>40-Table_ROWIM_Widths[[#This Row],[PDZ Total Minimum Width]]*2</f>
        <v>12</v>
      </c>
      <c r="X6">
        <f>40-Table_ROWIM_Widths[[#This Row],[PDZ + RR Total Minimum Width]]*2</f>
        <v>12</v>
      </c>
      <c r="Y6">
        <f>52-Table_ROWIM_Widths[[#This Row],[Total Minimum Width]]*2</f>
        <v>28</v>
      </c>
      <c r="Z6">
        <f>52-Table_ROWIM_Widths[[#This Row],[RR Total Minimum Width]]*2</f>
        <v>28</v>
      </c>
      <c r="AA6">
        <f>52-Table_ROWIM_Widths[[#This Row],[PDZ Total Minimum Width]]*2</f>
        <v>24</v>
      </c>
      <c r="AB6">
        <f>52-Table_ROWIM_Widths[[#This Row],[PDZ + RR Total Minimum Width]]*2</f>
        <v>24</v>
      </c>
    </row>
    <row r="7" spans="1:28">
      <c r="A7" t="s">
        <v>199</v>
      </c>
      <c r="B7" t="s">
        <v>200</v>
      </c>
      <c r="C7">
        <v>52</v>
      </c>
      <c r="D7">
        <v>12</v>
      </c>
      <c r="G7" t="s">
        <v>201</v>
      </c>
      <c r="H7" t="b">
        <v>1</v>
      </c>
      <c r="I7" t="b">
        <v>0</v>
      </c>
      <c r="J7" t="b">
        <v>1</v>
      </c>
      <c r="K7">
        <v>6</v>
      </c>
      <c r="L7">
        <v>6</v>
      </c>
      <c r="M7">
        <v>8</v>
      </c>
      <c r="N7">
        <v>6</v>
      </c>
      <c r="O7">
        <v>6</v>
      </c>
      <c r="P7">
        <v>6</v>
      </c>
      <c r="Q7">
        <f>Table_ROWIM_Widths[[#This Row],[Ped Clear Zone]]+Table_ROWIM_Widths[[#This Row],[Landscape Zone]]</f>
        <v>12</v>
      </c>
      <c r="R7">
        <f>Table_ROWIM_Widths[[#This Row],[RR Ped Clear Zone]]+Table_ROWIM_Widths[[#This Row],[RR Landscape Zone]]</f>
        <v>12</v>
      </c>
      <c r="S7">
        <f>Table_ROWIM_Widths[[#This Row],[PDZ Ped Clear Zone]]+Table_ROWIM_Widths[[#This Row],[Landscape Zone]]</f>
        <v>14</v>
      </c>
      <c r="T7">
        <f>MAX(Table_ROWIM_Widths[[#This Row],[PDZ Ped Clear Zone]],Table_ROWIM_Widths[[#This Row],[RR Ped Clear Zone]])+Table_ROWIM_Widths[[#This Row],[RR Landscape Zone]]</f>
        <v>14</v>
      </c>
      <c r="U7">
        <f>40-Table_ROWIM_Widths[[#This Row],[Total Minimum Width]]*2</f>
        <v>16</v>
      </c>
      <c r="V7">
        <f>40-Table_ROWIM_Widths[[#This Row],[RR Total Minimum Width]]*2</f>
        <v>16</v>
      </c>
      <c r="W7">
        <f>40-Table_ROWIM_Widths[[#This Row],[PDZ Total Minimum Width]]*2</f>
        <v>12</v>
      </c>
      <c r="X7">
        <f>40-Table_ROWIM_Widths[[#This Row],[PDZ + RR Total Minimum Width]]*2</f>
        <v>12</v>
      </c>
      <c r="Y7">
        <f>52-Table_ROWIM_Widths[[#This Row],[Total Minimum Width]]*2</f>
        <v>28</v>
      </c>
      <c r="Z7">
        <f>52-Table_ROWIM_Widths[[#This Row],[RR Total Minimum Width]]*2</f>
        <v>28</v>
      </c>
      <c r="AA7">
        <f>52-Table_ROWIM_Widths[[#This Row],[PDZ Total Minimum Width]]*2</f>
        <v>24</v>
      </c>
      <c r="AB7">
        <f>52-Table_ROWIM_Widths[[#This Row],[PDZ + RR Total Minimum Width]]*2</f>
        <v>24</v>
      </c>
    </row>
    <row r="8" spans="1:28">
      <c r="A8" t="s">
        <v>202</v>
      </c>
      <c r="B8" t="s">
        <v>203</v>
      </c>
      <c r="C8">
        <v>40</v>
      </c>
      <c r="D8">
        <v>10</v>
      </c>
      <c r="G8" t="s">
        <v>204</v>
      </c>
      <c r="H8" t="b">
        <v>1</v>
      </c>
      <c r="I8" t="b">
        <v>0</v>
      </c>
      <c r="J8" t="b">
        <v>1</v>
      </c>
      <c r="K8">
        <v>0</v>
      </c>
      <c r="L8">
        <v>6</v>
      </c>
      <c r="M8">
        <v>6</v>
      </c>
      <c r="N8">
        <v>6</v>
      </c>
      <c r="O8">
        <v>6</v>
      </c>
      <c r="P8">
        <v>6</v>
      </c>
      <c r="Q8">
        <f>Table_ROWIM_Widths[[#This Row],[Ped Clear Zone]]+Table_ROWIM_Widths[[#This Row],[Landscape Zone]]</f>
        <v>12</v>
      </c>
      <c r="R8">
        <f>Table_ROWIM_Widths[[#This Row],[RR Ped Clear Zone]]+Table_ROWIM_Widths[[#This Row],[RR Landscape Zone]]</f>
        <v>12</v>
      </c>
      <c r="S8">
        <f>Table_ROWIM_Widths[[#This Row],[PDZ Ped Clear Zone]]+Table_ROWIM_Widths[[#This Row],[Landscape Zone]]</f>
        <v>12</v>
      </c>
      <c r="T8">
        <f>MAX(Table_ROWIM_Widths[[#This Row],[PDZ Ped Clear Zone]],Table_ROWIM_Widths[[#This Row],[RR Ped Clear Zone]])+Table_ROWIM_Widths[[#This Row],[RR Landscape Zone]]</f>
        <v>12</v>
      </c>
      <c r="U8">
        <f>40-Table_ROWIM_Widths[[#This Row],[Total Minimum Width]]*2</f>
        <v>16</v>
      </c>
      <c r="V8">
        <f>40-Table_ROWIM_Widths[[#This Row],[RR Total Minimum Width]]*2</f>
        <v>16</v>
      </c>
      <c r="W8">
        <f>40-Table_ROWIM_Widths[[#This Row],[PDZ Total Minimum Width]]*2</f>
        <v>16</v>
      </c>
      <c r="X8">
        <f>40-Table_ROWIM_Widths[[#This Row],[PDZ + RR Total Minimum Width]]*2</f>
        <v>16</v>
      </c>
      <c r="Y8">
        <f>52-Table_ROWIM_Widths[[#This Row],[Total Minimum Width]]*2</f>
        <v>28</v>
      </c>
      <c r="Z8">
        <f>52-Table_ROWIM_Widths[[#This Row],[RR Total Minimum Width]]*2</f>
        <v>28</v>
      </c>
      <c r="AA8">
        <f>52-Table_ROWIM_Widths[[#This Row],[PDZ Total Minimum Width]]*2</f>
        <v>28</v>
      </c>
      <c r="AB8">
        <f>52-Table_ROWIM_Widths[[#This Row],[PDZ + RR Total Minimum Width]]*2</f>
        <v>28</v>
      </c>
    </row>
    <row r="9" spans="1:28">
      <c r="A9" t="s">
        <v>205</v>
      </c>
      <c r="B9" t="s">
        <v>206</v>
      </c>
      <c r="C9">
        <v>40</v>
      </c>
      <c r="D9">
        <v>12</v>
      </c>
      <c r="E9" t="s">
        <v>145</v>
      </c>
      <c r="G9" t="s">
        <v>207</v>
      </c>
      <c r="H9" t="b">
        <v>1</v>
      </c>
      <c r="I9" t="b">
        <v>0</v>
      </c>
      <c r="J9" t="b">
        <v>1</v>
      </c>
      <c r="K9">
        <v>6</v>
      </c>
      <c r="L9">
        <v>6</v>
      </c>
      <c r="M9">
        <v>6</v>
      </c>
      <c r="N9">
        <v>10</v>
      </c>
      <c r="O9">
        <v>6</v>
      </c>
      <c r="P9">
        <v>8</v>
      </c>
      <c r="Q9">
        <f>Table_ROWIM_Widths[[#This Row],[Ped Clear Zone]]+Table_ROWIM_Widths[[#This Row],[Landscape Zone]]</f>
        <v>12</v>
      </c>
      <c r="R9">
        <f>Table_ROWIM_Widths[[#This Row],[RR Ped Clear Zone]]+Table_ROWIM_Widths[[#This Row],[RR Landscape Zone]]</f>
        <v>18</v>
      </c>
      <c r="S9">
        <f>Table_ROWIM_Widths[[#This Row],[PDZ Ped Clear Zone]]+Table_ROWIM_Widths[[#This Row],[Landscape Zone]]</f>
        <v>12</v>
      </c>
      <c r="T9">
        <f>MAX(Table_ROWIM_Widths[[#This Row],[PDZ Ped Clear Zone]],Table_ROWIM_Widths[[#This Row],[RR Ped Clear Zone]])+Table_ROWIM_Widths[[#This Row],[RR Landscape Zone]]</f>
        <v>18</v>
      </c>
      <c r="U9">
        <f>40-Table_ROWIM_Widths[[#This Row],[Total Minimum Width]]*2</f>
        <v>16</v>
      </c>
      <c r="V9">
        <f>40-Table_ROWIM_Widths[[#This Row],[RR Total Minimum Width]]*2</f>
        <v>4</v>
      </c>
      <c r="W9">
        <f>40-Table_ROWIM_Widths[[#This Row],[PDZ Total Minimum Width]]*2</f>
        <v>16</v>
      </c>
      <c r="X9">
        <f>40-Table_ROWIM_Widths[[#This Row],[PDZ + RR Total Minimum Width]]*2</f>
        <v>4</v>
      </c>
      <c r="Y9">
        <f>52-Table_ROWIM_Widths[[#This Row],[Total Minimum Width]]*2</f>
        <v>28</v>
      </c>
      <c r="Z9">
        <f>52-Table_ROWIM_Widths[[#This Row],[RR Total Minimum Width]]*2</f>
        <v>16</v>
      </c>
      <c r="AA9">
        <f>52-Table_ROWIM_Widths[[#This Row],[PDZ Total Minimum Width]]*2</f>
        <v>28</v>
      </c>
      <c r="AB9">
        <f>52-Table_ROWIM_Widths[[#This Row],[PDZ + RR Total Minimum Width]]*2</f>
        <v>16</v>
      </c>
    </row>
    <row r="10" spans="1:28">
      <c r="A10" t="s">
        <v>208</v>
      </c>
      <c r="B10" t="s">
        <v>209</v>
      </c>
      <c r="C10">
        <v>52</v>
      </c>
      <c r="D10">
        <v>16</v>
      </c>
      <c r="G10" t="s">
        <v>210</v>
      </c>
      <c r="H10" t="b">
        <v>1</v>
      </c>
      <c r="I10" t="b">
        <v>0</v>
      </c>
      <c r="J10" t="b">
        <v>1</v>
      </c>
      <c r="K10">
        <v>0</v>
      </c>
      <c r="L10">
        <v>6</v>
      </c>
      <c r="M10">
        <v>6</v>
      </c>
      <c r="N10">
        <v>6</v>
      </c>
      <c r="O10">
        <v>6</v>
      </c>
      <c r="P10">
        <v>6</v>
      </c>
      <c r="Q10">
        <f>Table_ROWIM_Widths[[#This Row],[Ped Clear Zone]]+Table_ROWIM_Widths[[#This Row],[Landscape Zone]]</f>
        <v>12</v>
      </c>
      <c r="R10">
        <f>Table_ROWIM_Widths[[#This Row],[RR Ped Clear Zone]]+Table_ROWIM_Widths[[#This Row],[RR Landscape Zone]]</f>
        <v>12</v>
      </c>
      <c r="S10">
        <f>Table_ROWIM_Widths[[#This Row],[PDZ Ped Clear Zone]]+Table_ROWIM_Widths[[#This Row],[Landscape Zone]]</f>
        <v>12</v>
      </c>
      <c r="T10">
        <f>MAX(Table_ROWIM_Widths[[#This Row],[PDZ Ped Clear Zone]],Table_ROWIM_Widths[[#This Row],[RR Ped Clear Zone]])+Table_ROWIM_Widths[[#This Row],[RR Landscape Zone]]</f>
        <v>12</v>
      </c>
      <c r="U10">
        <f>40-Table_ROWIM_Widths[[#This Row],[Total Minimum Width]]*2</f>
        <v>16</v>
      </c>
      <c r="V10">
        <f>40-Table_ROWIM_Widths[[#This Row],[RR Total Minimum Width]]*2</f>
        <v>16</v>
      </c>
      <c r="W10">
        <f>40-Table_ROWIM_Widths[[#This Row],[PDZ Total Minimum Width]]*2</f>
        <v>16</v>
      </c>
      <c r="X10">
        <f>40-Table_ROWIM_Widths[[#This Row],[PDZ + RR Total Minimum Width]]*2</f>
        <v>16</v>
      </c>
      <c r="Y10">
        <f>52-Table_ROWIM_Widths[[#This Row],[Total Minimum Width]]*2</f>
        <v>28</v>
      </c>
      <c r="Z10">
        <f>52-Table_ROWIM_Widths[[#This Row],[RR Total Minimum Width]]*2</f>
        <v>28</v>
      </c>
      <c r="AA10">
        <f>52-Table_ROWIM_Widths[[#This Row],[PDZ Total Minimum Width]]*2</f>
        <v>28</v>
      </c>
      <c r="AB10">
        <f>52-Table_ROWIM_Widths[[#This Row],[PDZ + RR Total Minimum Width]]*2</f>
        <v>28</v>
      </c>
    </row>
    <row r="11" spans="1:28">
      <c r="A11" t="s">
        <v>211</v>
      </c>
      <c r="B11" t="s">
        <v>212</v>
      </c>
      <c r="C11">
        <v>52</v>
      </c>
      <c r="D11">
        <v>16</v>
      </c>
      <c r="G11" t="s">
        <v>213</v>
      </c>
      <c r="H11" t="b">
        <v>1</v>
      </c>
      <c r="I11" t="b">
        <v>0</v>
      </c>
      <c r="J11" t="b">
        <v>1</v>
      </c>
      <c r="K11">
        <v>0</v>
      </c>
      <c r="L11">
        <v>6</v>
      </c>
      <c r="M11">
        <v>6</v>
      </c>
      <c r="N11">
        <v>6</v>
      </c>
      <c r="O11">
        <v>6</v>
      </c>
      <c r="P11">
        <v>6</v>
      </c>
      <c r="Q11">
        <f>Table_ROWIM_Widths[[#This Row],[Ped Clear Zone]]+Table_ROWIM_Widths[[#This Row],[Landscape Zone]]</f>
        <v>12</v>
      </c>
      <c r="R11">
        <f>Table_ROWIM_Widths[[#This Row],[RR Ped Clear Zone]]+Table_ROWIM_Widths[[#This Row],[RR Landscape Zone]]</f>
        <v>12</v>
      </c>
      <c r="S11">
        <f>Table_ROWIM_Widths[[#This Row],[PDZ Ped Clear Zone]]+Table_ROWIM_Widths[[#This Row],[Landscape Zone]]</f>
        <v>12</v>
      </c>
      <c r="T11">
        <f>MAX(Table_ROWIM_Widths[[#This Row],[PDZ Ped Clear Zone]],Table_ROWIM_Widths[[#This Row],[RR Ped Clear Zone]])+Table_ROWIM_Widths[[#This Row],[RR Landscape Zone]]</f>
        <v>12</v>
      </c>
      <c r="U11">
        <f>40-Table_ROWIM_Widths[[#This Row],[Total Minimum Width]]*2</f>
        <v>16</v>
      </c>
      <c r="V11">
        <f>40-Table_ROWIM_Widths[[#This Row],[RR Total Minimum Width]]*2</f>
        <v>16</v>
      </c>
      <c r="W11">
        <f>40-Table_ROWIM_Widths[[#This Row],[PDZ Total Minimum Width]]*2</f>
        <v>16</v>
      </c>
      <c r="X11">
        <f>40-Table_ROWIM_Widths[[#This Row],[PDZ + RR Total Minimum Width]]*2</f>
        <v>16</v>
      </c>
      <c r="Y11">
        <f>52-Table_ROWIM_Widths[[#This Row],[Total Minimum Width]]*2</f>
        <v>28</v>
      </c>
      <c r="Z11">
        <f>52-Table_ROWIM_Widths[[#This Row],[RR Total Minimum Width]]*2</f>
        <v>28</v>
      </c>
      <c r="AA11">
        <f>52-Table_ROWIM_Widths[[#This Row],[PDZ Total Minimum Width]]*2</f>
        <v>28</v>
      </c>
      <c r="AB11">
        <f>52-Table_ROWIM_Widths[[#This Row],[PDZ + RR Total Minimum Width]]*2</f>
        <v>28</v>
      </c>
    </row>
    <row r="12" spans="1:28">
      <c r="A12" t="s">
        <v>214</v>
      </c>
      <c r="B12" t="s">
        <v>215</v>
      </c>
      <c r="C12">
        <v>52</v>
      </c>
      <c r="D12">
        <v>16</v>
      </c>
      <c r="G12" t="s">
        <v>216</v>
      </c>
      <c r="H12" t="b">
        <v>1</v>
      </c>
      <c r="I12" t="b">
        <v>0</v>
      </c>
      <c r="J12" t="b">
        <v>1</v>
      </c>
      <c r="K12">
        <v>0</v>
      </c>
      <c r="L12">
        <v>6</v>
      </c>
      <c r="M12">
        <v>6</v>
      </c>
      <c r="N12">
        <v>6</v>
      </c>
      <c r="O12">
        <v>6</v>
      </c>
      <c r="P12">
        <v>6</v>
      </c>
      <c r="Q12">
        <f>Table_ROWIM_Widths[[#This Row],[Ped Clear Zone]]+Table_ROWIM_Widths[[#This Row],[Landscape Zone]]</f>
        <v>12</v>
      </c>
      <c r="R12">
        <f>Table_ROWIM_Widths[[#This Row],[RR Ped Clear Zone]]+Table_ROWIM_Widths[[#This Row],[RR Landscape Zone]]</f>
        <v>12</v>
      </c>
      <c r="S12">
        <f>Table_ROWIM_Widths[[#This Row],[PDZ Ped Clear Zone]]+Table_ROWIM_Widths[[#This Row],[Landscape Zone]]</f>
        <v>12</v>
      </c>
      <c r="T12">
        <f>MAX(Table_ROWIM_Widths[[#This Row],[PDZ Ped Clear Zone]],Table_ROWIM_Widths[[#This Row],[RR Ped Clear Zone]])+Table_ROWIM_Widths[[#This Row],[RR Landscape Zone]]</f>
        <v>12</v>
      </c>
      <c r="U12">
        <f>40-Table_ROWIM_Widths[[#This Row],[Total Minimum Width]]*2</f>
        <v>16</v>
      </c>
      <c r="V12">
        <f>40-Table_ROWIM_Widths[[#This Row],[RR Total Minimum Width]]*2</f>
        <v>16</v>
      </c>
      <c r="W12">
        <f>40-Table_ROWIM_Widths[[#This Row],[PDZ Total Minimum Width]]*2</f>
        <v>16</v>
      </c>
      <c r="X12">
        <f>40-Table_ROWIM_Widths[[#This Row],[PDZ + RR Total Minimum Width]]*2</f>
        <v>16</v>
      </c>
      <c r="Y12">
        <f>52-Table_ROWIM_Widths[[#This Row],[Total Minimum Width]]*2</f>
        <v>28</v>
      </c>
      <c r="Z12">
        <f>52-Table_ROWIM_Widths[[#This Row],[RR Total Minimum Width]]*2</f>
        <v>28</v>
      </c>
      <c r="AA12">
        <f>52-Table_ROWIM_Widths[[#This Row],[PDZ Total Minimum Width]]*2</f>
        <v>28</v>
      </c>
      <c r="AB12">
        <f>52-Table_ROWIM_Widths[[#This Row],[PDZ + RR Total Minimum Width]]*2</f>
        <v>28</v>
      </c>
    </row>
    <row r="13" spans="1:28">
      <c r="A13" t="s">
        <v>217</v>
      </c>
      <c r="B13" t="s">
        <v>218</v>
      </c>
      <c r="C13">
        <v>52</v>
      </c>
      <c r="D13">
        <v>16</v>
      </c>
      <c r="G13" t="s">
        <v>219</v>
      </c>
      <c r="H13" t="b">
        <v>1</v>
      </c>
      <c r="I13" t="b">
        <v>0</v>
      </c>
      <c r="J13" t="b">
        <v>1</v>
      </c>
      <c r="K13">
        <v>0</v>
      </c>
      <c r="L13">
        <v>6</v>
      </c>
      <c r="M13">
        <v>6</v>
      </c>
      <c r="N13">
        <v>6</v>
      </c>
      <c r="O13">
        <v>6</v>
      </c>
      <c r="P13">
        <v>6</v>
      </c>
      <c r="Q13">
        <f>Table_ROWIM_Widths[[#This Row],[Ped Clear Zone]]+Table_ROWIM_Widths[[#This Row],[Landscape Zone]]</f>
        <v>12</v>
      </c>
      <c r="R13">
        <f>Table_ROWIM_Widths[[#This Row],[RR Ped Clear Zone]]+Table_ROWIM_Widths[[#This Row],[RR Landscape Zone]]</f>
        <v>12</v>
      </c>
      <c r="S13">
        <f>Table_ROWIM_Widths[[#This Row],[PDZ Ped Clear Zone]]+Table_ROWIM_Widths[[#This Row],[Landscape Zone]]</f>
        <v>12</v>
      </c>
      <c r="T13">
        <f>MAX(Table_ROWIM_Widths[[#This Row],[PDZ Ped Clear Zone]],Table_ROWIM_Widths[[#This Row],[RR Ped Clear Zone]])+Table_ROWIM_Widths[[#This Row],[RR Landscape Zone]]</f>
        <v>12</v>
      </c>
      <c r="U13">
        <f>40-Table_ROWIM_Widths[[#This Row],[Total Minimum Width]]*2</f>
        <v>16</v>
      </c>
      <c r="V13">
        <f>40-Table_ROWIM_Widths[[#This Row],[RR Total Minimum Width]]*2</f>
        <v>16</v>
      </c>
      <c r="W13">
        <f>40-Table_ROWIM_Widths[[#This Row],[PDZ Total Minimum Width]]*2</f>
        <v>16</v>
      </c>
      <c r="X13">
        <f>40-Table_ROWIM_Widths[[#This Row],[PDZ + RR Total Minimum Width]]*2</f>
        <v>16</v>
      </c>
      <c r="Y13">
        <f>52-Table_ROWIM_Widths[[#This Row],[Total Minimum Width]]*2</f>
        <v>28</v>
      </c>
      <c r="Z13">
        <f>52-Table_ROWIM_Widths[[#This Row],[RR Total Minimum Width]]*2</f>
        <v>28</v>
      </c>
      <c r="AA13">
        <f>52-Table_ROWIM_Widths[[#This Row],[PDZ Total Minimum Width]]*2</f>
        <v>28</v>
      </c>
      <c r="AB13">
        <f>52-Table_ROWIM_Widths[[#This Row],[PDZ + RR Total Minimum Width]]*2</f>
        <v>28</v>
      </c>
    </row>
    <row r="14" spans="1:28">
      <c r="A14" t="s">
        <v>220</v>
      </c>
      <c r="B14" t="s">
        <v>221</v>
      </c>
      <c r="C14">
        <v>52</v>
      </c>
      <c r="D14">
        <v>16</v>
      </c>
      <c r="G14" t="s">
        <v>222</v>
      </c>
      <c r="H14" t="b">
        <v>0</v>
      </c>
      <c r="I14" t="b">
        <v>1</v>
      </c>
      <c r="J14" t="b">
        <v>0</v>
      </c>
      <c r="K14">
        <v>0</v>
      </c>
      <c r="L14">
        <v>6</v>
      </c>
      <c r="M14">
        <v>6</v>
      </c>
      <c r="N14">
        <v>6</v>
      </c>
      <c r="O14">
        <v>5</v>
      </c>
      <c r="P14">
        <v>5</v>
      </c>
      <c r="Q14">
        <f>Table_ROWIM_Widths[[#This Row],[Ped Clear Zone]]+Table_ROWIM_Widths[[#This Row],[Landscape Zone]]</f>
        <v>11</v>
      </c>
      <c r="R14">
        <f>Table_ROWIM_Widths[[#This Row],[RR Ped Clear Zone]]+Table_ROWIM_Widths[[#This Row],[RR Landscape Zone]]</f>
        <v>11</v>
      </c>
      <c r="S14">
        <f>Table_ROWIM_Widths[[#This Row],[PDZ Ped Clear Zone]]+Table_ROWIM_Widths[[#This Row],[Landscape Zone]]</f>
        <v>11</v>
      </c>
      <c r="T14">
        <f>MAX(Table_ROWIM_Widths[[#This Row],[PDZ Ped Clear Zone]],Table_ROWIM_Widths[[#This Row],[RR Ped Clear Zone]])+Table_ROWIM_Widths[[#This Row],[RR Landscape Zone]]</f>
        <v>11</v>
      </c>
      <c r="U14">
        <f>40-Table_ROWIM_Widths[[#This Row],[Total Minimum Width]]*2</f>
        <v>18</v>
      </c>
      <c r="V14">
        <f>40-Table_ROWIM_Widths[[#This Row],[RR Total Minimum Width]]*2</f>
        <v>18</v>
      </c>
      <c r="W14">
        <f>40-Table_ROWIM_Widths[[#This Row],[PDZ Total Minimum Width]]*2</f>
        <v>18</v>
      </c>
      <c r="X14">
        <f>40-Table_ROWIM_Widths[[#This Row],[PDZ + RR Total Minimum Width]]*2</f>
        <v>18</v>
      </c>
      <c r="Y14">
        <f>52-Table_ROWIM_Widths[[#This Row],[Total Minimum Width]]*2</f>
        <v>30</v>
      </c>
      <c r="Z14">
        <f>52-Table_ROWIM_Widths[[#This Row],[RR Total Minimum Width]]*2</f>
        <v>30</v>
      </c>
      <c r="AA14">
        <f>52-Table_ROWIM_Widths[[#This Row],[PDZ Total Minimum Width]]*2</f>
        <v>30</v>
      </c>
      <c r="AB14">
        <f>52-Table_ROWIM_Widths[[#This Row],[PDZ + RR Total Minimum Width]]*2</f>
        <v>30</v>
      </c>
    </row>
    <row r="15" spans="1:28">
      <c r="A15" t="s">
        <v>223</v>
      </c>
      <c r="B15" t="s">
        <v>224</v>
      </c>
      <c r="C15">
        <v>52</v>
      </c>
      <c r="D15">
        <v>16</v>
      </c>
      <c r="G15" t="s">
        <v>225</v>
      </c>
      <c r="H15" t="b">
        <v>0</v>
      </c>
      <c r="I15" t="b">
        <v>0</v>
      </c>
      <c r="J15" t="b">
        <v>0</v>
      </c>
      <c r="K15">
        <v>6</v>
      </c>
      <c r="L15">
        <v>6</v>
      </c>
      <c r="M15">
        <v>6</v>
      </c>
      <c r="N15">
        <v>6</v>
      </c>
      <c r="O15">
        <v>12</v>
      </c>
      <c r="P15">
        <v>12</v>
      </c>
      <c r="Q15">
        <f>Table_ROWIM_Widths[[#This Row],[Ped Clear Zone]]+Table_ROWIM_Widths[[#This Row],[Landscape Zone]]</f>
        <v>18</v>
      </c>
      <c r="R15">
        <f>Table_ROWIM_Widths[[#This Row],[RR Ped Clear Zone]]+Table_ROWIM_Widths[[#This Row],[RR Landscape Zone]]</f>
        <v>18</v>
      </c>
      <c r="S15">
        <f>Table_ROWIM_Widths[[#This Row],[PDZ Ped Clear Zone]]+Table_ROWIM_Widths[[#This Row],[Landscape Zone]]</f>
        <v>18</v>
      </c>
      <c r="T15">
        <f>MAX(Table_ROWIM_Widths[[#This Row],[PDZ Ped Clear Zone]],Table_ROWIM_Widths[[#This Row],[RR Ped Clear Zone]])+Table_ROWIM_Widths[[#This Row],[RR Landscape Zone]]</f>
        <v>18</v>
      </c>
      <c r="U15">
        <f>40-Table_ROWIM_Widths[[#This Row],[Total Minimum Width]]*2</f>
        <v>4</v>
      </c>
      <c r="V15">
        <f>40-Table_ROWIM_Widths[[#This Row],[RR Total Minimum Width]]*2</f>
        <v>4</v>
      </c>
      <c r="W15">
        <f>40-Table_ROWIM_Widths[[#This Row],[PDZ Total Minimum Width]]*2</f>
        <v>4</v>
      </c>
      <c r="X15">
        <f>40-Table_ROWIM_Widths[[#This Row],[PDZ + RR Total Minimum Width]]*2</f>
        <v>4</v>
      </c>
      <c r="Y15">
        <f>52-Table_ROWIM_Widths[[#This Row],[Total Minimum Width]]*2</f>
        <v>16</v>
      </c>
      <c r="Z15">
        <f>52-Table_ROWIM_Widths[[#This Row],[RR Total Minimum Width]]*2</f>
        <v>16</v>
      </c>
      <c r="AA15">
        <f>52-Table_ROWIM_Widths[[#This Row],[PDZ Total Minimum Width]]*2</f>
        <v>16</v>
      </c>
      <c r="AB15">
        <f>52-Table_ROWIM_Widths[[#This Row],[PDZ + RR Total Minimum Width]]*2</f>
        <v>16</v>
      </c>
    </row>
    <row r="16" spans="1:28">
      <c r="A16" t="s">
        <v>226</v>
      </c>
      <c r="B16" t="s">
        <v>227</v>
      </c>
      <c r="C16">
        <v>52</v>
      </c>
      <c r="D16">
        <v>16</v>
      </c>
      <c r="G16" t="s">
        <v>228</v>
      </c>
      <c r="H16" t="b">
        <v>0</v>
      </c>
      <c r="I16" t="b">
        <v>0</v>
      </c>
      <c r="J16" t="b">
        <v>1</v>
      </c>
      <c r="K16">
        <v>0</v>
      </c>
      <c r="L16">
        <v>6</v>
      </c>
      <c r="M16">
        <v>6</v>
      </c>
      <c r="N16">
        <v>6</v>
      </c>
      <c r="O16">
        <v>6</v>
      </c>
      <c r="P16">
        <v>6</v>
      </c>
      <c r="Q16">
        <f>Table_ROWIM_Widths[[#This Row],[Ped Clear Zone]]+Table_ROWIM_Widths[[#This Row],[Landscape Zone]]</f>
        <v>12</v>
      </c>
      <c r="R16">
        <f>Table_ROWIM_Widths[[#This Row],[RR Ped Clear Zone]]+Table_ROWIM_Widths[[#This Row],[RR Landscape Zone]]</f>
        <v>12</v>
      </c>
      <c r="S16">
        <f>Table_ROWIM_Widths[[#This Row],[PDZ Ped Clear Zone]]+Table_ROWIM_Widths[[#This Row],[Landscape Zone]]</f>
        <v>12</v>
      </c>
      <c r="T16">
        <f>MAX(Table_ROWIM_Widths[[#This Row],[PDZ Ped Clear Zone]],Table_ROWIM_Widths[[#This Row],[RR Ped Clear Zone]])+Table_ROWIM_Widths[[#This Row],[RR Landscape Zone]]</f>
        <v>12</v>
      </c>
      <c r="U16">
        <f>40-Table_ROWIM_Widths[[#This Row],[Total Minimum Width]]*2</f>
        <v>16</v>
      </c>
      <c r="V16">
        <f>40-Table_ROWIM_Widths[[#This Row],[RR Total Minimum Width]]*2</f>
        <v>16</v>
      </c>
      <c r="W16">
        <f>40-Table_ROWIM_Widths[[#This Row],[PDZ Total Minimum Width]]*2</f>
        <v>16</v>
      </c>
      <c r="X16">
        <f>40-Table_ROWIM_Widths[[#This Row],[PDZ + RR Total Minimum Width]]*2</f>
        <v>16</v>
      </c>
      <c r="Y16">
        <f>52-Table_ROWIM_Widths[[#This Row],[Total Minimum Width]]*2</f>
        <v>28</v>
      </c>
      <c r="Z16">
        <f>52-Table_ROWIM_Widths[[#This Row],[RR Total Minimum Width]]*2</f>
        <v>28</v>
      </c>
      <c r="AA16">
        <f>52-Table_ROWIM_Widths[[#This Row],[PDZ Total Minimum Width]]*2</f>
        <v>28</v>
      </c>
      <c r="AB16">
        <f>52-Table_ROWIM_Widths[[#This Row],[PDZ + RR Total Minimum Width]]*2</f>
        <v>28</v>
      </c>
    </row>
    <row r="17" spans="1:8">
      <c r="A17" t="s">
        <v>229</v>
      </c>
      <c r="B17" t="s">
        <v>230</v>
      </c>
      <c r="C17">
        <v>52</v>
      </c>
      <c r="D17">
        <v>16</v>
      </c>
    </row>
    <row r="18" spans="1:8">
      <c r="A18" t="s">
        <v>231</v>
      </c>
      <c r="B18" t="s">
        <v>41</v>
      </c>
      <c r="C18">
        <v>52</v>
      </c>
      <c r="D18">
        <v>16</v>
      </c>
      <c r="G18" s="18" t="s">
        <v>232</v>
      </c>
    </row>
    <row r="19" spans="1:8">
      <c r="A19" t="s">
        <v>233</v>
      </c>
      <c r="B19" t="s">
        <v>46</v>
      </c>
      <c r="C19">
        <v>52</v>
      </c>
      <c r="D19">
        <v>16</v>
      </c>
      <c r="G19" s="19" t="str" cm="1">
        <f t="array" ref="G19:G29">_xlfn._xlws.FILTER(Table_ROWIM_Widths[Street Type],Table_ROWIM_Widths[Include?]=TRUE)</f>
        <v>Downtown</v>
      </c>
      <c r="H19" s="19"/>
    </row>
    <row r="20" spans="1:8">
      <c r="A20" t="s">
        <v>234</v>
      </c>
      <c r="B20" t="s">
        <v>235</v>
      </c>
      <c r="E20" t="str">
        <f>_xlfn.CONCAT("This worksheet cannot be used in the ",Table_Zones[[#This Row],[Abbreviated]]," zone")</f>
        <v>This worksheet cannot be used in the MPC-YT zone</v>
      </c>
      <c r="G20" t="str">
        <v>Downtown Neighborhood</v>
      </c>
    </row>
    <row r="21" spans="1:8">
      <c r="A21" t="s">
        <v>236</v>
      </c>
      <c r="B21" t="s">
        <v>237</v>
      </c>
      <c r="D21">
        <v>20</v>
      </c>
      <c r="G21" t="str">
        <v>Downtown Neighborhood Access</v>
      </c>
    </row>
    <row r="22" spans="1:8">
      <c r="A22" t="s">
        <v>238</v>
      </c>
      <c r="B22" t="s">
        <v>239</v>
      </c>
      <c r="D22">
        <v>20</v>
      </c>
      <c r="G22" t="str">
        <v>Urban Village Main</v>
      </c>
    </row>
    <row r="23" spans="1:8">
      <c r="A23" t="s">
        <v>240</v>
      </c>
      <c r="B23" t="s">
        <v>241</v>
      </c>
      <c r="D23">
        <v>20</v>
      </c>
      <c r="G23" t="str">
        <v>Urban Village Neighborhood</v>
      </c>
    </row>
    <row r="24" spans="1:8">
      <c r="A24" t="s">
        <v>242</v>
      </c>
      <c r="B24" t="s">
        <v>243</v>
      </c>
      <c r="D24">
        <v>20</v>
      </c>
      <c r="G24" t="str">
        <v>Urban Village Neighborhood Access</v>
      </c>
    </row>
    <row r="25" spans="1:8">
      <c r="A25" t="s">
        <v>244</v>
      </c>
      <c r="B25" t="s">
        <v>245</v>
      </c>
      <c r="D25">
        <v>20</v>
      </c>
      <c r="G25" t="str">
        <v>Urban Center Connector</v>
      </c>
    </row>
    <row r="26" spans="1:8">
      <c r="A26" t="s">
        <v>246</v>
      </c>
      <c r="B26" t="s">
        <v>247</v>
      </c>
      <c r="D26">
        <v>20</v>
      </c>
      <c r="G26" t="str">
        <v>Neighborhood Corridor</v>
      </c>
    </row>
    <row r="27" spans="1:8">
      <c r="A27" t="s">
        <v>248</v>
      </c>
      <c r="B27" t="s">
        <v>249</v>
      </c>
      <c r="D27">
        <v>20</v>
      </c>
      <c r="G27" t="str">
        <v>Industrial Access</v>
      </c>
    </row>
    <row r="28" spans="1:8">
      <c r="A28" t="s">
        <v>250</v>
      </c>
      <c r="B28" t="s">
        <v>251</v>
      </c>
      <c r="D28">
        <v>20</v>
      </c>
      <c r="G28" t="str">
        <v>Minor Industrial Access</v>
      </c>
    </row>
    <row r="29" spans="1:8">
      <c r="A29" t="s">
        <v>252</v>
      </c>
      <c r="B29" t="s">
        <v>253</v>
      </c>
      <c r="D29">
        <v>20</v>
      </c>
      <c r="G29" t="str">
        <v>Neighborhood Yield</v>
      </c>
    </row>
    <row r="30" spans="1:8">
      <c r="A30" t="s">
        <v>254</v>
      </c>
      <c r="B30" t="s">
        <v>255</v>
      </c>
      <c r="D30">
        <v>20</v>
      </c>
    </row>
    <row r="31" spans="1:8">
      <c r="A31" t="s">
        <v>256</v>
      </c>
      <c r="B31" t="s">
        <v>257</v>
      </c>
      <c r="D31">
        <v>20</v>
      </c>
      <c r="G31" s="18" t="s">
        <v>258</v>
      </c>
    </row>
    <row r="32" spans="1:8">
      <c r="A32" t="s">
        <v>259</v>
      </c>
      <c r="B32" t="s">
        <v>260</v>
      </c>
      <c r="C32">
        <v>56</v>
      </c>
      <c r="D32">
        <v>20</v>
      </c>
      <c r="G32" t="str" cm="1">
        <f t="array" ref="G32:G56">_xlfn._xlws.FILTER(Table_Zones[Abbreviated],Table_Zones[Existing Required ROW (ft) (Table A/Table B for 23.53.015)]&lt;&gt;"")</f>
        <v>NR</v>
      </c>
    </row>
    <row r="33" spans="1:7">
      <c r="A33" t="s">
        <v>261</v>
      </c>
      <c r="B33" t="s">
        <v>262</v>
      </c>
      <c r="C33">
        <v>56</v>
      </c>
      <c r="D33">
        <v>20</v>
      </c>
      <c r="G33" t="str">
        <v>LR1</v>
      </c>
    </row>
    <row r="34" spans="1:7">
      <c r="A34" t="s">
        <v>263</v>
      </c>
      <c r="B34" t="s">
        <v>264</v>
      </c>
      <c r="C34">
        <v>52</v>
      </c>
      <c r="D34">
        <v>20</v>
      </c>
      <c r="G34" t="str">
        <v>LR2</v>
      </c>
    </row>
    <row r="35" spans="1:7">
      <c r="A35" t="s">
        <v>265</v>
      </c>
      <c r="B35" t="s">
        <v>266</v>
      </c>
      <c r="C35">
        <v>52</v>
      </c>
      <c r="D35">
        <v>20</v>
      </c>
      <c r="G35" t="str">
        <v>LR3</v>
      </c>
    </row>
    <row r="36" spans="1:7">
      <c r="A36" t="s">
        <v>267</v>
      </c>
      <c r="B36" t="s">
        <v>268</v>
      </c>
      <c r="C36">
        <v>56</v>
      </c>
      <c r="D36">
        <v>20</v>
      </c>
      <c r="G36" t="str">
        <v>MR</v>
      </c>
    </row>
    <row r="37" spans="1:7">
      <c r="A37" t="s">
        <v>269</v>
      </c>
      <c r="B37" t="s">
        <v>270</v>
      </c>
      <c r="C37">
        <v>52</v>
      </c>
      <c r="D37">
        <v>20</v>
      </c>
      <c r="G37" t="str">
        <v>HR</v>
      </c>
    </row>
    <row r="38" spans="1:7">
      <c r="A38" t="s">
        <v>271</v>
      </c>
      <c r="B38" t="s">
        <v>272</v>
      </c>
      <c r="C38">
        <v>52</v>
      </c>
      <c r="D38">
        <v>20</v>
      </c>
      <c r="G38" t="str">
        <v>NC1</v>
      </c>
    </row>
    <row r="39" spans="1:7">
      <c r="G39" t="str">
        <v>NC2</v>
      </c>
    </row>
    <row r="40" spans="1:7">
      <c r="A40" s="126" t="s">
        <v>273</v>
      </c>
      <c r="G40" t="str">
        <v>NC3</v>
      </c>
    </row>
    <row r="41" spans="1:7">
      <c r="G41" t="str">
        <v>SM-SLU</v>
      </c>
    </row>
    <row r="42" spans="1:7">
      <c r="G42" t="str">
        <v>SM-D</v>
      </c>
    </row>
    <row r="43" spans="1:7">
      <c r="G43" t="str">
        <v>SM-NR</v>
      </c>
    </row>
    <row r="44" spans="1:7">
      <c r="G44" t="str">
        <v>SM-RB</v>
      </c>
    </row>
    <row r="45" spans="1:7">
      <c r="G45" t="str">
        <v>SM-U</v>
      </c>
    </row>
    <row r="46" spans="1:7">
      <c r="G46" t="str">
        <v>SM-UP</v>
      </c>
    </row>
    <row r="47" spans="1:7">
      <c r="G47" t="str">
        <v>SM-NG</v>
      </c>
    </row>
    <row r="48" spans="1:7">
      <c r="G48" t="str">
        <v>C1</v>
      </c>
    </row>
    <row r="49" spans="7:7">
      <c r="G49" t="str">
        <v>C2</v>
      </c>
    </row>
    <row r="50" spans="7:7">
      <c r="G50" t="str">
        <v>IG1</v>
      </c>
    </row>
    <row r="51" spans="7:7">
      <c r="G51" t="str">
        <v>IG2</v>
      </c>
    </row>
    <row r="52" spans="7:7">
      <c r="G52" t="str">
        <v>IB</v>
      </c>
    </row>
    <row r="53" spans="7:7">
      <c r="G53" t="str">
        <v>IC</v>
      </c>
    </row>
    <row r="54" spans="7:7">
      <c r="G54" t="str">
        <v>MML</v>
      </c>
    </row>
    <row r="55" spans="7:7">
      <c r="G55" t="str">
        <v>II</v>
      </c>
    </row>
    <row r="56" spans="7:7">
      <c r="G56" t="str">
        <v>UI</v>
      </c>
    </row>
  </sheetData>
  <phoneticPr fontId="21" type="noConversion"/>
  <conditionalFormatting sqref="H3:J16">
    <cfRule type="cellIs" dxfId="16" priority="1" operator="equal">
      <formula>FALSE</formula>
    </cfRule>
    <cfRule type="cellIs" dxfId="15" priority="2" operator="equal">
      <formula>TRUE</formula>
    </cfRule>
  </conditionalFormatting>
  <conditionalFormatting sqref="U3:X16">
    <cfRule type="cellIs" dxfId="14" priority="4" operator="lessThan">
      <formula>11+7</formula>
    </cfRule>
  </conditionalFormatting>
  <conditionalFormatting sqref="Y3:AB16">
    <cfRule type="cellIs" dxfId="13" priority="3" operator="lessThan">
      <formula>11+7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84320F470CF4BA78708C227551377" ma:contentTypeVersion="21" ma:contentTypeDescription="Create a new document." ma:contentTypeScope="" ma:versionID="304fb0bbf1d4334258ff9a815032809c">
  <xsd:schema xmlns:xsd="http://www.w3.org/2001/XMLSchema" xmlns:xs="http://www.w3.org/2001/XMLSchema" xmlns:p="http://schemas.microsoft.com/office/2006/metadata/properties" xmlns:ns2="564b7880-b1b5-4e75-a927-bc1c4095c52b" xmlns:ns3="1d271a9c-cd53-40da-926c-e62163857a9c" xmlns:ns4="97c2a25c-25db-4634-b347-87ab0af10b27" targetNamespace="http://schemas.microsoft.com/office/2006/metadata/properties" ma:root="true" ma:fieldsID="bba84904f0896b36454d500b95221a14" ns2:_="" ns3:_="" ns4:_="">
    <xsd:import namespace="564b7880-b1b5-4e75-a927-bc1c4095c52b"/>
    <xsd:import namespace="1d271a9c-cd53-40da-926c-e62163857a9c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lcf76f155ced4ddcb4097134ff3c332f" minOccurs="0"/>
                <xsd:element ref="ns2:MediaLengthInSeconds" minOccurs="0"/>
                <xsd:element ref="ns2:MediaServiceSearchProperties" minOccurs="0"/>
                <xsd:element ref="ns2:Description" minOccurs="0"/>
                <xsd:element ref="ns2:January21_x002c_2026MeetingMinu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b7880-b1b5-4e75-a927-bc1c4095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January21_x002c_2026MeetingMinutes" ma:index="25" nillable="true" ma:displayName="Additional Info " ma:format="Dropdown" ma:internalName="January21_x002c_2026MeetingMinutes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1a9c-cd53-40da-926c-e62163857a9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8b9e2c-68bb-463c-8d52-cf7cbe20c1fc}" ma:internalName="TaxCatchAll" ma:showField="CatchAllData" ma:web="1d271a9c-cd53-40da-926c-e62163857a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b7880-b1b5-4e75-a927-bc1c4095c52b">
      <Terms xmlns="http://schemas.microsoft.com/office/infopath/2007/PartnerControls"/>
    </lcf76f155ced4ddcb4097134ff3c332f>
    <TaxCatchAll xmlns="97c2a25c-25db-4634-b347-87ab0af10b27" xsi:nil="true"/>
    <Description xmlns="564b7880-b1b5-4e75-a927-bc1c4095c52b" xsi:nil="true"/>
    <January21_x002c_2026MeetingMinutes xmlns="564b7880-b1b5-4e75-a927-bc1c4095c5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59C856-FDFA-4775-A4A4-B2C2AF908D56}"/>
</file>

<file path=customXml/itemProps2.xml><?xml version="1.0" encoding="utf-8"?>
<ds:datastoreItem xmlns:ds="http://schemas.openxmlformats.org/officeDocument/2006/customXml" ds:itemID="{586D59E9-983C-46C1-AB9E-3ABCACA83D17}"/>
</file>

<file path=customXml/itemProps3.xml><?xml version="1.0" encoding="utf-8"?>
<ds:datastoreItem xmlns:ds="http://schemas.openxmlformats.org/officeDocument/2006/customXml" ds:itemID="{F3D4C26D-6936-4E74-8866-FD456864CFCA}"/>
</file>

<file path=docMetadata/LabelInfo.xml><?xml version="1.0" encoding="utf-8"?>
<clbl:labelList xmlns:clbl="http://schemas.microsoft.com/office/2020/mipLabelMetadata">
  <clbl:label id="{78e61e45-6beb-4009-8f99-359d8b54f41b}" enabled="0" method="" siteId="{78e61e45-6beb-4009-8f99-359d8b54f4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Wilkinson, Todd</dc:creator>
  <cp:keywords/>
  <dc:description/>
  <cp:lastModifiedBy/>
  <cp:revision/>
  <dcterms:created xsi:type="dcterms:W3CDTF">2025-02-14T23:03:12Z</dcterms:created>
  <dcterms:modified xsi:type="dcterms:W3CDTF">2026-07-22T17:43:04Z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0x01010000684320F470CF4BA78708C227551377</vt:lpwstr>
  </property>
  <property fmtid="{D5CDD505-2E9C-101B-9397-08002B2CF9AE}" pid="3" name="MediaServiceImageTags">
    <vt:lpwstr/>
  </property>
</Properties>
</file>