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K:\Cdcr\PUBINFO\Department\Fees\2025\"/>
    </mc:Choice>
  </mc:AlternateContent>
  <xr:revisionPtr revIDLastSave="0" documentId="8_{3A6F561E-BF92-427D-A788-0767065CE0B5}" xr6:coauthVersionLast="47" xr6:coauthVersionMax="47" xr10:uidLastSave="{00000000-0000-0000-0000-000000000000}"/>
  <workbookProtection workbookAlgorithmName="SHA-512" workbookHashValue="BqR+I9dMAO6iX/LUhSIRM+hzneiphYrln3FnrjtTsFJbMYlMo9pZTbH/W/0PxafCLxa4yKFlXh8Ne0YuEtatbA==" workbookSaltValue="uRnkysXh16/fWGDQt5WdYQ==" workbookSpinCount="100000" lockStructure="1"/>
  <bookViews>
    <workbookView xWindow="20770" yWindow="1570" windowWidth="28710" windowHeight="15410" xr2:uid="{00000000-000D-0000-FFFF-FFFF00000000}"/>
  </bookViews>
  <sheets>
    <sheet name="Fee Estimator" sheetId="3" r:id="rId1"/>
    <sheet name="BVD" sheetId="5" state="hidden" r:id="rId2"/>
    <sheet name="Table D-1" sheetId="4" state="hidden"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3" l="1"/>
  <c r="K57" i="3" l="1"/>
  <c r="K56" i="3"/>
  <c r="G8" i="3"/>
  <c r="H8" i="3" s="1"/>
  <c r="I8" i="3" s="1"/>
  <c r="G9" i="3"/>
  <c r="H9" i="3" s="1"/>
  <c r="I9" i="3" s="1"/>
  <c r="G10" i="3"/>
  <c r="H10" i="3" s="1"/>
  <c r="I10"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H11" i="3" s="1"/>
  <c r="I11" i="3" s="1"/>
  <c r="G19" i="3"/>
  <c r="G18" i="3"/>
  <c r="G17" i="3"/>
  <c r="G16" i="3"/>
  <c r="G15" i="3"/>
  <c r="H15" i="3" s="1"/>
  <c r="I15" i="3" s="1"/>
  <c r="G14" i="3"/>
  <c r="H14" i="3" s="1"/>
  <c r="I14" i="3" s="1"/>
  <c r="G13" i="3"/>
  <c r="H13" i="3" s="1"/>
  <c r="I13" i="3" s="1"/>
  <c r="G12" i="3"/>
  <c r="H12" i="3" s="1"/>
  <c r="I12" i="3" s="1"/>
  <c r="C16" i="4"/>
  <c r="I36" i="3" l="1"/>
  <c r="I41" i="3" l="1"/>
  <c r="I48" i="3"/>
  <c r="I61" i="3" s="1"/>
  <c r="H7" i="4" l="1"/>
  <c r="I7" i="4" s="1"/>
  <c r="I73" i="3"/>
  <c r="H8" i="4"/>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H13" i="4"/>
  <c r="I13" i="4" s="1"/>
  <c r="H45" i="4"/>
  <c r="I45" i="4" s="1"/>
  <c r="H36" i="4"/>
  <c r="I36" i="4" s="1"/>
  <c r="H57" i="4"/>
  <c r="I57" i="4" s="1"/>
  <c r="H11" i="4"/>
  <c r="I11" i="4" s="1"/>
  <c r="H24" i="4"/>
  <c r="I24" i="4" s="1"/>
  <c r="H30" i="4"/>
  <c r="I30" i="4" s="1"/>
  <c r="H12" i="4"/>
  <c r="I12" i="4" s="1"/>
  <c r="H44" i="4"/>
  <c r="I44" i="4" s="1"/>
  <c r="I63" i="3" l="1"/>
  <c r="I64" i="3" s="1"/>
  <c r="I65" i="3" l="1"/>
  <c r="I66" i="3"/>
  <c r="I71" i="3" s="1"/>
  <c r="I67" i="3" l="1"/>
  <c r="I68" i="3" s="1"/>
  <c r="I69" i="3" s="1"/>
  <c r="I72" i="3"/>
  <c r="I75" i="3" s="1"/>
  <c r="I79" i="3" l="1"/>
</calcChain>
</file>

<file path=xl/sharedStrings.xml><?xml version="1.0" encoding="utf-8"?>
<sst xmlns="http://schemas.openxmlformats.org/spreadsheetml/2006/main" count="338" uniqueCount="171">
  <si>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</si>
  <si>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</si>
  <si>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</si>
  <si>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</si>
  <si>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</si>
  <si>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</si>
  <si>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</si>
  <si>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</si>
  <si>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</si>
  <si>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</si>
  <si>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</si>
  <si>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</si>
  <si>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</si>
  <si>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</si>
  <si>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</si>
  <si>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</si>
  <si>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</si>
  <si>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</si>
  <si>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</si>
  <si>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</si>
  <si>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</si>
  <si>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</si>
  <si>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</si>
  <si>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</si>
  <si>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</si>
  <si>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</si>
  <si>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</si>
  <si>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</si>
  <si>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</si>
  <si>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</si>
  <si>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</si>
  <si>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</si>
  <si>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</si>
  <si>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</si>
  <si>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</si>
  <si>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</si>
  <si>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</si>
  <si>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</si>
  <si>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</si>
  <si>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</si>
  <si>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</si>
  <si>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</si>
  <si>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</si>
  <si>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</si>
  <si>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</si>
  <si>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</si>
  <si>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</si>
  <si>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</si>
  <si>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</si>
  <si>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</si>
  <si>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</si>
  <si>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</si>
  <si>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</si>
  <si>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</si>
  <si>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</si>
  <si>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</si>
  <si>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</si>
  <si>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</si>
  <si>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</si>
  <si>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</si>
  <si>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</si>
  <si>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</si>
  <si>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</si>
  <si>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</si>
  <si>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</si>
  <si>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</si>
  <si>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</si>
  <si>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</si>
  <si>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</si>
  <si>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</si>
  <si>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</si>
  <si>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</si>
  <si>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</si>
  <si>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</si>
  <si>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</si>
  <si>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</si>
  <si>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</si>
  <si>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</si>
  <si>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</si>
  <si>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</si>
  <si>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</si>
  <si>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</si>
  <si>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</si>
  <si>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</si>
  <si>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</si>
  <si>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</si>
  <si>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</si>
  <si>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</si>
  <si>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</si>
  <si>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</si>
  <si>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</si>
  <si>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</si>
  <si>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</si>
  <si>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</si>
  <si>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</si>
  <si>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</si>
  <si>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</si>
  <si>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</si>
  <si>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</si>
  <si>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</si>
  <si>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</si>
  <si>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</si>
  <si>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</si>
  <si>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</si>
  <si>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</si>
  <si>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</si>
  <si>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</si>
  <si>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</si>
  <si>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</si>
  <si>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</si>
  <si>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</si>
  <si>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</si>
  <si>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</si>
  <si>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</si>
  <si>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Calculated Intake Fee</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</si>
  <si>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</si>
  <si>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</si>
  <si>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</si>
  <si>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</si>
  <si>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</si>
  <si>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</si>
  <si>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</si>
  <si>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</si>
  <si>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</si>
  <si>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</si>
  <si>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</si>
  <si>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</si>
  <si>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</si>
  <si>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</si>
  <si>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</si>
  <si>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</si>
  <si>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</si>
  <si>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</si>
  <si>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 xml:space="preserve">Construction Type varies according to type of material and size of project. Note that projects valued at $30,000 or more must have the involvement of a licensed design professional (SBC Section 106.5.2.2). </t>
  </si>
  <si>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</si>
  <si>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</si>
  <si>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</si>
  <si>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</si>
  <si>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</si>
  <si>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</si>
  <si>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</si>
  <si>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</si>
  <si>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</si>
  <si>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</si>
  <si>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</si>
  <si>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</si>
  <si>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</si>
  <si>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</si>
  <si>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</si>
  <si>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</si>
  <si>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</si>
  <si>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</si>
  <si>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</si>
  <si>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</si>
  <si>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</si>
  <si>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</si>
  <si>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</si>
  <si>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</si>
  <si>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</si>
  <si>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</si>
  <si>
    <t>Remaining Fees Due at Issuance</t>
  </si>
  <si>
    <t>(Estimate of Total Fees Due Including State Surchage and Technology Fee)</t>
  </si>
  <si>
    <t>Total Intake Fees Including 5% Technology Fee</t>
  </si>
  <si>
    <t>(per Section 22.900A.100, calculated by Accela)</t>
  </si>
  <si>
    <t xml:space="preserve">5% Technology Fee on Intake Fees = </t>
  </si>
  <si>
    <t xml:space="preserve">5% Technology Fee on Issuance Fees = </t>
  </si>
  <si>
    <t>2024 Calculated DFI</t>
  </si>
  <si>
    <t xml:space="preserve">Ref: Table D-1 Calculation of Development Fee Index from 2025 Fee Subtitle </t>
  </si>
  <si>
    <t>Fee Estimator (based on 2025 Fee Subtitle)</t>
  </si>
  <si>
    <t>2025 SQ FT CONST COSTS from Director's Rule 1-2025</t>
  </si>
  <si>
    <r>
      <t>NOTE:</t>
    </r>
    <r>
      <rPr>
        <sz val="8"/>
        <color rgb="FFED0000"/>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</si>
</sst>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8"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u/>
      <sz val="8"/>
      <name val="Arial"/>
      <family val="2"/>
    </font>
    <font>
      <b/>
      <sz val="10"/>
      <color rgb="FF0000FF"/>
      <name val="Arial"/>
      <family val="2"/>
    </font>
    <font>
      <sz val="8"/>
      <color theme="8" tint="0.79998168889431442"/>
      <name val="Arial"/>
      <family val="2"/>
    </font>
    <font>
      <sz val="9"/>
      <color rgb="FFED0000"/>
      <name val="Arial"/>
      <family val="2"/>
    </font>
    <font>
      <b/>
      <sz val="8"/>
      <color rgb="FFED0000"/>
      <name val="Arial"/>
      <family val="2"/>
    </font>
    <font>
      <sz val="8"/>
      <color rgb="FFED0000"/>
      <name val="Arial"/>
      <family val="2"/>
    </font>
    <font>
      <sz val="10"/>
      <color rgb="FFED000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
      <left style="dotted">
        <color indexed="64"/>
      </left>
      <right style="dotted">
        <color indexed="64"/>
      </right>
      <top style="dotted">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64">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Alignment="1">
      <alignment horizontal="right" wrapText="1"/>
    </xf>
    <xf numFmtId="0" fontId="6" fillId="0" borderId="0" xfId="0" applyFont="1" applyAlignment="1">
      <alignment horizontal="left" wrapText="1"/>
    </xf>
    <xf numFmtId="0" fontId="7" fillId="0" borderId="0" xfId="0" applyFont="1" applyAlignment="1">
      <alignment horizontal="center" wrapText="1"/>
    </xf>
    <xf numFmtId="44" fontId="6" fillId="0" borderId="0" xfId="2" applyFont="1" applyBorder="1" applyAlignment="1">
      <alignment horizontal="left" wrapText="1"/>
    </xf>
    <xf numFmtId="44" fontId="7" fillId="0" borderId="0" xfId="0" applyNumberFormat="1" applyFont="1" applyAlignment="1">
      <alignment horizontal="center" wrapText="1"/>
    </xf>
    <xf numFmtId="44" fontId="7" fillId="0" borderId="0" xfId="2" applyFont="1" applyFill="1" applyBorder="1" applyAlignment="1">
      <alignment horizontal="right" wrapText="1"/>
    </xf>
    <xf numFmtId="44" fontId="6" fillId="0" borderId="0" xfId="2" applyFont="1" applyBorder="1" applyAlignment="1">
      <alignment horizontal="center" wrapText="1"/>
    </xf>
    <xf numFmtId="2" fontId="6" fillId="0" borderId="0" xfId="0" applyNumberFormat="1" applyFont="1" applyAlignment="1">
      <alignment horizontal="center" wrapText="1"/>
    </xf>
    <xf numFmtId="44" fontId="6" fillId="0" borderId="0" xfId="2" applyFont="1" applyFill="1" applyBorder="1" applyAlignment="1">
      <alignment horizontal="center" wrapText="1"/>
    </xf>
    <xf numFmtId="0" fontId="6" fillId="0" borderId="0" xfId="0" applyFont="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8" fillId="0" borderId="0" xfId="0" applyFont="1" applyAlignment="1" applyProtection="1">
      <alignment horizontal="left" indent="1"/>
      <protection locked="0"/>
    </xf>
    <xf numFmtId="0" fontId="20" fillId="0" borderId="0" xfId="0" applyFont="1" applyAlignment="1" applyProtection="1">
      <alignment horizontal="left" vertical="top" indent="2"/>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3" fillId="0" borderId="0" xfId="3" applyFont="1" applyFill="1" applyAlignment="1" applyProtection="1">
      <alignment wrapText="1"/>
      <protection locked="0"/>
    </xf>
    <xf numFmtId="0" fontId="19" fillId="0" borderId="0" xfId="3" applyFont="1" applyAlignment="1" applyProtection="1">
      <protection locked="0"/>
    </xf>
    <xf numFmtId="0" fontId="12" fillId="0" borderId="0" xfId="0" applyFont="1" applyAlignment="1" applyProtection="1">
      <alignment wrapText="1"/>
      <protection locked="0"/>
    </xf>
    <xf numFmtId="8" fontId="12" fillId="0" borderId="0" xfId="0" applyNumberFormat="1" applyFont="1" applyAlignment="1" applyProtection="1">
      <alignment horizontal="center"/>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2" fillId="0" borderId="0" xfId="0" applyFont="1"/>
    <xf numFmtId="0" fontId="12" fillId="0" borderId="0" xfId="0" applyFont="1" applyAlignment="1">
      <alignment horizontal="center"/>
    </xf>
    <xf numFmtId="0" fontId="12" fillId="0" borderId="0" xfId="0" applyFont="1" applyAlignment="1">
      <alignment horizontal="center" wrapText="1"/>
    </xf>
    <xf numFmtId="0" fontId="11" fillId="0" borderId="0" xfId="0" applyFont="1"/>
    <xf numFmtId="0" fontId="1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15" xfId="0" applyFont="1" applyBorder="1" applyAlignment="1">
      <alignment horizontal="left" vertical="center"/>
    </xf>
    <xf numFmtId="0" fontId="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1" fillId="5" borderId="14" xfId="0" applyFont="1" applyFill="1" applyBorder="1" applyAlignment="1">
      <alignment horizontal="center" wrapText="1"/>
    </xf>
    <xf numFmtId="0" fontId="12" fillId="5" borderId="16" xfId="0" applyFont="1" applyFill="1" applyBorder="1" applyAlignment="1">
      <alignment horizontal="center" wrapText="1"/>
    </xf>
    <xf numFmtId="0" fontId="11" fillId="5" borderId="17" xfId="0" applyFont="1" applyFill="1" applyBorder="1" applyAlignment="1">
      <alignment horizontal="center" wrapText="1"/>
    </xf>
    <xf numFmtId="49" fontId="11" fillId="5" borderId="17" xfId="0" applyNumberFormat="1" applyFont="1" applyFill="1" applyBorder="1" applyAlignment="1">
      <alignment horizontal="center" wrapText="1"/>
    </xf>
    <xf numFmtId="0" fontId="11" fillId="5" borderId="1" xfId="0" applyFont="1" applyFill="1" applyBorder="1" applyAlignment="1">
      <alignment horizontal="center" wrapText="1"/>
    </xf>
    <xf numFmtId="0" fontId="11" fillId="5" borderId="9" xfId="0" applyFont="1" applyFill="1" applyBorder="1"/>
    <xf numFmtId="0" fontId="12" fillId="5" borderId="2" xfId="0" applyFont="1" applyFill="1" applyBorder="1"/>
    <xf numFmtId="0" fontId="12" fillId="5" borderId="18" xfId="0" applyFont="1" applyFill="1" applyBorder="1"/>
    <xf numFmtId="0" fontId="12" fillId="2" borderId="15" xfId="0" applyFont="1" applyFill="1" applyBorder="1" applyAlignment="1">
      <alignment horizontal="center" wrapText="1"/>
    </xf>
    <xf numFmtId="164" fontId="12" fillId="0" borderId="17" xfId="0" applyNumberFormat="1" applyFont="1" applyBorder="1" applyAlignment="1">
      <alignment horizontal="center"/>
    </xf>
    <xf numFmtId="164" fontId="11" fillId="0" borderId="17" xfId="0" applyNumberFormat="1" applyFont="1" applyBorder="1" applyAlignment="1">
      <alignment horizontal="right"/>
    </xf>
    <xf numFmtId="0" fontId="11" fillId="0" borderId="19" xfId="0" applyFont="1" applyBorder="1" applyAlignment="1">
      <alignment horizontal="center"/>
    </xf>
    <xf numFmtId="0" fontId="12" fillId="0" borderId="20" xfId="0" applyFont="1" applyBorder="1" applyAlignment="1">
      <alignment horizontal="left"/>
    </xf>
    <xf numFmtId="0" fontId="12" fillId="0" borderId="21" xfId="0" applyFont="1" applyBorder="1" applyAlignment="1">
      <alignment horizontal="center"/>
    </xf>
    <xf numFmtId="0" fontId="12" fillId="0" borderId="22" xfId="0" applyFont="1" applyBorder="1" applyAlignment="1">
      <alignment horizontal="center"/>
    </xf>
    <xf numFmtId="0" fontId="12" fillId="2" borderId="23" xfId="0" applyFont="1" applyFill="1" applyBorder="1" applyAlignment="1">
      <alignment horizontal="center" wrapText="1"/>
    </xf>
    <xf numFmtId="0" fontId="11" fillId="5" borderId="6" xfId="0" applyFont="1" applyFill="1" applyBorder="1" applyAlignment="1">
      <alignment horizontal="center"/>
    </xf>
    <xf numFmtId="0" fontId="12" fillId="5" borderId="24" xfId="0" applyFont="1" applyFill="1" applyBorder="1" applyAlignment="1">
      <alignment horizontal="left"/>
    </xf>
    <xf numFmtId="0" fontId="12" fillId="5" borderId="0" xfId="0" applyFont="1" applyFill="1"/>
    <xf numFmtId="0" fontId="12" fillId="5" borderId="25" xfId="0" applyFont="1" applyFill="1" applyBorder="1"/>
    <xf numFmtId="0" fontId="11" fillId="0" borderId="6" xfId="0" applyFont="1" applyBorder="1" applyAlignment="1">
      <alignment horizontal="center"/>
    </xf>
    <xf numFmtId="0" fontId="12" fillId="0" borderId="24" xfId="0" applyFont="1" applyBorder="1" applyAlignment="1">
      <alignment horizontal="left"/>
    </xf>
    <xf numFmtId="0" fontId="12" fillId="0" borderId="25" xfId="0" applyFont="1" applyBorder="1"/>
    <xf numFmtId="0" fontId="12" fillId="2" borderId="26" xfId="0" applyFont="1" applyFill="1" applyBorder="1" applyAlignment="1">
      <alignment horizontal="center" wrapText="1"/>
    </xf>
    <xf numFmtId="0" fontId="11" fillId="5" borderId="27" xfId="0" applyFont="1" applyFill="1" applyBorder="1" applyAlignment="1">
      <alignment horizontal="center"/>
    </xf>
    <xf numFmtId="0" fontId="12" fillId="5" borderId="28" xfId="0" applyFont="1" applyFill="1" applyBorder="1" applyAlignment="1">
      <alignment horizontal="left"/>
    </xf>
    <xf numFmtId="0" fontId="12" fillId="5" borderId="16" xfId="0" applyFont="1" applyFill="1" applyBorder="1"/>
    <xf numFmtId="0" fontId="12" fillId="5" borderId="29" xfId="0" applyFont="1" applyFill="1" applyBorder="1"/>
    <xf numFmtId="164" fontId="11" fillId="0" borderId="31" xfId="0" applyNumberFormat="1" applyFont="1" applyBorder="1" applyAlignment="1">
      <alignment horizontal="right"/>
    </xf>
    <xf numFmtId="0" fontId="11" fillId="0" borderId="0" xfId="0" applyFont="1" applyAlignment="1">
      <alignment horizontal="right"/>
    </xf>
    <xf numFmtId="164" fontId="11" fillId="0" borderId="32" xfId="0" applyNumberFormat="1" applyFont="1" applyBorder="1" applyAlignment="1">
      <alignment horizontal="right"/>
    </xf>
    <xf numFmtId="0" fontId="2" fillId="0" borderId="0" xfId="0" applyFont="1" applyAlignment="1">
      <alignment wrapText="1"/>
    </xf>
    <xf numFmtId="164" fontId="11" fillId="0" borderId="33" xfId="0" applyNumberFormat="1" applyFont="1" applyBorder="1" applyAlignment="1">
      <alignment horizontal="right"/>
    </xf>
    <xf numFmtId="0" fontId="12" fillId="0" borderId="32" xfId="0" applyFont="1" applyBorder="1" applyAlignment="1">
      <alignment horizontal="center"/>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17" fillId="0" borderId="0" xfId="0" applyFont="1" applyAlignment="1">
      <alignment horizontal="right"/>
    </xf>
    <xf numFmtId="0" fontId="11" fillId="0" borderId="33" xfId="0" applyFont="1" applyBorder="1" applyAlignment="1">
      <alignment horizontal="center"/>
    </xf>
    <xf numFmtId="0" fontId="12" fillId="0" borderId="32" xfId="0" applyFont="1" applyBorder="1"/>
    <xf numFmtId="0" fontId="12" fillId="0" borderId="6" xfId="0" applyFont="1" applyBorder="1"/>
    <xf numFmtId="0" fontId="12" fillId="0" borderId="27" xfId="0" applyFont="1" applyBorder="1"/>
    <xf numFmtId="0" fontId="12" fillId="0" borderId="29" xfId="0" applyFont="1" applyBorder="1"/>
    <xf numFmtId="0" fontId="11" fillId="0" borderId="30" xfId="0" applyFont="1" applyBorder="1" applyAlignment="1">
      <alignment horizontal="left" indent="1"/>
    </xf>
    <xf numFmtId="0" fontId="12" fillId="0" borderId="30" xfId="0" applyFont="1" applyBorder="1" applyAlignment="1">
      <alignment horizontal="center"/>
    </xf>
    <xf numFmtId="0" fontId="12" fillId="0" borderId="30" xfId="0" applyFont="1" applyBorder="1" applyAlignment="1">
      <alignment horizontal="center" wrapText="1"/>
    </xf>
    <xf numFmtId="0" fontId="12" fillId="0" borderId="30" xfId="0" applyFont="1" applyBorder="1"/>
    <xf numFmtId="0" fontId="12" fillId="0" borderId="0" xfId="0" applyFont="1" applyAlignment="1">
      <alignment horizontal="left" vertical="top" indent="2"/>
    </xf>
    <xf numFmtId="0" fontId="12" fillId="0" borderId="0" xfId="0" applyFont="1" applyAlignment="1">
      <alignment horizontal="right"/>
    </xf>
    <xf numFmtId="0" fontId="12" fillId="0" borderId="32" xfId="0" applyFont="1" applyBorder="1" applyAlignment="1">
      <alignment horizontal="right"/>
    </xf>
    <xf numFmtId="44" fontId="11" fillId="0" borderId="35" xfId="2" applyFont="1" applyFill="1" applyBorder="1" applyProtection="1"/>
    <xf numFmtId="0" fontId="12" fillId="0" borderId="30" xfId="0" applyFont="1" applyBorder="1" applyAlignment="1">
      <alignment horizontal="right"/>
    </xf>
    <xf numFmtId="0" fontId="0" fillId="0" borderId="30" xfId="0" applyBorder="1" applyAlignment="1">
      <alignment horizontal="right"/>
    </xf>
    <xf numFmtId="44" fontId="12" fillId="0" borderId="36" xfId="2" applyFont="1" applyFill="1" applyBorder="1" applyAlignment="1" applyProtection="1">
      <alignment horizontal="center" wrapText="1"/>
    </xf>
    <xf numFmtId="0" fontId="11" fillId="0" borderId="37" xfId="0" applyFont="1" applyBorder="1" applyAlignment="1">
      <alignment horizontal="right"/>
    </xf>
    <xf numFmtId="44" fontId="11" fillId="0" borderId="32" xfId="2" applyFont="1" applyFill="1" applyBorder="1" applyAlignment="1" applyProtection="1">
      <alignment horizontal="center" wrapText="1"/>
    </xf>
    <xf numFmtId="0" fontId="12" fillId="0" borderId="0" xfId="0" applyFont="1" applyAlignment="1">
      <alignment horizontal="right" wrapText="1"/>
    </xf>
    <xf numFmtId="44" fontId="12" fillId="0" borderId="32" xfId="2" applyFont="1" applyFill="1" applyBorder="1" applyAlignment="1" applyProtection="1">
      <alignment horizontal="center" wrapText="1"/>
    </xf>
    <xf numFmtId="0" fontId="9" fillId="0" borderId="30" xfId="0" applyFont="1" applyBorder="1"/>
    <xf numFmtId="44" fontId="11" fillId="0" borderId="35" xfId="2" applyFont="1" applyFill="1" applyBorder="1" applyAlignment="1" applyProtection="1">
      <alignment horizontal="center" wrapText="1"/>
    </xf>
    <xf numFmtId="0" fontId="9" fillId="0" borderId="0" xfId="0" applyFont="1"/>
    <xf numFmtId="0" fontId="11" fillId="0" borderId="0" xfId="0" applyFont="1" applyAlignment="1">
      <alignment horizontal="center"/>
    </xf>
    <xf numFmtId="164" fontId="11" fillId="0" borderId="32" xfId="2" applyNumberFormat="1" applyFont="1" applyFill="1" applyBorder="1" applyProtection="1"/>
    <xf numFmtId="0" fontId="8" fillId="0" borderId="0" xfId="0" applyFont="1" applyAlignment="1">
      <alignment horizontal="left" wrapText="1"/>
    </xf>
    <xf numFmtId="0" fontId="9" fillId="0" borderId="0" xfId="0" applyFont="1" applyAlignment="1">
      <alignment wrapText="1"/>
    </xf>
    <xf numFmtId="44" fontId="11" fillId="0" borderId="0" xfId="2" applyFont="1" applyFill="1" applyBorder="1" applyAlignment="1" applyProtection="1">
      <alignment horizontal="center" wrapText="1"/>
    </xf>
    <xf numFmtId="0" fontId="12" fillId="0" borderId="0" xfId="0" applyFont="1" applyAlignment="1">
      <alignment wrapText="1"/>
    </xf>
    <xf numFmtId="8" fontId="12" fillId="0" borderId="0" xfId="0" applyNumberFormat="1" applyFont="1" applyAlignment="1">
      <alignment horizontal="center"/>
    </xf>
    <xf numFmtId="0" fontId="3" fillId="0" borderId="34" xfId="0" applyFont="1" applyBorder="1" applyAlignment="1">
      <alignment horizontal="right"/>
    </xf>
    <xf numFmtId="0" fontId="8" fillId="0" borderId="30" xfId="0" applyFont="1" applyBorder="1"/>
    <xf numFmtId="0" fontId="0" fillId="0" borderId="30" xfId="0" applyBorder="1"/>
    <xf numFmtId="44" fontId="12" fillId="0" borderId="35" xfId="2" applyFont="1" applyFill="1" applyBorder="1" applyAlignment="1" applyProtection="1">
      <alignment horizontal="center" wrapText="1"/>
    </xf>
    <xf numFmtId="165" fontId="11" fillId="0" borderId="35" xfId="2" applyNumberFormat="1" applyFont="1" applyFill="1" applyBorder="1" applyProtection="1"/>
    <xf numFmtId="0" fontId="17" fillId="0" borderId="0" xfId="0" applyFont="1"/>
    <xf numFmtId="0" fontId="12" fillId="0" borderId="20" xfId="0" applyFont="1" applyBorder="1"/>
    <xf numFmtId="0" fontId="8" fillId="0" borderId="38" xfId="0" applyFont="1" applyBorder="1" applyAlignment="1">
      <alignment horizontal="left"/>
    </xf>
    <xf numFmtId="44" fontId="12" fillId="0" borderId="39" xfId="2" applyFont="1" applyFill="1" applyBorder="1" applyAlignment="1" applyProtection="1">
      <alignment horizontal="center" wrapText="1"/>
    </xf>
    <xf numFmtId="0" fontId="12" fillId="0" borderId="21" xfId="0" applyFont="1" applyBorder="1"/>
    <xf numFmtId="0" fontId="12" fillId="0" borderId="24" xfId="0" applyFont="1" applyBorder="1"/>
    <xf numFmtId="0" fontId="12" fillId="0" borderId="28" xfId="0" applyFont="1" applyBorder="1"/>
    <xf numFmtId="0" fontId="12" fillId="0" borderId="16" xfId="0" applyFont="1" applyBorder="1"/>
    <xf numFmtId="164" fontId="2" fillId="0" borderId="0" xfId="0" applyNumberFormat="1" applyFont="1" applyAlignment="1">
      <alignment horizontal="center"/>
    </xf>
    <xf numFmtId="0" fontId="6" fillId="6" borderId="0" xfId="0" applyFont="1" applyFill="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0" fontId="1" fillId="0" borderId="0" xfId="0" applyFont="1"/>
    <xf numFmtId="0" fontId="8" fillId="0" borderId="0" xfId="0" applyFont="1" applyAlignment="1">
      <alignment horizontal="left" indent="3"/>
    </xf>
    <xf numFmtId="0" fontId="9" fillId="0" borderId="0" xfId="0" applyFont="1" applyAlignment="1">
      <alignment horizontal="left" indent="3"/>
    </xf>
    <xf numFmtId="164" fontId="11" fillId="4" borderId="14" xfId="0" applyNumberFormat="1" applyFont="1" applyFill="1" applyBorder="1" applyAlignment="1" applyProtection="1">
      <alignment horizontal="center"/>
      <protection locked="0"/>
    </xf>
    <xf numFmtId="0" fontId="23" fillId="0" borderId="0" xfId="0" applyFont="1" applyProtection="1">
      <protection locked="0"/>
    </xf>
    <xf numFmtId="0" fontId="3" fillId="5" borderId="24" xfId="0" applyFont="1" applyFill="1" applyBorder="1" applyAlignment="1">
      <alignment horizontal="left"/>
    </xf>
    <xf numFmtId="0" fontId="11" fillId="5" borderId="19" xfId="0" applyFont="1" applyFill="1" applyBorder="1" applyAlignment="1">
      <alignment horizontal="center" wrapText="1"/>
    </xf>
    <xf numFmtId="0" fontId="11" fillId="0" borderId="27" xfId="0" applyFont="1" applyBorder="1" applyAlignment="1">
      <alignment horizontal="center"/>
    </xf>
    <xf numFmtId="0" fontId="3" fillId="0" borderId="28" xfId="0" applyFont="1" applyBorder="1" applyAlignment="1">
      <alignment horizontal="left"/>
    </xf>
    <xf numFmtId="0" fontId="12" fillId="0" borderId="16" xfId="0" applyFont="1" applyBorder="1" applyProtection="1">
      <protection locked="0"/>
    </xf>
    <xf numFmtId="0" fontId="3" fillId="5" borderId="0" xfId="0" applyFont="1" applyFill="1" applyAlignment="1">
      <alignment horizontal="left"/>
    </xf>
    <xf numFmtId="0" fontId="3" fillId="5" borderId="25" xfId="0" applyFont="1" applyFill="1" applyBorder="1" applyAlignment="1">
      <alignment horizontal="left"/>
    </xf>
    <xf numFmtId="0" fontId="11" fillId="5" borderId="2" xfId="0" applyFont="1" applyFill="1" applyBorder="1"/>
    <xf numFmtId="0" fontId="11" fillId="5" borderId="18" xfId="0" applyFont="1" applyFill="1" applyBorder="1"/>
    <xf numFmtId="0" fontId="3" fillId="0" borderId="20" xfId="0" applyFont="1" applyBorder="1" applyAlignment="1">
      <alignment horizontal="left"/>
    </xf>
    <xf numFmtId="43" fontId="6" fillId="0" borderId="26" xfId="1" applyFont="1" applyFill="1" applyBorder="1" applyAlignment="1">
      <alignment horizontal="center" wrapText="1"/>
    </xf>
    <xf numFmtId="0" fontId="3" fillId="0" borderId="0" xfId="0" applyFont="1"/>
    <xf numFmtId="0" fontId="11" fillId="0" borderId="30" xfId="0" applyFont="1" applyBorder="1" applyAlignment="1">
      <alignment horizontal="right"/>
    </xf>
    <xf numFmtId="3" fontId="11" fillId="4" borderId="14" xfId="0" applyNumberFormat="1" applyFont="1" applyFill="1" applyBorder="1" applyAlignment="1" applyProtection="1">
      <alignment horizontal="center"/>
      <protection locked="0"/>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center"/>
    </xf>
    <xf numFmtId="0" fontId="6" fillId="0" borderId="0" xfId="0" applyFont="1" applyAlignment="1">
      <alignment wrapText="1"/>
    </xf>
    <xf numFmtId="44" fontId="0" fillId="0" borderId="0" xfId="0" applyNumberFormat="1"/>
    <xf numFmtId="8" fontId="22" fillId="0" borderId="29" xfId="0" applyNumberFormat="1" applyFont="1" applyBorder="1" applyAlignment="1">
      <alignment horizontal="right" vertical="center"/>
    </xf>
    <xf numFmtId="0" fontId="12" fillId="0" borderId="0" xfId="0" applyFont="1" applyAlignment="1">
      <alignment vertical="top" wrapText="1"/>
    </xf>
    <xf numFmtId="44" fontId="12" fillId="0" borderId="48" xfId="2" applyFont="1" applyFill="1" applyBorder="1" applyAlignment="1" applyProtection="1">
      <alignment horizontal="center" wrapText="1"/>
    </xf>
    <xf numFmtId="0" fontId="3" fillId="0" borderId="37" xfId="0" applyFont="1" applyBorder="1" applyAlignment="1">
      <alignment horizontal="right"/>
    </xf>
    <xf numFmtId="0" fontId="8" fillId="0" borderId="0" xfId="0" applyFont="1"/>
    <xf numFmtId="0" fontId="7" fillId="0" borderId="30" xfId="0" applyFont="1" applyBorder="1" applyAlignment="1">
      <alignment wrapText="1"/>
    </xf>
    <xf numFmtId="0" fontId="3" fillId="0" borderId="16" xfId="0" applyFont="1" applyBorder="1" applyAlignment="1">
      <alignment horizontal="right"/>
    </xf>
    <xf numFmtId="0" fontId="3" fillId="0" borderId="40" xfId="0" applyFont="1" applyBorder="1" applyAlignment="1">
      <alignment horizontal="right"/>
    </xf>
    <xf numFmtId="44" fontId="11" fillId="5" borderId="0" xfId="2" applyFont="1" applyFill="1" applyBorder="1" applyAlignment="1" applyProtection="1">
      <alignment horizontal="center" wrapText="1"/>
    </xf>
    <xf numFmtId="44" fontId="3" fillId="0" borderId="40" xfId="2" applyFont="1" applyBorder="1" applyAlignment="1">
      <alignment horizontal="right"/>
    </xf>
    <xf numFmtId="44" fontId="12" fillId="0" borderId="32" xfId="0" applyNumberFormat="1" applyFont="1" applyBorder="1" applyAlignment="1">
      <alignment horizontal="right"/>
    </xf>
    <xf numFmtId="8" fontId="22" fillId="7" borderId="29" xfId="0" applyNumberFormat="1" applyFont="1" applyFill="1" applyBorder="1" applyAlignment="1">
      <alignment vertical="center"/>
    </xf>
    <xf numFmtId="0" fontId="11" fillId="0" borderId="6" xfId="0" applyFont="1" applyBorder="1" applyAlignment="1">
      <alignment horizontal="center" wrapText="1"/>
    </xf>
    <xf numFmtId="0" fontId="0" fillId="0" borderId="6" xfId="0" applyBorder="1" applyAlignment="1">
      <alignment wrapText="1"/>
    </xf>
    <xf numFmtId="0" fontId="12" fillId="0" borderId="0" xfId="0" applyFont="1" applyAlignment="1">
      <alignment horizontal="left" vertical="center" wrapText="1"/>
    </xf>
    <xf numFmtId="0" fontId="0" fillId="0" borderId="0" xfId="0" applyAlignment="1">
      <alignment vertical="center" wrapText="1"/>
    </xf>
    <xf numFmtId="0" fontId="0" fillId="0" borderId="25" xfId="0" applyBorder="1" applyAlignment="1">
      <alignment vertical="center" wrapText="1"/>
    </xf>
    <xf numFmtId="0" fontId="10" fillId="0" borderId="24" xfId="3" applyBorder="1" applyAlignment="1" applyProtection="1">
      <alignment vertical="top" wrapText="1"/>
      <protection locked="0"/>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4" fillId="0" borderId="0" xfId="0" applyFont="1" applyAlignment="1">
      <alignment wrapText="1"/>
    </xf>
    <xf numFmtId="0" fontId="0" fillId="0" borderId="0" xfId="0" applyAlignment="1">
      <alignment wrapText="1"/>
    </xf>
    <xf numFmtId="0" fontId="14" fillId="0" borderId="0" xfId="3" applyFont="1" applyFill="1" applyBorder="1" applyAlignment="1" applyProtection="1">
      <alignment horizontal="right" vertical="center"/>
      <protection locked="0"/>
    </xf>
    <xf numFmtId="0" fontId="11" fillId="0" borderId="0" xfId="0" applyFont="1" applyAlignment="1" applyProtection="1">
      <alignment vertical="center"/>
      <protection locked="0"/>
    </xf>
    <xf numFmtId="0" fontId="0" fillId="0" borderId="0" xfId="0"/>
    <xf numFmtId="0" fontId="8" fillId="0" borderId="30" xfId="0" applyFont="1" applyBorder="1" applyAlignment="1">
      <alignment horizontal="left" indent="3"/>
    </xf>
    <xf numFmtId="0" fontId="9" fillId="0" borderId="30" xfId="0" applyFont="1" applyBorder="1" applyAlignment="1">
      <alignment horizontal="left" indent="3"/>
    </xf>
    <xf numFmtId="0" fontId="12" fillId="5" borderId="24" xfId="0" applyFont="1" applyFill="1" applyBorder="1" applyAlignment="1">
      <alignment horizontal="left" wrapText="1"/>
    </xf>
    <xf numFmtId="0" fontId="0" fillId="0" borderId="25" xfId="0" applyBorder="1" applyAlignment="1">
      <alignment wrapText="1"/>
    </xf>
    <xf numFmtId="0" fontId="0" fillId="0" borderId="24" xfId="0" applyBorder="1" applyAlignment="1">
      <alignment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7" fillId="0" borderId="0" xfId="0" applyFont="1" applyAlignment="1">
      <alignment horizontal="left" wrapText="1"/>
    </xf>
    <xf numFmtId="0" fontId="0" fillId="0" borderId="41" xfId="0" applyBorder="1"/>
    <xf numFmtId="0" fontId="11" fillId="5" borderId="9" xfId="0" applyFont="1" applyFill="1" applyBorder="1"/>
    <xf numFmtId="0" fontId="0" fillId="0" borderId="2" xfId="0" applyBorder="1"/>
    <xf numFmtId="0" fontId="0" fillId="0" borderId="18" xfId="0" applyBorder="1"/>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7" fillId="0" borderId="0" xfId="0" applyFont="1" applyAlignment="1">
      <alignment horizontal="left" vertical="center"/>
    </xf>
    <xf numFmtId="0" fontId="0" fillId="0" borderId="0" xfId="0" applyAlignment="1">
      <alignment vertical="center"/>
    </xf>
    <xf numFmtId="0" fontId="11" fillId="0" borderId="0" xfId="0" applyFont="1" applyAlignment="1">
      <alignment vertical="top" wrapText="1"/>
    </xf>
    <xf numFmtId="0" fontId="12" fillId="0" borderId="0" xfId="0" applyFont="1" applyAlignment="1">
      <alignment horizontal="left" vertical="top" wrapText="1"/>
    </xf>
    <xf numFmtId="0" fontId="11" fillId="0" borderId="30" xfId="0" applyFont="1" applyBorder="1" applyAlignment="1">
      <alignment horizontal="right"/>
    </xf>
    <xf numFmtId="0" fontId="0" fillId="0" borderId="30" xfId="0" applyBorder="1"/>
    <xf numFmtId="0" fontId="0" fillId="0" borderId="46" xfId="0" applyBorder="1"/>
    <xf numFmtId="0" fontId="0" fillId="0" borderId="47" xfId="0" applyBorder="1"/>
    <xf numFmtId="0" fontId="12" fillId="0" borderId="0" xfId="0" applyFont="1" applyAlignment="1">
      <alignment vertical="center" wrapText="1"/>
    </xf>
    <xf numFmtId="0" fontId="17" fillId="0" borderId="0" xfId="0" applyFont="1" applyAlignment="1">
      <alignment horizontal="left"/>
    </xf>
    <xf numFmtId="0" fontId="12" fillId="0" borderId="21" xfId="0" applyFont="1" applyBorder="1"/>
    <xf numFmtId="0" fontId="12" fillId="0" borderId="22" xfId="0" applyFont="1" applyBorder="1"/>
    <xf numFmtId="0" fontId="12" fillId="0" borderId="44" xfId="0" applyFont="1" applyBorder="1" applyAlignment="1">
      <alignment horizontal="right"/>
    </xf>
    <xf numFmtId="0" fontId="12" fillId="0" borderId="45" xfId="0" applyFont="1" applyBorder="1" applyAlignment="1">
      <alignment horizontal="right"/>
    </xf>
    <xf numFmtId="0" fontId="12" fillId="0" borderId="0" xfId="0" applyFont="1"/>
    <xf numFmtId="0" fontId="3" fillId="0" borderId="0" xfId="0" applyFont="1"/>
    <xf numFmtId="0" fontId="12" fillId="0" borderId="25" xfId="0" applyFont="1" applyBorder="1"/>
    <xf numFmtId="0" fontId="1" fillId="0" borderId="16" xfId="0" applyFont="1" applyBorder="1" applyAlignment="1">
      <alignment horizontal="center" wrapText="1"/>
    </xf>
    <xf numFmtId="0" fontId="12" fillId="0" borderId="38" xfId="0" applyFont="1" applyBorder="1" applyAlignment="1">
      <alignment horizontal="right"/>
    </xf>
    <xf numFmtId="0" fontId="12" fillId="0" borderId="42" xfId="0" applyFont="1" applyBorder="1" applyAlignment="1">
      <alignment horizontal="right"/>
    </xf>
    <xf numFmtId="0" fontId="8" fillId="0" borderId="30" xfId="0" applyFont="1" applyBorder="1" applyAlignment="1">
      <alignment horizontal="left" wrapText="1"/>
    </xf>
    <xf numFmtId="0" fontId="8" fillId="0" borderId="34" xfId="0" applyFont="1" applyBorder="1" applyAlignment="1">
      <alignment horizontal="left" wrapText="1"/>
    </xf>
    <xf numFmtId="0" fontId="7" fillId="0" borderId="30" xfId="0" applyFont="1" applyBorder="1" applyAlignment="1">
      <alignment horizontal="left" indent="3"/>
    </xf>
    <xf numFmtId="0" fontId="6" fillId="0" borderId="30" xfId="0" applyFont="1" applyBorder="1" applyAlignment="1">
      <alignment horizontal="left" indent="3"/>
    </xf>
    <xf numFmtId="0" fontId="8" fillId="0" borderId="43" xfId="0" applyFont="1" applyBorder="1" applyAlignment="1">
      <alignment horizontal="left" wrapText="1"/>
    </xf>
    <xf numFmtId="0" fontId="1" fillId="0" borderId="0" xfId="0" applyFont="1"/>
    <xf numFmtId="0" fontId="24" fillId="0" borderId="0" xfId="0" applyFont="1" applyAlignment="1">
      <alignment horizontal="left" vertical="center"/>
    </xf>
    <xf numFmtId="0" fontId="25" fillId="0" borderId="0" xfId="0" applyFont="1" applyAlignment="1">
      <alignment vertical="top" wrapText="1"/>
    </xf>
    <xf numFmtId="0" fontId="26" fillId="0" borderId="0" xfId="0" applyFont="1" applyAlignment="1">
      <alignment wrapText="1"/>
    </xf>
    <xf numFmtId="0" fontId="27" fillId="0" borderId="0" xfId="0" applyFont="1"/>
    <xf numFmtId="0" fontId="26" fillId="0" borderId="0" xfId="0" applyFont="1" applyAlignment="1">
      <alignment horizontal="left" vertical="top" wrapText="1"/>
    </xf>
    <xf numFmtId="0" fontId="25" fillId="0" borderId="0" xfId="0" applyFont="1"/>
    <xf numFmtId="0" fontId="26" fillId="0" borderId="0" xfId="0" applyFont="1" applyAlignment="1">
      <alignment wrapText="1"/>
    </xf>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1031240</xdr:colOff>
      <xdr:row>46</xdr:row>
      <xdr:rowOff>110490</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307340</xdr:colOff>
      <xdr:row>5</xdr:row>
      <xdr:rowOff>154940</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76</xdr:row>
      <xdr:rowOff>9525</xdr:rowOff>
    </xdr:from>
    <xdr:to>
      <xdr:col>3</xdr:col>
      <xdr:colOff>828675</xdr:colOff>
      <xdr:row>76</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606425</xdr:colOff>
      <xdr:row>65</xdr:row>
      <xdr:rowOff>263525</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102"/>
  <sheetViews>
    <sheetView tabSelected="1" workbookViewId="0">
      <selection activeCell="B3" sqref="B3:L3"/>
    </sheetView>
  </sheetViews>
  <sheetFormatPr defaultColWidth="9.109375" defaultRowHeight="10.199999999999999" x14ac:dyDescent="0.2"/>
  <cols>
    <col min="1" max="1" width="1.6640625" style="60" customWidth="1"/>
    <col min="2" max="2" width="3.88671875" style="60" bestFit="1" customWidth="1"/>
    <col min="3" max="3" width="1.5546875" style="61" customWidth="1"/>
    <col min="4" max="4" width="13.5546875" style="61" customWidth="1"/>
    <col min="5" max="5" width="14.6640625" style="61" customWidth="1"/>
    <col min="6" max="6" width="11.44140625" style="62" customWidth="1"/>
    <col min="7" max="7" width="12" style="61" hidden="1" customWidth="1"/>
    <col min="8" max="8" width="12.88671875" style="61" customWidth="1"/>
    <col min="9" max="9" width="14.5546875" style="61" customWidth="1"/>
    <col min="10" max="10" width="1.88671875" style="61" customWidth="1"/>
    <col min="11" max="11" width="31.109375" style="61" customWidth="1"/>
    <col min="12" max="12" width="5.44140625" style="61" customWidth="1"/>
    <col min="13" max="13" width="1.88671875" style="60" customWidth="1"/>
    <col min="14" max="14" width="16.5546875" style="60" customWidth="1"/>
    <col min="15" max="15" width="13" style="60" customWidth="1"/>
    <col min="16" max="16" width="10.6640625" style="60" bestFit="1" customWidth="1"/>
    <col min="17" max="17" width="18" style="60" customWidth="1"/>
    <col min="18" max="18" width="15.6640625" style="60" customWidth="1"/>
    <col min="19" max="19" width="19.5546875" style="60" customWidth="1"/>
    <col min="20" max="20" width="7.33203125" style="60" customWidth="1"/>
    <col min="21" max="21" width="9.109375" style="60"/>
    <col min="22" max="22" width="14" style="42" customWidth="1"/>
    <col min="23" max="25" width="9.109375" style="42"/>
    <col min="26" max="16384" width="9.109375" style="60"/>
  </cols>
  <sheetData>
    <row r="1" spans="2:27" ht="12" customHeight="1" x14ac:dyDescent="0.2">
      <c r="J1" s="43"/>
      <c r="K1" s="43"/>
      <c r="L1" s="43"/>
      <c r="M1" s="42"/>
      <c r="N1" s="42"/>
      <c r="O1" s="42"/>
      <c r="P1" s="42"/>
      <c r="Q1" s="42"/>
      <c r="R1" s="42"/>
      <c r="S1" s="42"/>
      <c r="T1" s="42"/>
      <c r="U1" s="42"/>
    </row>
    <row r="2" spans="2:27" s="63" customFormat="1" ht="17.25" customHeight="1" x14ac:dyDescent="0.3">
      <c r="B2" s="212" t="s">
        <v>168</v>
      </c>
      <c r="C2" s="213"/>
      <c r="D2" s="213"/>
      <c r="E2" s="213"/>
      <c r="F2" s="213"/>
      <c r="G2" s="213"/>
      <c r="H2" s="213"/>
      <c r="I2" s="213"/>
      <c r="J2" s="45"/>
      <c r="K2" s="45"/>
      <c r="L2" s="45"/>
      <c r="M2" s="46"/>
      <c r="N2" s="46"/>
      <c r="O2" s="46"/>
      <c r="P2" s="46"/>
      <c r="Q2" s="46"/>
      <c r="R2" s="46"/>
      <c r="S2" s="46"/>
      <c r="T2" s="46"/>
      <c r="U2" s="46"/>
      <c r="V2" s="46"/>
      <c r="W2" s="46"/>
      <c r="X2" s="46"/>
      <c r="Y2" s="46"/>
    </row>
    <row r="3" spans="2:27" s="63" customFormat="1" ht="96.75" customHeight="1" x14ac:dyDescent="0.25">
      <c r="B3" s="233" t="s">
        <v>153</v>
      </c>
      <c r="C3" s="213"/>
      <c r="D3" s="213"/>
      <c r="E3" s="213"/>
      <c r="F3" s="213"/>
      <c r="G3" s="213"/>
      <c r="H3" s="213"/>
      <c r="I3" s="213"/>
      <c r="J3" s="213"/>
      <c r="K3" s="213"/>
      <c r="L3" s="213"/>
      <c r="M3" s="2"/>
      <c r="S3" s="46"/>
      <c r="T3" s="46"/>
      <c r="U3" s="46"/>
      <c r="V3" s="46"/>
      <c r="W3" s="46"/>
      <c r="X3" s="46"/>
      <c r="Y3" s="46"/>
    </row>
    <row r="4" spans="2:27" ht="9" customHeight="1" x14ac:dyDescent="0.2">
      <c r="D4" s="60"/>
      <c r="K4" s="43"/>
      <c r="L4" s="43"/>
      <c r="M4" s="42"/>
      <c r="N4" s="42"/>
      <c r="O4" s="42"/>
      <c r="P4" s="42"/>
      <c r="Q4" s="42"/>
      <c r="R4" s="42"/>
      <c r="S4" s="42"/>
      <c r="T4" s="42"/>
      <c r="U4" s="42"/>
    </row>
    <row r="5" spans="2:27" s="63" customFormat="1" ht="15.75" customHeight="1" x14ac:dyDescent="0.2">
      <c r="B5" s="231" t="s">
        <v>131</v>
      </c>
      <c r="C5" s="232"/>
      <c r="D5" s="232"/>
      <c r="E5" s="232"/>
      <c r="F5" s="232"/>
      <c r="G5" s="232"/>
      <c r="H5" s="232"/>
      <c r="I5" s="47"/>
      <c r="J5" s="48"/>
      <c r="K5" s="48"/>
      <c r="L5" s="48"/>
      <c r="M5" s="66"/>
      <c r="N5" s="64" t="s">
        <v>117</v>
      </c>
      <c r="O5" s="67"/>
      <c r="P5" s="49"/>
      <c r="Q5" s="49"/>
      <c r="R5" s="214"/>
      <c r="S5" s="215"/>
      <c r="T5" s="215"/>
      <c r="U5" s="46"/>
      <c r="V5" s="46"/>
      <c r="W5" s="46"/>
      <c r="X5" s="46"/>
      <c r="Y5" s="46"/>
    </row>
    <row r="6" spans="2:27" s="63" customFormat="1" ht="15.75" customHeight="1" thickBot="1" x14ac:dyDescent="0.25">
      <c r="B6" s="68"/>
      <c r="C6" s="69"/>
      <c r="D6" s="257" t="s">
        <v>119</v>
      </c>
      <c r="E6" s="65"/>
      <c r="F6" s="70"/>
      <c r="G6" s="65"/>
      <c r="H6" s="71"/>
      <c r="I6" s="71"/>
      <c r="J6" s="66"/>
      <c r="K6" s="48"/>
      <c r="L6" s="48"/>
      <c r="M6" s="66"/>
      <c r="N6" s="72" t="s">
        <v>128</v>
      </c>
      <c r="O6" s="73"/>
      <c r="P6" s="74"/>
      <c r="Q6" s="74"/>
      <c r="R6" s="229"/>
      <c r="S6" s="230"/>
      <c r="T6" s="230"/>
      <c r="U6" s="46"/>
      <c r="V6" s="46" t="s">
        <v>149</v>
      </c>
      <c r="W6" s="46"/>
      <c r="X6" s="46"/>
      <c r="Y6" s="46"/>
    </row>
    <row r="7" spans="2:27" ht="25.5" customHeight="1" thickTop="1" thickBot="1" x14ac:dyDescent="0.25">
      <c r="D7" s="75" t="s">
        <v>18</v>
      </c>
      <c r="E7" s="75" t="s">
        <v>7</v>
      </c>
      <c r="F7" s="75" t="s">
        <v>116</v>
      </c>
      <c r="G7" s="76" t="s">
        <v>12</v>
      </c>
      <c r="H7" s="77" t="s">
        <v>115</v>
      </c>
      <c r="I7" s="78" t="s">
        <v>108</v>
      </c>
      <c r="K7" s="188"/>
      <c r="N7" s="79" t="s">
        <v>25</v>
      </c>
      <c r="O7" s="80" t="s">
        <v>132</v>
      </c>
      <c r="P7" s="81"/>
      <c r="Q7" s="81"/>
      <c r="R7" s="80" t="s">
        <v>107</v>
      </c>
      <c r="S7" s="81"/>
      <c r="T7" s="82"/>
      <c r="U7" s="42"/>
      <c r="V7" s="170" t="s">
        <v>148</v>
      </c>
      <c r="W7" s="80"/>
      <c r="X7" s="176"/>
      <c r="Y7" s="176"/>
      <c r="Z7" s="176"/>
      <c r="AA7" s="177"/>
    </row>
    <row r="8" spans="2:27" s="61" customFormat="1" ht="10.8" thickTop="1" x14ac:dyDescent="0.2">
      <c r="D8" s="31" t="s">
        <v>21</v>
      </c>
      <c r="E8" s="31" t="s">
        <v>17</v>
      </c>
      <c r="F8" s="37">
        <v>1500</v>
      </c>
      <c r="G8" s="83">
        <f>HLOOKUP(E8,BVD!$C$3:$N$4,2,1)</f>
        <v>9</v>
      </c>
      <c r="H8" s="84">
        <f>IF(D8=0,0,(VLOOKUP(D8,BVD!$C$5:$N$33,3+G8)))</f>
        <v>177.42</v>
      </c>
      <c r="I8" s="85">
        <f t="shared" ref="I8:I24" si="0">H8*F8</f>
        <v>266130</v>
      </c>
      <c r="K8" s="188"/>
      <c r="N8" s="86" t="s">
        <v>26</v>
      </c>
      <c r="O8" s="87" t="s">
        <v>27</v>
      </c>
      <c r="P8" s="88"/>
      <c r="Q8" s="88"/>
      <c r="R8" s="87" t="s">
        <v>28</v>
      </c>
      <c r="S8" s="88"/>
      <c r="T8" s="89"/>
      <c r="U8" s="43"/>
      <c r="V8" s="86" t="s">
        <v>143</v>
      </c>
      <c r="W8" s="178" t="s">
        <v>150</v>
      </c>
      <c r="X8" s="88"/>
      <c r="Y8" s="88"/>
      <c r="Z8" s="88"/>
      <c r="AA8" s="89"/>
    </row>
    <row r="9" spans="2:27" x14ac:dyDescent="0.2">
      <c r="D9" s="32" t="s">
        <v>23</v>
      </c>
      <c r="E9" s="32" t="s">
        <v>17</v>
      </c>
      <c r="F9" s="39">
        <v>400</v>
      </c>
      <c r="G9" s="90">
        <f>HLOOKUP(E9,BVD!$C$3:$N$4,2,1)</f>
        <v>9</v>
      </c>
      <c r="H9" s="84">
        <f>IF(D9=0,0,(VLOOKUP(D9,BVD!$C$5:$N$33,3+G9)))</f>
        <v>68.75</v>
      </c>
      <c r="I9" s="85">
        <f t="shared" si="0"/>
        <v>27500</v>
      </c>
      <c r="K9" s="188"/>
      <c r="N9" s="91" t="s">
        <v>94</v>
      </c>
      <c r="O9" s="92" t="s">
        <v>30</v>
      </c>
      <c r="P9" s="93"/>
      <c r="Q9" s="93"/>
      <c r="R9" s="92" t="s">
        <v>28</v>
      </c>
      <c r="S9" s="93"/>
      <c r="T9" s="94"/>
      <c r="U9" s="42"/>
      <c r="V9" s="91" t="s">
        <v>144</v>
      </c>
      <c r="W9" s="169" t="s">
        <v>151</v>
      </c>
      <c r="X9" s="174"/>
      <c r="Y9" s="174"/>
      <c r="Z9" s="174"/>
      <c r="AA9" s="175"/>
    </row>
    <row r="10" spans="2:27" ht="10.8" thickBot="1" x14ac:dyDescent="0.25">
      <c r="D10" s="32" t="s">
        <v>6</v>
      </c>
      <c r="E10" s="32" t="s">
        <v>17</v>
      </c>
      <c r="F10" s="39"/>
      <c r="G10" s="90">
        <f>HLOOKUP(E10,BVD!$C$3:$N$4,2,1)</f>
        <v>9</v>
      </c>
      <c r="H10" s="84">
        <f>IF(D10=0,0,(VLOOKUP(D10,BVD!$C$5:$N$33,3+G10)))</f>
        <v>190.43</v>
      </c>
      <c r="I10" s="85">
        <f t="shared" si="0"/>
        <v>0</v>
      </c>
      <c r="K10" s="188"/>
      <c r="N10" s="95" t="s">
        <v>31</v>
      </c>
      <c r="O10" s="96" t="s">
        <v>32</v>
      </c>
      <c r="R10" s="96"/>
      <c r="T10" s="97"/>
      <c r="U10" s="42"/>
      <c r="V10" s="171" t="s">
        <v>145</v>
      </c>
      <c r="W10" s="172" t="s">
        <v>152</v>
      </c>
      <c r="X10" s="173"/>
      <c r="Y10" s="173"/>
      <c r="Z10" s="155"/>
      <c r="AA10" s="117"/>
    </row>
    <row r="11" spans="2:27" x14ac:dyDescent="0.2">
      <c r="D11" s="32" t="s">
        <v>20</v>
      </c>
      <c r="E11" s="32" t="s">
        <v>16</v>
      </c>
      <c r="F11" s="38"/>
      <c r="G11" s="90">
        <f>HLOOKUP(E11,BVD!$C$3:$N$4,2,1)</f>
        <v>8</v>
      </c>
      <c r="H11" s="84">
        <f>IF(D11=0,0,(VLOOKUP(D11,BVD!$C$5:$N$33,3+G11)))</f>
        <v>165.31</v>
      </c>
      <c r="I11" s="85">
        <f t="shared" si="0"/>
        <v>0</v>
      </c>
      <c r="K11" s="188"/>
      <c r="N11" s="91" t="s">
        <v>96</v>
      </c>
      <c r="O11" s="92" t="s">
        <v>33</v>
      </c>
      <c r="P11" s="93"/>
      <c r="Q11" s="93"/>
      <c r="R11" s="92" t="s">
        <v>34</v>
      </c>
      <c r="S11" s="93"/>
      <c r="T11" s="94"/>
      <c r="U11" s="42"/>
    </row>
    <row r="12" spans="2:27" x14ac:dyDescent="0.2">
      <c r="D12" s="32" t="s">
        <v>6</v>
      </c>
      <c r="E12" s="32" t="s">
        <v>17</v>
      </c>
      <c r="F12" s="38"/>
      <c r="G12" s="90">
        <f>HLOOKUP(E12,BVD!$C$3:$N$4,2,1)</f>
        <v>9</v>
      </c>
      <c r="H12" s="84">
        <f>IF(D12=0,0,(VLOOKUP(D12,BVD!$C$5:$N$33,3+G12)))</f>
        <v>190.43</v>
      </c>
      <c r="I12" s="85">
        <f t="shared" si="0"/>
        <v>0</v>
      </c>
      <c r="K12" s="186"/>
      <c r="L12" s="43"/>
      <c r="N12" s="95" t="s">
        <v>35</v>
      </c>
      <c r="O12" s="96" t="s">
        <v>36</v>
      </c>
      <c r="R12" s="96" t="s">
        <v>37</v>
      </c>
      <c r="T12" s="97"/>
      <c r="U12" s="42"/>
    </row>
    <row r="13" spans="2:27" x14ac:dyDescent="0.2">
      <c r="D13" s="32" t="s">
        <v>61</v>
      </c>
      <c r="E13" s="32" t="s">
        <v>8</v>
      </c>
      <c r="F13" s="38"/>
      <c r="G13" s="90">
        <f>HLOOKUP(E13,BVD!$C$3:$N$4,2,1)</f>
        <v>1</v>
      </c>
      <c r="H13" s="84">
        <f>IF(D13=0,0,(VLOOKUP(D13,BVD!$C$5:$N$33,3+G13)))</f>
        <v>487.43</v>
      </c>
      <c r="I13" s="85">
        <f t="shared" si="0"/>
        <v>0</v>
      </c>
      <c r="K13" s="186"/>
      <c r="L13" s="43"/>
      <c r="N13" s="91" t="s">
        <v>97</v>
      </c>
      <c r="O13" s="92" t="s">
        <v>38</v>
      </c>
      <c r="P13" s="93"/>
      <c r="Q13" s="93"/>
      <c r="R13" s="92" t="s">
        <v>39</v>
      </c>
      <c r="S13" s="93"/>
      <c r="T13" s="94"/>
      <c r="U13" s="42"/>
    </row>
    <row r="14" spans="2:27" x14ac:dyDescent="0.2">
      <c r="D14" s="32" t="s">
        <v>84</v>
      </c>
      <c r="E14" s="32" t="s">
        <v>8</v>
      </c>
      <c r="F14" s="38"/>
      <c r="G14" s="90">
        <f>HLOOKUP(E14,BVD!$C$3:$N$4,2,1)</f>
        <v>1</v>
      </c>
      <c r="H14" s="84">
        <f>IF(D14=0,0,(VLOOKUP(D14,BVD!$C$5:$N$33,3+G14)))</f>
        <v>158.62</v>
      </c>
      <c r="I14" s="85">
        <f t="shared" si="0"/>
        <v>0</v>
      </c>
      <c r="K14" s="186"/>
      <c r="L14" s="43"/>
      <c r="N14" s="95" t="s">
        <v>40</v>
      </c>
      <c r="O14" s="96" t="s">
        <v>41</v>
      </c>
      <c r="R14" s="96"/>
      <c r="T14" s="97"/>
      <c r="U14" s="42"/>
    </row>
    <row r="15" spans="2:27" x14ac:dyDescent="0.2">
      <c r="D15" s="32"/>
      <c r="E15" s="32"/>
      <c r="F15" s="38"/>
      <c r="G15" s="90" t="e">
        <f>HLOOKUP(E15,BVD!$C$3:$N$4,2,1)</f>
        <v>#N/A</v>
      </c>
      <c r="H15" s="84">
        <f>IF(D15=0,0,(VLOOKUP(D15,BVD!$C$5:$N$33,3+G15)))</f>
        <v>0</v>
      </c>
      <c r="I15" s="85">
        <f t="shared" si="0"/>
        <v>0</v>
      </c>
      <c r="K15" s="43"/>
      <c r="L15" s="43"/>
      <c r="N15" s="91" t="s">
        <v>6</v>
      </c>
      <c r="O15" s="92" t="s">
        <v>42</v>
      </c>
      <c r="P15" s="93"/>
      <c r="Q15" s="93"/>
      <c r="R15" s="92" t="s">
        <v>43</v>
      </c>
      <c r="S15" s="93"/>
      <c r="T15" s="94"/>
      <c r="U15" s="42"/>
    </row>
    <row r="16" spans="2:27" x14ac:dyDescent="0.2">
      <c r="D16" s="32"/>
      <c r="E16" s="32"/>
      <c r="F16" s="38"/>
      <c r="G16" s="90" t="e">
        <f>HLOOKUP(E16,BVD!$C$3:$N$4,2,1)</f>
        <v>#N/A</v>
      </c>
      <c r="H16" s="84">
        <f>IF(D16=0,0,(VLOOKUP(D16,BVD!$C$5:$N$33,3+G16)))</f>
        <v>0</v>
      </c>
      <c r="I16" s="85">
        <f t="shared" si="0"/>
        <v>0</v>
      </c>
      <c r="K16" s="43"/>
      <c r="L16" s="43"/>
      <c r="N16" s="95" t="s">
        <v>44</v>
      </c>
      <c r="O16" s="96" t="s">
        <v>45</v>
      </c>
      <c r="R16" s="96" t="s">
        <v>46</v>
      </c>
      <c r="T16" s="97"/>
      <c r="U16" s="42"/>
    </row>
    <row r="17" spans="4:23" x14ac:dyDescent="0.2">
      <c r="D17" s="32"/>
      <c r="E17" s="32"/>
      <c r="F17" s="38"/>
      <c r="G17" s="90" t="e">
        <f>HLOOKUP(E17,BVD!$C$3:$N$4,2,1)</f>
        <v>#N/A</v>
      </c>
      <c r="H17" s="84">
        <f>IF(D17=0,0,(VLOOKUP(D17,BVD!$C$5:$N$33,3+G17)))</f>
        <v>0</v>
      </c>
      <c r="I17" s="85">
        <f t="shared" si="0"/>
        <v>0</v>
      </c>
      <c r="K17" s="43"/>
      <c r="L17" s="43"/>
      <c r="N17" s="91" t="s">
        <v>47</v>
      </c>
      <c r="O17" s="92" t="s">
        <v>48</v>
      </c>
      <c r="P17" s="93"/>
      <c r="Q17" s="93"/>
      <c r="R17" s="92" t="s">
        <v>49</v>
      </c>
      <c r="S17" s="93"/>
      <c r="T17" s="94"/>
      <c r="U17" s="42"/>
    </row>
    <row r="18" spans="4:23" x14ac:dyDescent="0.2">
      <c r="D18" s="32"/>
      <c r="E18" s="32"/>
      <c r="F18" s="38"/>
      <c r="G18" s="90" t="e">
        <f>HLOOKUP(E18,BVD!$C$3:$N$4,2,1)</f>
        <v>#N/A</v>
      </c>
      <c r="H18" s="84">
        <f>IF(D18=0,0,(VLOOKUP(D18,BVD!$C$5:$N$33,3+G18)))</f>
        <v>0</v>
      </c>
      <c r="I18" s="85">
        <f t="shared" si="0"/>
        <v>0</v>
      </c>
      <c r="K18" s="43"/>
      <c r="L18" s="43"/>
      <c r="N18" s="95" t="s">
        <v>50</v>
      </c>
      <c r="O18" s="96" t="s">
        <v>51</v>
      </c>
      <c r="R18" s="96" t="s">
        <v>49</v>
      </c>
      <c r="T18" s="97"/>
      <c r="U18" s="42"/>
    </row>
    <row r="19" spans="4:23" x14ac:dyDescent="0.2">
      <c r="D19" s="32"/>
      <c r="E19" s="32"/>
      <c r="F19" s="38"/>
      <c r="G19" s="90" t="e">
        <f>HLOOKUP(E19,BVD!$C$3:$N$4,2,1)</f>
        <v>#N/A</v>
      </c>
      <c r="H19" s="84">
        <f>IF(D19=0,0,(VLOOKUP(D19,BVD!$C$5:$N$33,3+G19)))</f>
        <v>0</v>
      </c>
      <c r="I19" s="85">
        <f t="shared" si="0"/>
        <v>0</v>
      </c>
      <c r="K19" s="43"/>
      <c r="L19" s="43"/>
      <c r="N19" s="91" t="s">
        <v>52</v>
      </c>
      <c r="O19" s="92" t="s">
        <v>53</v>
      </c>
      <c r="P19" s="93"/>
      <c r="Q19" s="93"/>
      <c r="R19" s="92"/>
      <c r="S19" s="93"/>
      <c r="T19" s="94"/>
      <c r="U19" s="42"/>
    </row>
    <row r="20" spans="4:23" x14ac:dyDescent="0.2">
      <c r="D20" s="32"/>
      <c r="E20" s="32"/>
      <c r="F20" s="38"/>
      <c r="G20" s="90" t="e">
        <f>HLOOKUP(E20,BVD!$C$3:$N$4,2,1)</f>
        <v>#N/A</v>
      </c>
      <c r="H20" s="84">
        <f>IF(D20=0,0,(VLOOKUP(D20,BVD!$C$5:$N$33,3+G20)))</f>
        <v>0</v>
      </c>
      <c r="I20" s="85">
        <f t="shared" si="0"/>
        <v>0</v>
      </c>
      <c r="K20" s="43"/>
      <c r="L20" s="43"/>
      <c r="N20" s="95" t="s">
        <v>54</v>
      </c>
      <c r="O20" s="96" t="s">
        <v>55</v>
      </c>
      <c r="R20" s="96"/>
      <c r="T20" s="97"/>
      <c r="U20" s="42"/>
    </row>
    <row r="21" spans="4:23" x14ac:dyDescent="0.2">
      <c r="D21" s="32"/>
      <c r="E21" s="32"/>
      <c r="F21" s="38"/>
      <c r="G21" s="90" t="e">
        <f>HLOOKUP(E21,BVD!$C$3:$N$4,2,1)</f>
        <v>#N/A</v>
      </c>
      <c r="H21" s="84">
        <f>IF(D21=0,0,(VLOOKUP(D21,BVD!$C$5:$N$33,3+G21)))</f>
        <v>0</v>
      </c>
      <c r="I21" s="85">
        <f t="shared" si="0"/>
        <v>0</v>
      </c>
      <c r="K21" s="43"/>
      <c r="L21" s="43"/>
      <c r="N21" s="91" t="s">
        <v>56</v>
      </c>
      <c r="O21" s="92" t="s">
        <v>57</v>
      </c>
      <c r="P21" s="93"/>
      <c r="Q21" s="93"/>
      <c r="R21" s="92"/>
      <c r="S21" s="93"/>
      <c r="T21" s="94"/>
      <c r="U21" s="42"/>
    </row>
    <row r="22" spans="4:23" x14ac:dyDescent="0.2">
      <c r="D22" s="32"/>
      <c r="E22" s="32"/>
      <c r="F22" s="38"/>
      <c r="G22" s="90" t="e">
        <f>HLOOKUP(E22,BVD!$C$3:$N$4,2,1)</f>
        <v>#N/A</v>
      </c>
      <c r="H22" s="84">
        <f>IF(D22=0,0,(VLOOKUP(D22,BVD!$C$5:$N$33,3+G22)))</f>
        <v>0</v>
      </c>
      <c r="I22" s="85">
        <f t="shared" si="0"/>
        <v>0</v>
      </c>
      <c r="K22" s="43"/>
      <c r="L22" s="43"/>
      <c r="N22" s="95" t="s">
        <v>58</v>
      </c>
      <c r="O22" s="96" t="s">
        <v>59</v>
      </c>
      <c r="R22" s="96" t="s">
        <v>60</v>
      </c>
      <c r="T22" s="97"/>
      <c r="U22" s="42"/>
    </row>
    <row r="23" spans="4:23" x14ac:dyDescent="0.2">
      <c r="D23" s="32"/>
      <c r="E23" s="32"/>
      <c r="F23" s="38"/>
      <c r="G23" s="90" t="e">
        <f>HLOOKUP(E23,BVD!$C$3:$N$4,2,1)</f>
        <v>#N/A</v>
      </c>
      <c r="H23" s="84">
        <f>IF(D23=0,0,(VLOOKUP(D23,BVD!$C$5:$N$33,3+G23)))</f>
        <v>0</v>
      </c>
      <c r="I23" s="85">
        <f t="shared" si="0"/>
        <v>0</v>
      </c>
      <c r="K23" s="43"/>
      <c r="L23" s="43"/>
      <c r="N23" s="91" t="s">
        <v>61</v>
      </c>
      <c r="O23" s="92" t="s">
        <v>62</v>
      </c>
      <c r="P23" s="93"/>
      <c r="Q23" s="93"/>
      <c r="R23" s="92" t="s">
        <v>63</v>
      </c>
      <c r="S23" s="93"/>
      <c r="T23" s="94"/>
      <c r="U23" s="42"/>
    </row>
    <row r="24" spans="4:23" x14ac:dyDescent="0.2">
      <c r="D24" s="32"/>
      <c r="E24" s="32"/>
      <c r="F24" s="38"/>
      <c r="G24" s="90" t="e">
        <f>HLOOKUP(E24,BVD!$C$3:$N$4,2,1)</f>
        <v>#N/A</v>
      </c>
      <c r="H24" s="84">
        <f>IF(D24=0,0,(VLOOKUP(D24,BVD!$C$5:$N$33,3+G24)))</f>
        <v>0</v>
      </c>
      <c r="I24" s="85">
        <f t="shared" si="0"/>
        <v>0</v>
      </c>
      <c r="K24" s="43"/>
      <c r="L24" s="43"/>
      <c r="N24" s="95" t="s">
        <v>98</v>
      </c>
      <c r="O24" s="96" t="s">
        <v>64</v>
      </c>
      <c r="R24" s="96" t="s">
        <v>65</v>
      </c>
      <c r="T24" s="97"/>
      <c r="U24" s="42"/>
      <c r="W24" s="168"/>
    </row>
    <row r="25" spans="4:23" x14ac:dyDescent="0.2">
      <c r="D25" s="32"/>
      <c r="E25" s="32"/>
      <c r="F25" s="38"/>
      <c r="G25" s="90" t="e">
        <f>HLOOKUP(E25,BVD!$C$3:$N$4,2,1)</f>
        <v>#N/A</v>
      </c>
      <c r="H25" s="84">
        <f>IF(D25=0,0,(VLOOKUP(D25,BVD!$C$5:$N$33,3+G25)))</f>
        <v>0</v>
      </c>
      <c r="I25" s="85">
        <f t="shared" ref="I25:I35" si="1">H25*F25</f>
        <v>0</v>
      </c>
      <c r="K25" s="43"/>
      <c r="L25" s="43"/>
      <c r="N25" s="91" t="s">
        <v>66</v>
      </c>
      <c r="O25" s="92" t="s">
        <v>67</v>
      </c>
      <c r="P25" s="93"/>
      <c r="Q25" s="93"/>
      <c r="R25" s="92" t="s">
        <v>68</v>
      </c>
      <c r="S25" s="93"/>
      <c r="T25" s="94"/>
      <c r="U25" s="42"/>
      <c r="W25" s="168"/>
    </row>
    <row r="26" spans="4:23" x14ac:dyDescent="0.2">
      <c r="D26" s="32"/>
      <c r="E26" s="32"/>
      <c r="F26" s="38"/>
      <c r="G26" s="90" t="e">
        <f>HLOOKUP(E26,BVD!$C$3:$N$4,2,1)</f>
        <v>#N/A</v>
      </c>
      <c r="H26" s="84">
        <f>IF(D26=0,0,(VLOOKUP(D26,BVD!$C$5:$N$33,3+G26)))</f>
        <v>0</v>
      </c>
      <c r="I26" s="85">
        <f t="shared" si="1"/>
        <v>0</v>
      </c>
      <c r="K26" s="43"/>
      <c r="L26" s="43"/>
      <c r="N26" s="95" t="s">
        <v>69</v>
      </c>
      <c r="O26" s="96" t="s">
        <v>70</v>
      </c>
      <c r="R26" s="96"/>
      <c r="T26" s="97"/>
      <c r="U26" s="42"/>
      <c r="W26" s="168"/>
    </row>
    <row r="27" spans="4:23" x14ac:dyDescent="0.2">
      <c r="D27" s="32"/>
      <c r="E27" s="32"/>
      <c r="F27" s="38"/>
      <c r="G27" s="90" t="e">
        <f>HLOOKUP(E27,BVD!$C$3:$N$4,2,1)</f>
        <v>#N/A</v>
      </c>
      <c r="H27" s="84">
        <f>IF(D27=0,0,(VLOOKUP(D27,BVD!$C$5:$N$33,3+G27)))</f>
        <v>0</v>
      </c>
      <c r="I27" s="85">
        <f t="shared" si="1"/>
        <v>0</v>
      </c>
      <c r="K27" s="43"/>
      <c r="L27" s="43"/>
      <c r="N27" s="91" t="s">
        <v>71</v>
      </c>
      <c r="O27" s="92" t="s">
        <v>72</v>
      </c>
      <c r="P27" s="93"/>
      <c r="Q27" s="93"/>
      <c r="R27" s="92" t="s">
        <v>73</v>
      </c>
      <c r="S27" s="93"/>
      <c r="T27" s="94"/>
      <c r="U27" s="42"/>
    </row>
    <row r="28" spans="4:23" x14ac:dyDescent="0.2">
      <c r="D28" s="32"/>
      <c r="E28" s="32"/>
      <c r="F28" s="38"/>
      <c r="G28" s="90" t="e">
        <f>HLOOKUP(E28,BVD!$C$3:$N$4,2,1)</f>
        <v>#N/A</v>
      </c>
      <c r="H28" s="84">
        <f>IF(D28=0,0,(VLOOKUP(D28,BVD!$C$5:$N$33,3+G28)))</f>
        <v>0</v>
      </c>
      <c r="I28" s="85">
        <f t="shared" si="1"/>
        <v>0</v>
      </c>
      <c r="K28" s="43"/>
      <c r="L28" s="43"/>
      <c r="N28" s="95" t="s">
        <v>19</v>
      </c>
      <c r="O28" s="96" t="s">
        <v>74</v>
      </c>
      <c r="R28" s="96" t="s">
        <v>75</v>
      </c>
      <c r="T28" s="97"/>
      <c r="U28" s="42"/>
    </row>
    <row r="29" spans="4:23" ht="11.25" customHeight="1" x14ac:dyDescent="0.2">
      <c r="D29" s="32"/>
      <c r="E29" s="32"/>
      <c r="F29" s="38"/>
      <c r="G29" s="90" t="e">
        <f>HLOOKUP(E29,BVD!$C$3:$N$4,2,1)</f>
        <v>#N/A</v>
      </c>
      <c r="H29" s="84">
        <f>IF(D29=0,0,(VLOOKUP(D29,BVD!$C$5:$N$33,3+G29)))</f>
        <v>0</v>
      </c>
      <c r="I29" s="85">
        <f t="shared" si="1"/>
        <v>0</v>
      </c>
      <c r="K29" s="43"/>
      <c r="L29" s="43"/>
      <c r="N29" s="91" t="s">
        <v>20</v>
      </c>
      <c r="O29" s="92" t="s">
        <v>76</v>
      </c>
      <c r="P29" s="93"/>
      <c r="Q29" s="93"/>
      <c r="R29" s="92" t="s">
        <v>77</v>
      </c>
      <c r="S29" s="93"/>
      <c r="T29" s="94"/>
      <c r="U29" s="42"/>
    </row>
    <row r="30" spans="4:23" ht="11.25" customHeight="1" x14ac:dyDescent="0.2">
      <c r="D30" s="32"/>
      <c r="E30" s="32"/>
      <c r="F30" s="38"/>
      <c r="G30" s="90" t="e">
        <f>HLOOKUP(E30,BVD!$C$3:$N$4,2,1)</f>
        <v>#N/A</v>
      </c>
      <c r="H30" s="84">
        <f>IF(D30=0,0,(VLOOKUP(D30,BVD!$C$5:$N$33,3+G30)))</f>
        <v>0</v>
      </c>
      <c r="I30" s="85">
        <f t="shared" si="1"/>
        <v>0</v>
      </c>
      <c r="K30" s="50"/>
      <c r="L30" s="50"/>
      <c r="N30" s="95" t="s">
        <v>21</v>
      </c>
      <c r="O30" s="96" t="s">
        <v>78</v>
      </c>
      <c r="R30" s="96" t="s">
        <v>79</v>
      </c>
      <c r="T30" s="97"/>
      <c r="U30" s="42"/>
    </row>
    <row r="31" spans="4:23" ht="11.25" customHeight="1" x14ac:dyDescent="0.2">
      <c r="D31" s="32"/>
      <c r="E31" s="32"/>
      <c r="F31" s="38"/>
      <c r="G31" s="90" t="e">
        <f>HLOOKUP(E31,BVD!$C$3:$N$4,2,1)</f>
        <v>#N/A</v>
      </c>
      <c r="H31" s="84">
        <f>IF(D31=0,0,(VLOOKUP(D31,BVD!$C$5:$N$33,3+G31)))</f>
        <v>0</v>
      </c>
      <c r="I31" s="85">
        <f t="shared" si="1"/>
        <v>0</v>
      </c>
      <c r="K31" s="50"/>
      <c r="L31" s="50"/>
      <c r="N31" s="91" t="s">
        <v>22</v>
      </c>
      <c r="O31" s="92" t="s">
        <v>80</v>
      </c>
      <c r="P31" s="93"/>
      <c r="Q31" s="93"/>
      <c r="R31" s="92"/>
      <c r="S31" s="93"/>
      <c r="T31" s="94"/>
      <c r="U31" s="42"/>
    </row>
    <row r="32" spans="4:23" ht="11.25" customHeight="1" x14ac:dyDescent="0.2">
      <c r="D32" s="32"/>
      <c r="E32" s="32"/>
      <c r="F32" s="38"/>
      <c r="G32" s="90" t="e">
        <f>HLOOKUP(E32,BVD!$C$3:$N$4,2,1)</f>
        <v>#N/A</v>
      </c>
      <c r="H32" s="84">
        <f>IF(D32=0,0,(VLOOKUP(D32,BVD!$C$5:$N$33,3+G32)))</f>
        <v>0</v>
      </c>
      <c r="I32" s="85">
        <f t="shared" si="1"/>
        <v>0</v>
      </c>
      <c r="K32" s="50"/>
      <c r="L32" s="50"/>
      <c r="N32" s="95" t="s">
        <v>81</v>
      </c>
      <c r="O32" s="96" t="s">
        <v>82</v>
      </c>
      <c r="R32" s="96" t="s">
        <v>83</v>
      </c>
      <c r="T32" s="97"/>
      <c r="U32" s="42"/>
    </row>
    <row r="33" spans="1:25" ht="11.25" customHeight="1" x14ac:dyDescent="0.2">
      <c r="D33" s="32"/>
      <c r="E33" s="32"/>
      <c r="F33" s="38"/>
      <c r="G33" s="90" t="e">
        <f>HLOOKUP(E33,BVD!$C$3:$N$4,2,1)</f>
        <v>#N/A</v>
      </c>
      <c r="H33" s="84">
        <f>IF(D33=0,0,(VLOOKUP(D33,BVD!$C$5:$N$33,3+G33)))</f>
        <v>0</v>
      </c>
      <c r="I33" s="85">
        <f t="shared" si="1"/>
        <v>0</v>
      </c>
      <c r="K33" s="50"/>
      <c r="L33" s="50"/>
      <c r="N33" s="91" t="s">
        <v>84</v>
      </c>
      <c r="O33" s="92" t="s">
        <v>85</v>
      </c>
      <c r="P33" s="93"/>
      <c r="Q33" s="93"/>
      <c r="R33" s="92" t="s">
        <v>86</v>
      </c>
      <c r="S33" s="93"/>
      <c r="T33" s="94"/>
      <c r="U33" s="42"/>
    </row>
    <row r="34" spans="1:25" ht="11.25" customHeight="1" x14ac:dyDescent="0.2">
      <c r="D34" s="32"/>
      <c r="E34" s="32"/>
      <c r="F34" s="38"/>
      <c r="G34" s="90" t="e">
        <f>HLOOKUP(E34,BVD!$C$3:$N$4,2,1)</f>
        <v>#N/A</v>
      </c>
      <c r="H34" s="84">
        <f>IF(D34=0,0,(VLOOKUP(D34,BVD!$C$5:$N$33,3+G34)))</f>
        <v>0</v>
      </c>
      <c r="I34" s="85">
        <f t="shared" si="1"/>
        <v>0</v>
      </c>
      <c r="K34" s="50"/>
      <c r="L34" s="50"/>
      <c r="N34" s="95" t="s">
        <v>23</v>
      </c>
      <c r="O34" s="96" t="s">
        <v>87</v>
      </c>
      <c r="R34" s="96" t="s">
        <v>88</v>
      </c>
      <c r="T34" s="97"/>
      <c r="U34" s="42"/>
    </row>
    <row r="35" spans="1:25" ht="12.75" customHeight="1" thickBot="1" x14ac:dyDescent="0.25">
      <c r="D35" s="33"/>
      <c r="E35" s="33"/>
      <c r="F35" s="40"/>
      <c r="G35" s="98" t="e">
        <f>HLOOKUP(E35,BVD!$C$3:$N$4,2,1)</f>
        <v>#N/A</v>
      </c>
      <c r="H35" s="84">
        <f>IF(D35=0,0,(VLOOKUP(D35,BVD!$C$5:$N$33,3+G35)))</f>
        <v>0</v>
      </c>
      <c r="I35" s="85">
        <f t="shared" si="1"/>
        <v>0</v>
      </c>
      <c r="K35" s="50"/>
      <c r="L35" s="50"/>
      <c r="N35" s="99" t="s">
        <v>95</v>
      </c>
      <c r="O35" s="100" t="s">
        <v>100</v>
      </c>
      <c r="P35" s="101"/>
      <c r="Q35" s="101"/>
      <c r="R35" s="100" t="s">
        <v>100</v>
      </c>
      <c r="S35" s="101"/>
      <c r="T35" s="102"/>
      <c r="U35" s="42"/>
    </row>
    <row r="36" spans="1:25" ht="21" customHeight="1" thickTop="1" x14ac:dyDescent="0.25">
      <c r="C36" s="60"/>
      <c r="D36" s="235" t="s">
        <v>113</v>
      </c>
      <c r="E36" s="236"/>
      <c r="F36" s="236"/>
      <c r="G36" s="237"/>
      <c r="H36" s="238"/>
      <c r="I36" s="103">
        <f>SUM(I8:I35)</f>
        <v>293630</v>
      </c>
      <c r="J36" s="60"/>
      <c r="K36" s="51"/>
      <c r="L36" s="51"/>
      <c r="M36" s="42"/>
      <c r="N36" s="42"/>
      <c r="O36" s="42"/>
      <c r="P36" s="42"/>
      <c r="Q36" s="42"/>
      <c r="R36" s="42"/>
      <c r="S36" s="42"/>
      <c r="T36" s="42"/>
      <c r="U36" s="42"/>
    </row>
    <row r="37" spans="1:25" ht="15" customHeight="1" thickBot="1" x14ac:dyDescent="0.25">
      <c r="C37" s="60"/>
      <c r="D37" s="60"/>
      <c r="F37" s="61"/>
      <c r="G37" s="60"/>
      <c r="H37" s="104"/>
      <c r="I37" s="105"/>
      <c r="J37" s="60"/>
      <c r="K37" s="51"/>
      <c r="L37" s="51"/>
      <c r="M37" s="42"/>
      <c r="N37" s="42"/>
      <c r="O37" s="42"/>
      <c r="P37" s="42"/>
      <c r="Q37" s="42"/>
      <c r="R37" s="42"/>
      <c r="S37" s="42"/>
      <c r="T37" s="42"/>
      <c r="U37" s="42"/>
    </row>
    <row r="38" spans="1:25" ht="15.75" customHeight="1" thickTop="1" thickBot="1" x14ac:dyDescent="0.35">
      <c r="B38" s="224" t="s">
        <v>140</v>
      </c>
      <c r="C38" s="216"/>
      <c r="D38" s="216"/>
      <c r="E38" s="216"/>
      <c r="F38" s="216"/>
      <c r="G38" s="216"/>
      <c r="H38" s="225"/>
      <c r="I38" s="36">
        <v>0</v>
      </c>
      <c r="J38" s="60"/>
      <c r="K38" s="52"/>
      <c r="L38" s="53"/>
      <c r="M38" s="46"/>
      <c r="N38" s="42"/>
      <c r="O38" s="54"/>
      <c r="P38" s="54"/>
      <c r="Q38" s="54"/>
      <c r="R38" s="54"/>
      <c r="S38" s="54"/>
      <c r="T38" s="42"/>
      <c r="U38" s="42"/>
    </row>
    <row r="39" spans="1:25" ht="47.25" customHeight="1" thickTop="1" thickBot="1" x14ac:dyDescent="0.3">
      <c r="B39" s="106"/>
      <c r="C39" s="63"/>
      <c r="D39" s="259" t="s">
        <v>134</v>
      </c>
      <c r="E39" s="260"/>
      <c r="F39" s="260"/>
      <c r="G39" s="260"/>
      <c r="H39" s="260"/>
      <c r="I39" s="107"/>
      <c r="J39" s="60"/>
      <c r="K39" s="53"/>
      <c r="L39" s="53"/>
      <c r="M39" s="63"/>
      <c r="N39" s="20" t="s">
        <v>120</v>
      </c>
      <c r="P39" s="42"/>
      <c r="Q39" s="42"/>
      <c r="R39" s="42"/>
      <c r="S39" s="42"/>
      <c r="T39" s="42"/>
      <c r="U39" s="42"/>
    </row>
    <row r="40" spans="1:25" ht="13.8" thickBot="1" x14ac:dyDescent="0.3">
      <c r="I40" s="108"/>
      <c r="K40" s="53"/>
      <c r="L40" s="53"/>
      <c r="N40" s="79" t="s">
        <v>121</v>
      </c>
      <c r="O40" s="226" t="s">
        <v>122</v>
      </c>
      <c r="P40" s="227"/>
      <c r="Q40" s="227"/>
      <c r="R40" s="227"/>
      <c r="S40" s="227"/>
      <c r="T40" s="228"/>
      <c r="U40" s="42"/>
    </row>
    <row r="41" spans="1:25" s="63" customFormat="1" ht="12" x14ac:dyDescent="0.25">
      <c r="D41" s="217" t="s">
        <v>104</v>
      </c>
      <c r="E41" s="218"/>
      <c r="F41" s="218"/>
      <c r="G41" s="109"/>
      <c r="H41" s="110" t="s">
        <v>103</v>
      </c>
      <c r="I41" s="111">
        <f>I36+I38</f>
        <v>293630</v>
      </c>
      <c r="K41" s="46"/>
      <c r="L41" s="46"/>
      <c r="N41" s="86" t="s">
        <v>123</v>
      </c>
      <c r="O41" s="87" t="s">
        <v>124</v>
      </c>
      <c r="P41" s="88"/>
      <c r="Q41" s="88"/>
      <c r="R41" s="87"/>
      <c r="S41" s="88"/>
      <c r="T41" s="89"/>
      <c r="U41" s="46"/>
      <c r="V41" s="46"/>
      <c r="W41" s="46"/>
      <c r="X41" s="46"/>
      <c r="Y41" s="46"/>
    </row>
    <row r="42" spans="1:25" ht="15" customHeight="1" x14ac:dyDescent="0.25">
      <c r="A42" s="63"/>
      <c r="B42" s="63"/>
      <c r="C42" s="63"/>
      <c r="D42" s="165"/>
      <c r="E42" s="166"/>
      <c r="F42" s="166"/>
      <c r="G42" s="63"/>
      <c r="H42" s="104"/>
      <c r="I42" s="105"/>
      <c r="J42" s="63"/>
      <c r="K42" s="46"/>
      <c r="L42" s="46"/>
      <c r="N42" s="222" t="s">
        <v>125</v>
      </c>
      <c r="O42" s="219" t="s">
        <v>133</v>
      </c>
      <c r="P42" s="213"/>
      <c r="Q42" s="213"/>
      <c r="R42" s="213"/>
      <c r="S42" s="213"/>
      <c r="T42" s="220"/>
      <c r="U42" s="42"/>
    </row>
    <row r="43" spans="1:25" ht="16.2" thickBot="1" x14ac:dyDescent="0.35">
      <c r="A43" s="63"/>
      <c r="B43" s="148" t="s">
        <v>154</v>
      </c>
      <c r="C43"/>
      <c r="D43"/>
      <c r="E43"/>
      <c r="F43"/>
      <c r="G43" s="180"/>
      <c r="H43" s="112"/>
      <c r="I43" s="105"/>
      <c r="J43" s="63"/>
      <c r="K43" s="46"/>
      <c r="L43" s="46"/>
      <c r="M43" s="63"/>
      <c r="N43" s="223"/>
      <c r="O43" s="221"/>
      <c r="P43" s="213"/>
      <c r="Q43" s="213"/>
      <c r="R43" s="213"/>
      <c r="S43" s="213"/>
      <c r="T43" s="220"/>
      <c r="U43" s="42"/>
    </row>
    <row r="44" spans="1:25" ht="11.4" thickTop="1" thickBot="1" x14ac:dyDescent="0.25">
      <c r="A44" s="63"/>
      <c r="B44" s="63"/>
      <c r="C44" s="63"/>
      <c r="D44" s="261" t="s">
        <v>155</v>
      </c>
      <c r="E44" s="261"/>
      <c r="F44" s="261"/>
      <c r="G44" s="261"/>
      <c r="H44" s="261"/>
      <c r="I44" s="182"/>
      <c r="J44" s="63"/>
      <c r="K44" s="46"/>
      <c r="L44" s="46"/>
      <c r="M44" s="63"/>
      <c r="N44" s="203" t="s">
        <v>126</v>
      </c>
      <c r="O44" s="205" t="s">
        <v>127</v>
      </c>
      <c r="P44" s="206"/>
      <c r="Q44" s="206"/>
      <c r="R44" s="206"/>
      <c r="S44" s="206"/>
      <c r="T44" s="207"/>
      <c r="U44" s="42"/>
    </row>
    <row r="45" spans="1:25" ht="34.5" customHeight="1" thickTop="1" x14ac:dyDescent="0.2">
      <c r="A45" s="63"/>
      <c r="B45" s="63"/>
      <c r="C45" s="63"/>
      <c r="D45" s="261"/>
      <c r="E45" s="261"/>
      <c r="F45" s="261"/>
      <c r="G45" s="261"/>
      <c r="H45" s="261"/>
      <c r="I45" s="105"/>
      <c r="J45" s="63"/>
      <c r="K45" s="46"/>
      <c r="L45" s="46"/>
      <c r="N45" s="204"/>
      <c r="O45" s="206"/>
      <c r="P45" s="206"/>
      <c r="Q45" s="206"/>
      <c r="R45" s="206"/>
      <c r="S45" s="206"/>
      <c r="T45" s="207"/>
      <c r="U45" s="42"/>
    </row>
    <row r="46" spans="1:25" ht="12.75" customHeight="1" x14ac:dyDescent="0.25">
      <c r="A46" s="63"/>
      <c r="B46" s="63"/>
      <c r="C46" s="63"/>
      <c r="D46" s="253" t="s">
        <v>156</v>
      </c>
      <c r="E46" s="254"/>
      <c r="F46" s="254"/>
      <c r="G46" s="63"/>
      <c r="H46" s="104"/>
      <c r="I46" s="183">
        <f>+IF(I44&gt;3,(I44-3)*0.005+1,1)</f>
        <v>1</v>
      </c>
      <c r="J46" s="63"/>
      <c r="K46" s="46"/>
      <c r="L46" s="46"/>
      <c r="N46" s="115"/>
      <c r="O46" s="208" t="s">
        <v>129</v>
      </c>
      <c r="P46" s="209"/>
      <c r="Q46" s="209"/>
      <c r="R46" s="209"/>
      <c r="S46" s="209"/>
      <c r="T46" s="97"/>
      <c r="U46" s="42"/>
    </row>
    <row r="47" spans="1:25" ht="12" customHeight="1" thickBot="1" x14ac:dyDescent="0.3">
      <c r="A47" s="63"/>
      <c r="B47" s="63"/>
      <c r="C47" s="63"/>
      <c r="D47" s="184"/>
      <c r="E47" s="185"/>
      <c r="F47" s="185"/>
      <c r="G47" s="63"/>
      <c r="H47" s="104"/>
      <c r="I47" s="183"/>
      <c r="J47" s="63"/>
      <c r="K47" s="46"/>
      <c r="L47" s="46"/>
      <c r="N47" s="116"/>
      <c r="O47" s="210"/>
      <c r="P47" s="211"/>
      <c r="Q47" s="211"/>
      <c r="R47" s="211"/>
      <c r="S47" s="211"/>
      <c r="T47" s="117"/>
      <c r="U47" s="42"/>
    </row>
    <row r="48" spans="1:25" ht="13.2" x14ac:dyDescent="0.25">
      <c r="A48" s="63"/>
      <c r="B48" s="63"/>
      <c r="C48" s="63"/>
      <c r="D48" s="253" t="s">
        <v>104</v>
      </c>
      <c r="E48" s="254"/>
      <c r="F48" s="254"/>
      <c r="G48" s="109"/>
      <c r="H48" s="110" t="s">
        <v>103</v>
      </c>
      <c r="I48" s="111">
        <f>(I36*I46)+I38</f>
        <v>293630</v>
      </c>
      <c r="J48" s="63"/>
      <c r="K48" s="46"/>
      <c r="L48" s="46"/>
      <c r="M48" s="42"/>
      <c r="N48" s="42"/>
      <c r="O48" s="55"/>
      <c r="P48" s="55"/>
      <c r="Q48" s="55"/>
      <c r="R48" s="55"/>
      <c r="S48" s="55"/>
      <c r="T48" s="42"/>
      <c r="U48" s="42"/>
    </row>
    <row r="49" spans="1:28" ht="13.2" x14ac:dyDescent="0.25">
      <c r="A49" s="63"/>
      <c r="B49" s="63"/>
      <c r="C49" s="63"/>
      <c r="D49" s="184"/>
      <c r="E49" s="185"/>
      <c r="F49" s="185"/>
      <c r="G49" s="63"/>
      <c r="H49" s="104"/>
      <c r="I49" s="105"/>
      <c r="J49" s="63"/>
      <c r="K49" s="46"/>
      <c r="L49" s="46"/>
      <c r="M49" s="42"/>
      <c r="N49" s="42"/>
      <c r="O49" s="55"/>
      <c r="P49" s="55"/>
      <c r="Q49" s="55"/>
      <c r="R49" s="55"/>
      <c r="S49" s="55"/>
      <c r="T49" s="42"/>
      <c r="U49" s="42"/>
    </row>
    <row r="50" spans="1:28" ht="12" x14ac:dyDescent="0.25">
      <c r="B50" s="63"/>
      <c r="C50" s="63"/>
      <c r="D50" s="165"/>
      <c r="E50" s="166"/>
      <c r="F50" s="166"/>
      <c r="G50" s="63"/>
      <c r="H50" s="104"/>
      <c r="I50" s="105"/>
      <c r="J50" s="63"/>
      <c r="K50" s="46"/>
      <c r="L50" s="46"/>
      <c r="M50" s="42"/>
      <c r="N50" s="42"/>
      <c r="O50" s="42"/>
      <c r="P50" s="42"/>
      <c r="Q50" s="42"/>
      <c r="R50" s="42"/>
      <c r="S50" s="42"/>
      <c r="T50" s="42"/>
      <c r="U50" s="42"/>
    </row>
    <row r="51" spans="1:28" ht="16.2" thickBot="1" x14ac:dyDescent="0.35">
      <c r="B51" s="148" t="s">
        <v>157</v>
      </c>
      <c r="C51"/>
      <c r="D51"/>
      <c r="E51"/>
      <c r="F51"/>
      <c r="G51" s="60"/>
      <c r="H51" s="112"/>
      <c r="I51" s="105"/>
      <c r="J51" s="63"/>
      <c r="K51" s="46"/>
      <c r="L51" s="46"/>
      <c r="M51" s="42"/>
      <c r="N51" s="42"/>
      <c r="O51" s="42"/>
      <c r="P51" s="42"/>
      <c r="Q51" s="42"/>
      <c r="R51" s="42"/>
      <c r="S51" s="42"/>
      <c r="T51" s="42"/>
      <c r="U51" s="42"/>
    </row>
    <row r="52" spans="1:28" ht="11.4" thickTop="1" thickBot="1" x14ac:dyDescent="0.25">
      <c r="B52" s="63"/>
      <c r="C52" s="63"/>
      <c r="D52" s="261" t="s">
        <v>147</v>
      </c>
      <c r="E52" s="261"/>
      <c r="F52" s="261"/>
      <c r="G52" s="261"/>
      <c r="H52" s="261"/>
      <c r="I52" s="167" t="s">
        <v>143</v>
      </c>
      <c r="J52" s="63"/>
      <c r="K52" s="46"/>
      <c r="L52" s="46"/>
      <c r="M52" s="42"/>
      <c r="N52" s="42"/>
      <c r="O52" s="56"/>
      <c r="P52" s="42"/>
      <c r="Q52" s="42"/>
      <c r="R52" s="42"/>
      <c r="S52" s="42"/>
      <c r="T52" s="42"/>
      <c r="U52" s="42"/>
    </row>
    <row r="53" spans="1:28" ht="30" customHeight="1" thickTop="1" x14ac:dyDescent="0.2">
      <c r="B53" s="63"/>
      <c r="C53" s="63"/>
      <c r="D53" s="261"/>
      <c r="E53" s="261"/>
      <c r="F53" s="261"/>
      <c r="G53" s="261"/>
      <c r="H53" s="261"/>
      <c r="I53" s="105"/>
      <c r="J53" s="63"/>
      <c r="K53" s="46"/>
      <c r="L53" s="46"/>
      <c r="M53" s="42"/>
      <c r="N53" s="42"/>
      <c r="O53" s="42"/>
      <c r="P53" s="42"/>
      <c r="Q53" s="42"/>
      <c r="R53" s="42"/>
      <c r="S53" s="42"/>
      <c r="T53" s="42"/>
      <c r="U53" s="42"/>
    </row>
    <row r="54" spans="1:28" ht="12" customHeight="1" x14ac:dyDescent="0.25">
      <c r="B54" s="63"/>
      <c r="C54" s="63"/>
      <c r="D54" s="165"/>
      <c r="E54" s="166"/>
      <c r="F54" s="166"/>
      <c r="G54" s="63"/>
      <c r="H54" s="104"/>
      <c r="I54" s="105"/>
      <c r="J54" s="63"/>
      <c r="K54" s="46"/>
      <c r="L54" s="46"/>
      <c r="M54" s="42"/>
      <c r="N54" s="42"/>
      <c r="O54" s="42"/>
      <c r="P54" s="42"/>
      <c r="Q54" s="42"/>
      <c r="R54" s="42"/>
      <c r="S54" s="42"/>
      <c r="T54" s="42"/>
      <c r="U54" s="42"/>
    </row>
    <row r="55" spans="1:28" ht="11.25" customHeight="1" thickBot="1" x14ac:dyDescent="0.25">
      <c r="C55" s="60"/>
      <c r="D55" s="60"/>
      <c r="E55" s="60"/>
      <c r="F55" s="60"/>
      <c r="G55" s="60"/>
      <c r="I55" s="108"/>
      <c r="J55" s="60"/>
      <c r="K55" s="42"/>
      <c r="L55" s="42"/>
      <c r="M55" s="42"/>
      <c r="N55" s="42"/>
      <c r="O55" s="42"/>
      <c r="P55" s="42"/>
      <c r="Q55" s="42"/>
      <c r="R55" s="42"/>
      <c r="S55" s="42"/>
      <c r="T55" s="42"/>
      <c r="U55" s="42"/>
    </row>
    <row r="56" spans="1:28" ht="16.8" thickTop="1" thickBot="1" x14ac:dyDescent="0.35">
      <c r="B56" s="148" t="s">
        <v>158</v>
      </c>
      <c r="C56"/>
      <c r="D56"/>
      <c r="E56"/>
      <c r="F56"/>
      <c r="G56" s="60"/>
      <c r="H56" s="112"/>
      <c r="I56" s="35">
        <v>20</v>
      </c>
      <c r="J56" s="60"/>
      <c r="K56" s="262" t="str">
        <f>+IF(AND(I52="Commercial",I56&lt;&gt;0),"Error","")</f>
        <v/>
      </c>
      <c r="L56" s="46"/>
      <c r="M56" s="42"/>
      <c r="N56" s="42"/>
      <c r="O56" s="42"/>
      <c r="P56" s="42"/>
      <c r="Q56" s="42"/>
      <c r="R56" s="42"/>
      <c r="S56" s="42"/>
      <c r="T56" s="42"/>
      <c r="U56" s="42"/>
    </row>
    <row r="57" spans="1:28" ht="24" customHeight="1" thickTop="1" x14ac:dyDescent="0.25">
      <c r="B57" s="20"/>
      <c r="C57" s="63"/>
      <c r="D57" s="261" t="s">
        <v>118</v>
      </c>
      <c r="E57" s="261"/>
      <c r="F57" s="261"/>
      <c r="G57" s="261"/>
      <c r="H57" s="261"/>
      <c r="I57" s="113"/>
      <c r="J57" s="60"/>
      <c r="K57" s="263" t="str">
        <f>+IF(AND(I52="Commercial",I56&lt;&gt;0),"Note: For State Surcharge purposes commercial buildings do not have residential units. If your building has both a commercial portion and residential units, please set the building type in Step 3 as Mixed-Use.","")</f>
        <v/>
      </c>
      <c r="L57" s="46"/>
      <c r="M57" s="42"/>
      <c r="N57" s="42"/>
      <c r="O57" s="42"/>
      <c r="P57" s="42"/>
      <c r="Q57" s="42"/>
      <c r="R57" s="42"/>
      <c r="S57" s="42"/>
      <c r="T57" s="42"/>
      <c r="U57" s="42"/>
    </row>
    <row r="58" spans="1:28" ht="11.25" customHeight="1" x14ac:dyDescent="0.2">
      <c r="C58" s="60"/>
      <c r="D58" s="60"/>
      <c r="E58" s="60"/>
      <c r="F58" s="60"/>
      <c r="G58" s="60"/>
      <c r="H58" s="60"/>
      <c r="I58" s="114"/>
      <c r="J58" s="60"/>
      <c r="K58" s="42"/>
      <c r="L58" s="42"/>
      <c r="M58" s="56"/>
      <c r="N58" s="42"/>
      <c r="O58" s="42"/>
      <c r="P58" s="42"/>
      <c r="Q58" s="42"/>
      <c r="R58" s="42"/>
      <c r="S58" s="42"/>
      <c r="T58" s="42"/>
      <c r="U58" s="42"/>
    </row>
    <row r="59" spans="1:28" x14ac:dyDescent="0.2">
      <c r="C59" s="60"/>
      <c r="D59" s="60"/>
      <c r="E59" s="60"/>
      <c r="F59" s="60"/>
      <c r="G59" s="60"/>
      <c r="H59" s="60"/>
      <c r="I59" s="114"/>
      <c r="J59" s="60"/>
      <c r="K59" s="42"/>
      <c r="L59" s="42"/>
      <c r="M59" s="42"/>
      <c r="N59" s="42"/>
      <c r="O59" s="42"/>
      <c r="P59" s="42"/>
      <c r="Q59" s="42"/>
      <c r="R59" s="42"/>
      <c r="S59" s="42"/>
      <c r="T59" s="42"/>
      <c r="U59" s="42"/>
    </row>
    <row r="60" spans="1:28" ht="15.6" x14ac:dyDescent="0.3">
      <c r="B60" s="240" t="s">
        <v>159</v>
      </c>
      <c r="C60" s="240"/>
      <c r="D60" s="240"/>
      <c r="E60" s="240"/>
      <c r="F60" s="240"/>
      <c r="G60" s="60"/>
      <c r="H60" s="60"/>
      <c r="I60" s="114"/>
      <c r="M60" s="46"/>
      <c r="N60" s="42"/>
      <c r="O60" s="42"/>
      <c r="P60" s="42"/>
      <c r="Q60" s="42"/>
      <c r="R60" s="43"/>
      <c r="S60" s="43"/>
      <c r="T60" s="45"/>
      <c r="U60" s="45"/>
      <c r="V60" s="45"/>
      <c r="W60" s="45"/>
      <c r="X60" s="45"/>
      <c r="Y60" s="45"/>
      <c r="Z60" s="136"/>
      <c r="AA60" s="136"/>
      <c r="AB60" s="136"/>
    </row>
    <row r="61" spans="1:28" x14ac:dyDescent="0.2">
      <c r="C61" s="60"/>
      <c r="D61" s="118" t="s">
        <v>111</v>
      </c>
      <c r="E61" s="119"/>
      <c r="F61" s="120"/>
      <c r="G61" s="121"/>
      <c r="H61" s="181" t="s">
        <v>103</v>
      </c>
      <c r="I61" s="147">
        <f>+I48</f>
        <v>293630</v>
      </c>
      <c r="J61" s="60"/>
      <c r="K61" s="234" t="s">
        <v>112</v>
      </c>
      <c r="L61" s="234"/>
      <c r="M61" s="42"/>
      <c r="N61" s="42"/>
      <c r="O61" s="42"/>
      <c r="P61" s="42"/>
      <c r="Q61" s="42"/>
      <c r="R61" s="43"/>
      <c r="S61" s="43"/>
      <c r="T61" s="43"/>
      <c r="U61" s="43"/>
      <c r="V61" s="43"/>
      <c r="W61" s="43"/>
      <c r="X61" s="43"/>
      <c r="Y61" s="43"/>
      <c r="Z61" s="61"/>
      <c r="AA61" s="61"/>
      <c r="AB61" s="61"/>
    </row>
    <row r="62" spans="1:28" x14ac:dyDescent="0.2">
      <c r="C62" s="60"/>
      <c r="D62" s="122"/>
      <c r="E62" s="60"/>
      <c r="F62" s="60"/>
      <c r="G62" s="60"/>
      <c r="H62" s="123"/>
      <c r="I62" s="124"/>
      <c r="J62" s="60"/>
      <c r="K62" s="60"/>
      <c r="L62" s="60"/>
      <c r="M62" s="42"/>
      <c r="N62" s="42"/>
      <c r="O62" s="42"/>
      <c r="P62" s="42"/>
      <c r="Q62" s="42"/>
      <c r="R62" s="43"/>
      <c r="S62" s="42"/>
      <c r="T62" s="45"/>
      <c r="U62" s="45"/>
      <c r="V62" s="45"/>
      <c r="W62" s="45"/>
      <c r="X62" s="45"/>
      <c r="Y62" s="45"/>
      <c r="Z62" s="136"/>
      <c r="AA62" s="136"/>
      <c r="AB62" s="136"/>
    </row>
    <row r="63" spans="1:28" x14ac:dyDescent="0.2">
      <c r="C63" s="60"/>
      <c r="D63" s="118" t="s">
        <v>135</v>
      </c>
      <c r="E63" s="121"/>
      <c r="F63" s="121"/>
      <c r="G63" s="121"/>
      <c r="H63" s="181" t="s">
        <v>103</v>
      </c>
      <c r="I63" s="125">
        <f>IF(I61=0,0,IF((MINA('Table D-1'!I7:I57)&lt;'Table D-1'!$D$7),'Table D-1'!$D$7,MINA('Table D-1'!I7:I57)))</f>
        <v>2785.5</v>
      </c>
      <c r="J63" s="60"/>
      <c r="K63" s="246" t="s">
        <v>146</v>
      </c>
      <c r="L63" s="246"/>
      <c r="M63" s="42"/>
      <c r="N63" s="42"/>
      <c r="O63" s="42"/>
      <c r="P63" s="42"/>
      <c r="Q63" s="42"/>
      <c r="R63" s="43"/>
      <c r="S63" s="56"/>
      <c r="T63" s="57"/>
      <c r="U63" s="57"/>
      <c r="V63" s="57"/>
      <c r="W63" s="57"/>
      <c r="X63" s="57"/>
      <c r="Y63" s="57"/>
      <c r="Z63" s="142"/>
      <c r="AA63" s="142"/>
      <c r="AB63" s="142"/>
    </row>
    <row r="64" spans="1:28" ht="10.8" thickBot="1" x14ac:dyDescent="0.25">
      <c r="C64" s="60"/>
      <c r="D64" s="122"/>
      <c r="E64" s="60"/>
      <c r="F64" s="60"/>
      <c r="G64" s="60"/>
      <c r="H64" s="60"/>
      <c r="I64" s="201">
        <f>I63*2</f>
        <v>5571</v>
      </c>
      <c r="J64" s="60"/>
      <c r="K64" s="60"/>
      <c r="L64" s="60"/>
      <c r="M64" s="42"/>
      <c r="N64" s="42"/>
      <c r="O64" s="42"/>
      <c r="P64" s="42"/>
      <c r="Q64" s="42"/>
      <c r="R64" s="43"/>
      <c r="S64" s="56"/>
      <c r="T64" s="57"/>
      <c r="U64" s="57"/>
      <c r="V64" s="57"/>
      <c r="W64" s="57"/>
      <c r="X64" s="57"/>
      <c r="Y64" s="57"/>
      <c r="Z64" s="142"/>
      <c r="AA64" s="142"/>
      <c r="AB64" s="142"/>
    </row>
    <row r="65" spans="1:28" ht="12.75" customHeight="1" x14ac:dyDescent="0.25">
      <c r="C65" s="60"/>
      <c r="D65" s="149"/>
      <c r="E65" s="150"/>
      <c r="F65" s="249" t="s">
        <v>109</v>
      </c>
      <c r="G65" s="249"/>
      <c r="H65" s="250"/>
      <c r="I65" s="151">
        <f>1*I63</f>
        <v>2785.5</v>
      </c>
      <c r="J65" s="152"/>
      <c r="K65" s="241" t="s">
        <v>136</v>
      </c>
      <c r="L65" s="242"/>
      <c r="M65" s="42"/>
      <c r="N65" s="42"/>
      <c r="O65" s="42"/>
      <c r="P65" s="42"/>
      <c r="Q65" s="42"/>
      <c r="R65" s="43"/>
      <c r="S65" s="56"/>
      <c r="T65" s="57"/>
      <c r="U65" s="57"/>
      <c r="V65" s="57"/>
      <c r="W65" s="57"/>
      <c r="X65" s="57"/>
      <c r="Y65" s="57"/>
      <c r="Z65" s="142"/>
      <c r="AA65" s="142"/>
      <c r="AB65" s="142"/>
    </row>
    <row r="66" spans="1:28" ht="28.5" customHeight="1" x14ac:dyDescent="0.2">
      <c r="C66" s="60"/>
      <c r="D66" s="153"/>
      <c r="E66" s="60"/>
      <c r="F66" s="243" t="s">
        <v>110</v>
      </c>
      <c r="G66" s="243"/>
      <c r="H66" s="244"/>
      <c r="I66" s="193">
        <f>IF(I63=0,0,IF((0.5*I63)&lt;'Table D-1'!$D$7,'Table D-1'!$D$7,(0.5*I63)))</f>
        <v>1392.75</v>
      </c>
      <c r="J66" s="60"/>
      <c r="K66" s="245" t="s">
        <v>137</v>
      </c>
      <c r="L66" s="247"/>
      <c r="M66" s="42"/>
      <c r="N66" s="42"/>
      <c r="O66" s="42"/>
      <c r="P66" s="42"/>
      <c r="Q66" s="42"/>
      <c r="R66" s="43"/>
      <c r="S66" s="56"/>
      <c r="T66" s="57"/>
      <c r="U66" s="57"/>
      <c r="V66" s="57"/>
      <c r="W66" s="57"/>
      <c r="X66" s="57"/>
      <c r="Y66" s="57"/>
      <c r="Z66" s="142"/>
      <c r="AA66" s="142"/>
      <c r="AB66" s="142"/>
    </row>
    <row r="67" spans="1:28" ht="28.5" customHeight="1" x14ac:dyDescent="0.3">
      <c r="C67" s="60"/>
      <c r="D67" s="153"/>
      <c r="E67" s="240" t="s">
        <v>114</v>
      </c>
      <c r="F67" s="240"/>
      <c r="G67" s="148"/>
      <c r="H67" s="112" t="s">
        <v>103</v>
      </c>
      <c r="I67" s="199">
        <f>SUM(I65:I66)</f>
        <v>4178.25</v>
      </c>
      <c r="J67" s="60"/>
      <c r="K67" s="245" t="s">
        <v>99</v>
      </c>
      <c r="L67" s="247"/>
      <c r="M67" s="42"/>
      <c r="N67" s="42"/>
      <c r="O67" s="42"/>
      <c r="P67" s="42"/>
      <c r="Q67" s="42"/>
      <c r="R67" s="43"/>
      <c r="S67" s="56"/>
      <c r="T67" s="57"/>
      <c r="U67" s="57"/>
      <c r="V67" s="57"/>
      <c r="W67" s="57"/>
      <c r="X67" s="57"/>
      <c r="Y67" s="57"/>
      <c r="Z67" s="142"/>
      <c r="AA67" s="142"/>
      <c r="AB67" s="142"/>
    </row>
    <row r="68" spans="1:28" ht="28.5" customHeight="1" x14ac:dyDescent="0.2">
      <c r="C68" s="60"/>
      <c r="D68" s="153"/>
      <c r="E68" s="60"/>
      <c r="F68" s="123"/>
      <c r="G68" s="123"/>
      <c r="H68" s="194" t="s">
        <v>164</v>
      </c>
      <c r="I68" s="132">
        <f>I67*0.05</f>
        <v>208.91250000000002</v>
      </c>
      <c r="J68" s="60"/>
      <c r="K68" s="246" t="s">
        <v>163</v>
      </c>
      <c r="L68" s="247"/>
      <c r="M68" s="42"/>
      <c r="N68" s="42"/>
      <c r="O68" s="42"/>
      <c r="P68" s="42"/>
      <c r="Q68" s="42"/>
      <c r="R68" s="43"/>
      <c r="S68" s="56"/>
      <c r="T68" s="57"/>
      <c r="U68" s="57"/>
      <c r="V68" s="57"/>
      <c r="W68" s="57"/>
      <c r="X68" s="57"/>
      <c r="Y68" s="57"/>
      <c r="Z68" s="142"/>
      <c r="AA68" s="142"/>
      <c r="AB68" s="142"/>
    </row>
    <row r="69" spans="1:28" ht="28.5" customHeight="1" thickBot="1" x14ac:dyDescent="0.3">
      <c r="C69" s="60"/>
      <c r="D69" s="154"/>
      <c r="E69" s="248" t="s">
        <v>162</v>
      </c>
      <c r="F69" s="248"/>
      <c r="G69" s="197"/>
      <c r="H69" s="198"/>
      <c r="I69" s="200">
        <f>SUM(I67:I68)</f>
        <v>4387.1625000000004</v>
      </c>
      <c r="J69" s="155"/>
      <c r="K69" s="155"/>
      <c r="L69" s="117"/>
      <c r="M69" s="42"/>
      <c r="N69" s="42"/>
      <c r="O69" s="42"/>
      <c r="P69" s="42"/>
      <c r="Q69" s="42"/>
      <c r="R69" s="43"/>
      <c r="S69" s="56"/>
      <c r="T69" s="57"/>
      <c r="U69" s="57"/>
      <c r="V69" s="57"/>
      <c r="W69" s="57"/>
      <c r="X69" s="57"/>
      <c r="Y69" s="57"/>
      <c r="Z69" s="142"/>
      <c r="AA69" s="142"/>
      <c r="AB69" s="142"/>
    </row>
    <row r="70" spans="1:28" ht="12.75" customHeight="1" x14ac:dyDescent="0.2">
      <c r="C70" s="60"/>
      <c r="D70" s="60"/>
      <c r="E70" s="60"/>
      <c r="F70" s="60"/>
      <c r="G70" s="60"/>
      <c r="H70" s="129"/>
      <c r="I70" s="130"/>
      <c r="J70" s="60"/>
      <c r="K70" s="60"/>
      <c r="L70" s="60"/>
      <c r="M70" s="42"/>
      <c r="N70" s="42"/>
      <c r="O70" s="42"/>
      <c r="P70" s="42"/>
      <c r="Q70" s="42"/>
      <c r="R70" s="43"/>
      <c r="S70" s="56"/>
      <c r="T70" s="57"/>
      <c r="U70" s="57"/>
      <c r="V70" s="57"/>
      <c r="W70" s="57"/>
      <c r="X70" s="57"/>
      <c r="Y70" s="57"/>
      <c r="Z70" s="142"/>
      <c r="AA70" s="142"/>
      <c r="AB70" s="142"/>
    </row>
    <row r="71" spans="1:28" ht="13.2" x14ac:dyDescent="0.25">
      <c r="C71" s="60"/>
      <c r="D71" s="60"/>
      <c r="E71" s="144" t="s">
        <v>101</v>
      </c>
      <c r="F71" s="145"/>
      <c r="G71" s="127"/>
      <c r="H71" s="143" t="s">
        <v>139</v>
      </c>
      <c r="I71" s="146">
        <f>ROUNDDOWN((I63-I66),2)</f>
        <v>1392.75</v>
      </c>
      <c r="J71" s="60"/>
      <c r="K71" s="245" t="s">
        <v>137</v>
      </c>
      <c r="L71" s="245"/>
      <c r="M71" s="42"/>
      <c r="N71" s="42"/>
      <c r="O71" s="42"/>
      <c r="P71" s="42"/>
      <c r="Q71" s="42"/>
      <c r="R71" s="43"/>
      <c r="S71" s="56"/>
      <c r="T71" s="57"/>
      <c r="U71" s="57"/>
      <c r="V71" s="57"/>
      <c r="W71" s="57"/>
      <c r="X71" s="57"/>
      <c r="Y71" s="57"/>
      <c r="Z71" s="142"/>
      <c r="AA71" s="142"/>
      <c r="AB71" s="142"/>
    </row>
    <row r="72" spans="1:28" ht="13.2" x14ac:dyDescent="0.25">
      <c r="C72" s="60"/>
      <c r="D72" s="60"/>
      <c r="E72" s="195"/>
      <c r="F72" s="145"/>
      <c r="G72" s="127"/>
      <c r="H72" s="143" t="s">
        <v>165</v>
      </c>
      <c r="I72" s="146">
        <f>I71*0.05</f>
        <v>69.637500000000003</v>
      </c>
      <c r="J72" s="60"/>
      <c r="K72" s="180" t="s">
        <v>163</v>
      </c>
      <c r="L72" s="60"/>
      <c r="M72" s="42"/>
      <c r="N72" s="42"/>
      <c r="O72" s="42"/>
      <c r="P72" s="42"/>
      <c r="Q72" s="42"/>
      <c r="R72" s="43"/>
      <c r="S72" s="56"/>
      <c r="T72" s="57"/>
      <c r="U72" s="57"/>
      <c r="V72" s="57"/>
      <c r="W72" s="57"/>
      <c r="X72" s="57"/>
      <c r="Y72" s="57"/>
      <c r="Z72" s="142"/>
      <c r="AA72" s="142"/>
      <c r="AB72" s="142"/>
    </row>
    <row r="73" spans="1:28" x14ac:dyDescent="0.2">
      <c r="C73" s="60"/>
      <c r="D73" s="60"/>
      <c r="E73" s="60"/>
      <c r="F73" s="243" t="s">
        <v>105</v>
      </c>
      <c r="G73" s="243"/>
      <c r="H73" s="244"/>
      <c r="I73" s="128">
        <f>IF(I61=0,0,VLOOKUP($I$52,BVD!$R$5:$S$7,2,FALSE)+IF(I56=0,0,(I56-1)*2))</f>
        <v>44.5</v>
      </c>
      <c r="J73" s="60"/>
      <c r="K73" s="60"/>
      <c r="L73" s="60"/>
      <c r="M73" s="42"/>
      <c r="N73" s="187"/>
      <c r="O73" s="42"/>
      <c r="P73" s="42"/>
      <c r="Q73" s="42"/>
      <c r="R73" s="43"/>
      <c r="S73" s="56"/>
      <c r="T73" s="57"/>
      <c r="U73" s="57"/>
      <c r="V73" s="57"/>
      <c r="W73" s="57"/>
      <c r="X73" s="57"/>
      <c r="Y73" s="57"/>
      <c r="Z73" s="142"/>
      <c r="AA73" s="142"/>
      <c r="AB73" s="142"/>
    </row>
    <row r="74" spans="1:28" ht="9.9" customHeight="1" x14ac:dyDescent="0.2">
      <c r="C74" s="60"/>
      <c r="D74" s="60"/>
      <c r="E74" s="60"/>
      <c r="F74" s="60"/>
      <c r="G74" s="60"/>
      <c r="H74" s="131"/>
      <c r="I74" s="132"/>
      <c r="J74" s="60"/>
      <c r="K74" s="192"/>
      <c r="L74" s="192"/>
      <c r="M74" s="42"/>
      <c r="N74" s="42"/>
      <c r="O74" s="42"/>
      <c r="P74" s="42"/>
      <c r="Q74" s="42"/>
      <c r="R74" s="43"/>
      <c r="S74" s="56"/>
      <c r="T74" s="57"/>
      <c r="U74" s="57"/>
      <c r="V74" s="57"/>
      <c r="W74" s="57"/>
      <c r="X74" s="57"/>
      <c r="Y74" s="57"/>
      <c r="Z74" s="142"/>
      <c r="AA74" s="142"/>
      <c r="AB74" s="142"/>
    </row>
    <row r="75" spans="1:28" ht="24" x14ac:dyDescent="0.25">
      <c r="C75" s="60"/>
      <c r="D75" s="60"/>
      <c r="E75" s="196" t="s">
        <v>160</v>
      </c>
      <c r="F75" s="133"/>
      <c r="G75" s="133"/>
      <c r="H75" s="126" t="s">
        <v>103</v>
      </c>
      <c r="I75" s="134">
        <f>SUM(I71:I73)</f>
        <v>1506.8875</v>
      </c>
      <c r="J75" s="60"/>
      <c r="K75" s="192" t="s">
        <v>130</v>
      </c>
      <c r="L75" s="192"/>
      <c r="M75" s="42"/>
      <c r="N75" s="42"/>
      <c r="O75" s="42"/>
      <c r="P75" s="42"/>
      <c r="Q75" s="42"/>
      <c r="R75" s="43"/>
      <c r="S75" s="56"/>
      <c r="T75" s="57"/>
      <c r="U75" s="57"/>
      <c r="V75" s="57"/>
      <c r="W75" s="57"/>
      <c r="X75" s="57"/>
      <c r="Y75" s="57"/>
      <c r="Z75" s="142"/>
      <c r="AA75" s="142"/>
      <c r="AB75" s="142"/>
    </row>
    <row r="76" spans="1:28" ht="12" thickBot="1" x14ac:dyDescent="0.25">
      <c r="A76" s="42"/>
      <c r="C76" s="60"/>
      <c r="D76" s="60"/>
      <c r="E76" s="60"/>
      <c r="F76" s="135"/>
      <c r="G76" s="135"/>
      <c r="H76" s="135"/>
      <c r="I76" s="114"/>
      <c r="J76" s="60"/>
      <c r="K76" s="192"/>
      <c r="L76" s="192"/>
      <c r="M76" s="42"/>
      <c r="N76" s="42"/>
      <c r="O76" s="42"/>
      <c r="P76" s="42"/>
      <c r="Q76" s="42"/>
      <c r="R76" s="43"/>
      <c r="S76" s="56"/>
      <c r="T76" s="57"/>
      <c r="U76" s="57"/>
      <c r="V76" s="57"/>
      <c r="W76" s="57"/>
      <c r="X76" s="57"/>
      <c r="Y76" s="57"/>
      <c r="Z76" s="142"/>
      <c r="AA76" s="142"/>
      <c r="AB76" s="142"/>
    </row>
    <row r="77" spans="1:28" ht="27.75" customHeight="1" thickTop="1" thickBot="1" x14ac:dyDescent="0.3">
      <c r="A77" s="42"/>
      <c r="C77" s="60"/>
      <c r="D77" s="60"/>
      <c r="E77" s="251" t="s">
        <v>141</v>
      </c>
      <c r="F77" s="251"/>
      <c r="G77" s="251"/>
      <c r="H77" s="255"/>
      <c r="I77" s="41">
        <v>0</v>
      </c>
      <c r="J77" s="60"/>
      <c r="K77" s="239" t="s">
        <v>138</v>
      </c>
      <c r="L77" s="239"/>
      <c r="M77" s="42"/>
      <c r="N77" s="42"/>
      <c r="O77" s="42"/>
      <c r="P77" s="42"/>
      <c r="Q77" s="42"/>
      <c r="R77" s="43"/>
      <c r="S77" s="56"/>
      <c r="T77" s="57"/>
      <c r="U77" s="57"/>
      <c r="V77" s="57"/>
      <c r="W77" s="57"/>
      <c r="X77" s="57"/>
      <c r="Y77" s="57"/>
      <c r="Z77" s="142"/>
      <c r="AA77" s="142"/>
      <c r="AB77" s="61"/>
    </row>
    <row r="78" spans="1:28" ht="10.8" thickTop="1" x14ac:dyDescent="0.2">
      <c r="A78" s="42"/>
      <c r="C78" s="60"/>
      <c r="D78" s="60"/>
      <c r="E78" s="60"/>
      <c r="F78" s="60"/>
      <c r="G78" s="60"/>
      <c r="H78" s="104"/>
      <c r="I78" s="137"/>
      <c r="J78" s="60"/>
      <c r="K78" s="239"/>
      <c r="L78" s="239"/>
      <c r="M78" s="42"/>
      <c r="N78" s="42"/>
      <c r="O78" s="42"/>
      <c r="P78" s="42"/>
      <c r="Q78" s="42"/>
      <c r="R78" s="43"/>
      <c r="S78" s="56"/>
      <c r="T78" s="57"/>
      <c r="U78" s="57"/>
      <c r="V78" s="57"/>
      <c r="W78" s="57"/>
      <c r="X78" s="57"/>
      <c r="Y78" s="57"/>
      <c r="Z78" s="142"/>
      <c r="AA78" s="142"/>
      <c r="AB78" s="142"/>
    </row>
    <row r="79" spans="1:28" ht="12" x14ac:dyDescent="0.25">
      <c r="A79" s="42"/>
      <c r="C79" s="60"/>
      <c r="D79" s="60"/>
      <c r="E79" s="251" t="s">
        <v>102</v>
      </c>
      <c r="F79" s="251"/>
      <c r="G79" s="251"/>
      <c r="H79" s="252"/>
      <c r="I79" s="134">
        <f>I69+I75+I77</f>
        <v>5894.05</v>
      </c>
      <c r="J79" s="60"/>
      <c r="K79" s="180" t="s">
        <v>161</v>
      </c>
      <c r="L79" s="60"/>
      <c r="M79" s="42"/>
      <c r="N79" s="42"/>
      <c r="O79" s="42"/>
      <c r="P79" s="42"/>
      <c r="Q79" s="42"/>
      <c r="R79" s="43"/>
      <c r="S79" s="56"/>
      <c r="T79" s="57"/>
      <c r="U79" s="57"/>
      <c r="V79" s="57"/>
      <c r="W79" s="57"/>
      <c r="X79" s="57"/>
      <c r="Y79" s="57"/>
      <c r="Z79" s="142"/>
      <c r="AA79" s="142"/>
      <c r="AB79" s="142"/>
    </row>
    <row r="80" spans="1:28" ht="12" x14ac:dyDescent="0.25">
      <c r="A80" s="42"/>
      <c r="C80" s="60"/>
      <c r="D80" s="60"/>
      <c r="E80" s="138"/>
      <c r="F80" s="139"/>
      <c r="G80" s="139"/>
      <c r="H80" s="189"/>
      <c r="I80" s="140"/>
      <c r="J80" s="42"/>
      <c r="K80" s="42"/>
      <c r="L80" s="42"/>
      <c r="M80" s="42"/>
      <c r="N80" s="42"/>
      <c r="O80" s="42"/>
      <c r="P80" s="42"/>
      <c r="Q80" s="42"/>
      <c r="R80" s="43"/>
      <c r="S80" s="56"/>
      <c r="T80" s="57"/>
      <c r="U80" s="57"/>
      <c r="V80" s="57"/>
      <c r="W80" s="57"/>
      <c r="X80" s="57"/>
      <c r="Y80" s="57"/>
      <c r="Z80" s="142"/>
      <c r="AA80" s="142"/>
      <c r="AB80" s="142"/>
    </row>
    <row r="81" spans="1:28" ht="37.5" customHeight="1" x14ac:dyDescent="0.2">
      <c r="A81" s="42"/>
      <c r="C81" s="60"/>
      <c r="D81" s="258" t="s">
        <v>170</v>
      </c>
      <c r="E81" s="258"/>
      <c r="F81" s="258"/>
      <c r="G81" s="258"/>
      <c r="H81" s="258"/>
      <c r="I81" s="258"/>
      <c r="J81" s="42"/>
      <c r="K81" s="42"/>
      <c r="L81" s="42"/>
      <c r="M81" s="42"/>
      <c r="N81" s="42"/>
      <c r="O81" s="42"/>
      <c r="P81" s="42"/>
      <c r="Q81" s="42"/>
      <c r="R81" s="43"/>
      <c r="S81" s="56"/>
      <c r="T81" s="57"/>
      <c r="U81" s="57"/>
      <c r="V81" s="57"/>
      <c r="W81" s="57"/>
      <c r="X81" s="57"/>
      <c r="Y81" s="43"/>
      <c r="Z81" s="142"/>
      <c r="AA81" s="142"/>
      <c r="AB81" s="61"/>
    </row>
    <row r="82" spans="1:28" x14ac:dyDescent="0.2">
      <c r="A82" s="42"/>
      <c r="B82" s="42"/>
      <c r="C82" s="42"/>
      <c r="D82" s="58"/>
      <c r="E82" s="58"/>
      <c r="F82" s="58"/>
      <c r="G82" s="58"/>
      <c r="H82" s="58"/>
      <c r="I82" s="58"/>
      <c r="J82" s="42"/>
      <c r="K82" s="42"/>
      <c r="L82" s="42"/>
      <c r="M82" s="42"/>
      <c r="N82" s="42"/>
      <c r="O82" s="42"/>
      <c r="P82" s="42"/>
      <c r="Q82" s="42"/>
      <c r="R82" s="43"/>
      <c r="S82" s="56"/>
      <c r="T82" s="57"/>
      <c r="U82" s="57"/>
      <c r="V82" s="57"/>
      <c r="W82" s="57"/>
      <c r="X82" s="57"/>
      <c r="Y82" s="43"/>
      <c r="Z82" s="142"/>
      <c r="AA82" s="142"/>
      <c r="AB82" s="61"/>
    </row>
    <row r="83" spans="1:28" x14ac:dyDescent="0.2">
      <c r="A83" s="42"/>
      <c r="B83" s="42"/>
      <c r="C83" s="43"/>
      <c r="D83" s="58"/>
      <c r="E83" s="58"/>
      <c r="F83" s="58"/>
      <c r="G83" s="58"/>
      <c r="H83" s="58"/>
      <c r="I83" s="58"/>
      <c r="J83" s="43"/>
      <c r="K83" s="43"/>
      <c r="L83" s="43"/>
      <c r="M83" s="42"/>
      <c r="N83" s="42"/>
      <c r="O83" s="42"/>
      <c r="P83" s="42"/>
      <c r="Q83" s="42"/>
      <c r="R83" s="43"/>
      <c r="S83" s="56"/>
      <c r="T83" s="57"/>
      <c r="U83" s="57"/>
      <c r="V83" s="57"/>
      <c r="W83" s="57"/>
      <c r="X83" s="57"/>
      <c r="Y83" s="57"/>
      <c r="Z83" s="142"/>
      <c r="AA83" s="142"/>
      <c r="AB83" s="142"/>
    </row>
    <row r="84" spans="1:28" x14ac:dyDescent="0.2">
      <c r="A84" s="42"/>
      <c r="B84" s="42"/>
      <c r="C84" s="43"/>
      <c r="D84" s="59"/>
      <c r="E84" s="59"/>
      <c r="F84" s="59"/>
      <c r="G84" s="59"/>
      <c r="H84" s="59"/>
      <c r="I84" s="59"/>
      <c r="J84" s="43"/>
      <c r="K84" s="43"/>
      <c r="L84" s="43"/>
      <c r="M84" s="42"/>
      <c r="N84" s="42"/>
      <c r="O84" s="42"/>
      <c r="P84" s="42"/>
      <c r="Q84" s="42"/>
      <c r="R84" s="43"/>
      <c r="S84" s="56"/>
      <c r="T84" s="57"/>
      <c r="U84" s="57"/>
      <c r="V84" s="57"/>
      <c r="W84" s="57"/>
      <c r="X84" s="57"/>
      <c r="Y84" s="57"/>
      <c r="Z84" s="142"/>
      <c r="AA84" s="142"/>
      <c r="AB84" s="142"/>
    </row>
    <row r="85" spans="1:28" x14ac:dyDescent="0.2">
      <c r="A85" s="42"/>
      <c r="B85" s="42"/>
      <c r="C85" s="43"/>
      <c r="D85" s="59"/>
      <c r="E85" s="59"/>
      <c r="F85" s="59"/>
      <c r="G85" s="59"/>
      <c r="H85" s="59"/>
      <c r="I85" s="59"/>
      <c r="J85" s="43"/>
      <c r="K85" s="43"/>
      <c r="L85" s="43"/>
      <c r="M85" s="42"/>
      <c r="N85" s="42"/>
      <c r="O85" s="42"/>
      <c r="P85" s="42"/>
      <c r="Q85" s="42"/>
      <c r="R85" s="43"/>
      <c r="S85" s="56"/>
      <c r="T85" s="57"/>
      <c r="U85" s="57"/>
      <c r="V85" s="57"/>
      <c r="W85" s="57"/>
      <c r="X85" s="57"/>
      <c r="Y85" s="57"/>
      <c r="Z85" s="142"/>
      <c r="AA85" s="142"/>
      <c r="AB85" s="142"/>
    </row>
    <row r="86" spans="1:28" x14ac:dyDescent="0.2">
      <c r="A86" s="42"/>
      <c r="B86" s="42"/>
      <c r="C86" s="43"/>
      <c r="D86" s="43"/>
      <c r="E86" s="43"/>
      <c r="F86" s="44"/>
      <c r="G86" s="43"/>
      <c r="H86" s="43"/>
      <c r="I86" s="43"/>
      <c r="J86" s="43"/>
      <c r="K86" s="43"/>
      <c r="L86" s="43"/>
      <c r="M86" s="42"/>
      <c r="N86" s="42"/>
      <c r="O86" s="42"/>
      <c r="P86" s="42"/>
      <c r="Q86" s="42"/>
      <c r="R86" s="43"/>
      <c r="S86" s="56"/>
      <c r="T86" s="57"/>
      <c r="U86" s="57"/>
      <c r="V86" s="57"/>
      <c r="W86" s="57"/>
      <c r="X86" s="57"/>
      <c r="Y86" s="57"/>
      <c r="Z86" s="142"/>
      <c r="AA86" s="142"/>
      <c r="AB86" s="142"/>
    </row>
    <row r="87" spans="1:28" x14ac:dyDescent="0.2">
      <c r="A87" s="42"/>
      <c r="B87" s="42"/>
      <c r="C87" s="43"/>
      <c r="D87" s="43"/>
      <c r="E87" s="43"/>
      <c r="F87" s="44"/>
      <c r="G87" s="43"/>
      <c r="H87" s="43"/>
      <c r="I87" s="43"/>
      <c r="J87" s="43"/>
      <c r="K87" s="43"/>
      <c r="L87" s="43"/>
      <c r="M87" s="42"/>
      <c r="N87" s="42"/>
      <c r="O87" s="42"/>
      <c r="P87" s="42"/>
      <c r="Q87" s="42"/>
      <c r="R87" s="43"/>
      <c r="S87" s="56"/>
      <c r="T87" s="57"/>
      <c r="U87" s="57"/>
      <c r="V87" s="57"/>
      <c r="W87" s="57"/>
      <c r="X87" s="57"/>
      <c r="Y87" s="57"/>
      <c r="Z87" s="142"/>
      <c r="AA87" s="142"/>
      <c r="AB87" s="142"/>
    </row>
    <row r="88" spans="1:28" x14ac:dyDescent="0.2">
      <c r="A88" s="42"/>
      <c r="B88" s="42"/>
      <c r="C88" s="43"/>
      <c r="D88" s="43"/>
      <c r="E88" s="43"/>
      <c r="F88" s="44"/>
      <c r="G88" s="43"/>
      <c r="H88" s="43"/>
      <c r="I88" s="43"/>
      <c r="J88" s="43"/>
      <c r="K88" s="43"/>
      <c r="L88" s="43"/>
      <c r="M88" s="42"/>
      <c r="N88" s="42"/>
      <c r="O88" s="42"/>
      <c r="P88" s="42"/>
      <c r="Q88" s="42"/>
      <c r="R88" s="43"/>
      <c r="S88" s="56"/>
      <c r="T88" s="57"/>
      <c r="U88" s="57"/>
      <c r="V88" s="57"/>
      <c r="W88" s="57"/>
      <c r="X88" s="57"/>
      <c r="Y88" s="57"/>
      <c r="Z88" s="142"/>
      <c r="AA88" s="142"/>
      <c r="AB88" s="142"/>
    </row>
    <row r="89" spans="1:28" x14ac:dyDescent="0.2">
      <c r="A89" s="42"/>
      <c r="B89" s="42"/>
      <c r="C89" s="43"/>
      <c r="D89" s="43"/>
      <c r="E89" s="43"/>
      <c r="F89" s="44"/>
      <c r="G89" s="43"/>
      <c r="H89" s="43"/>
      <c r="I89" s="43"/>
      <c r="J89" s="43"/>
      <c r="K89" s="43"/>
      <c r="L89" s="43"/>
      <c r="R89" s="61"/>
      <c r="S89" s="141"/>
      <c r="T89" s="142"/>
      <c r="U89" s="142"/>
      <c r="V89" s="57"/>
      <c r="W89" s="57"/>
      <c r="X89" s="57"/>
      <c r="Y89" s="57"/>
      <c r="Z89" s="142"/>
      <c r="AA89" s="142"/>
      <c r="AB89" s="142"/>
    </row>
    <row r="90" spans="1:28" x14ac:dyDescent="0.2">
      <c r="A90" s="42"/>
      <c r="B90" s="42"/>
      <c r="C90" s="43"/>
      <c r="D90" s="43"/>
      <c r="E90" s="43"/>
      <c r="F90" s="44"/>
      <c r="G90" s="43"/>
      <c r="H90" s="43"/>
      <c r="I90" s="43"/>
      <c r="J90" s="43"/>
      <c r="K90" s="43"/>
      <c r="L90" s="43"/>
      <c r="R90" s="61"/>
      <c r="S90" s="141"/>
      <c r="T90" s="142"/>
      <c r="U90" s="142"/>
      <c r="V90" s="57"/>
      <c r="W90" s="57"/>
      <c r="X90" s="57"/>
      <c r="Y90" s="57"/>
      <c r="Z90" s="142"/>
      <c r="AA90" s="142"/>
      <c r="AB90" s="142"/>
    </row>
    <row r="91" spans="1:28" x14ac:dyDescent="0.2">
      <c r="A91" s="42"/>
      <c r="B91" s="42"/>
      <c r="C91" s="43"/>
      <c r="D91" s="43"/>
      <c r="E91" s="43"/>
      <c r="F91" s="44"/>
      <c r="G91" s="43"/>
      <c r="H91" s="43"/>
      <c r="I91" s="43"/>
      <c r="J91" s="43"/>
      <c r="K91" s="43"/>
      <c r="L91" s="43"/>
      <c r="R91" s="61"/>
      <c r="S91" s="141"/>
      <c r="T91" s="142"/>
      <c r="U91" s="142"/>
      <c r="V91" s="57"/>
      <c r="W91" s="57"/>
      <c r="X91" s="57"/>
      <c r="Y91" s="57"/>
      <c r="Z91" s="142"/>
      <c r="AA91" s="142"/>
      <c r="AB91" s="142"/>
    </row>
    <row r="92" spans="1:28" x14ac:dyDescent="0.2">
      <c r="A92" s="42"/>
      <c r="B92" s="42"/>
      <c r="C92" s="43"/>
      <c r="D92" s="43"/>
      <c r="E92" s="43"/>
      <c r="F92" s="44"/>
      <c r="G92" s="43"/>
      <c r="H92" s="43"/>
      <c r="I92" s="43"/>
      <c r="J92" s="43"/>
      <c r="K92" s="43"/>
      <c r="L92" s="43"/>
      <c r="R92" s="61"/>
      <c r="S92" s="141"/>
      <c r="T92" s="142"/>
      <c r="U92" s="142"/>
      <c r="V92" s="57"/>
      <c r="W92" s="57"/>
      <c r="X92" s="57"/>
      <c r="Y92" s="57"/>
      <c r="Z92" s="142"/>
      <c r="AA92" s="142"/>
      <c r="AB92" s="142"/>
    </row>
    <row r="93" spans="1:28" x14ac:dyDescent="0.2">
      <c r="A93" s="42"/>
      <c r="B93" s="42"/>
      <c r="C93" s="43"/>
      <c r="D93" s="43"/>
      <c r="E93" s="43"/>
      <c r="F93" s="44"/>
      <c r="G93" s="43"/>
      <c r="H93" s="43"/>
      <c r="I93" s="43"/>
      <c r="J93" s="43"/>
      <c r="K93" s="43"/>
      <c r="L93" s="43"/>
      <c r="R93" s="61"/>
      <c r="S93" s="141"/>
      <c r="T93" s="142"/>
      <c r="U93" s="142"/>
      <c r="V93" s="57"/>
      <c r="W93" s="57"/>
      <c r="X93" s="57"/>
      <c r="Y93" s="57"/>
      <c r="Z93" s="142"/>
      <c r="AA93" s="142"/>
      <c r="AB93" s="142"/>
    </row>
    <row r="94" spans="1:28" x14ac:dyDescent="0.2">
      <c r="A94" s="42"/>
      <c r="B94" s="42"/>
      <c r="C94" s="43"/>
      <c r="D94" s="43"/>
      <c r="E94" s="43"/>
      <c r="F94" s="44"/>
      <c r="G94" s="43"/>
      <c r="H94" s="43"/>
      <c r="I94" s="43"/>
      <c r="J94" s="43"/>
      <c r="K94" s="43"/>
      <c r="L94" s="43"/>
      <c r="S94" s="141"/>
      <c r="T94" s="61"/>
      <c r="U94" s="61"/>
      <c r="V94" s="43"/>
      <c r="W94" s="43"/>
      <c r="X94" s="43"/>
      <c r="Y94" s="43"/>
      <c r="Z94" s="61"/>
      <c r="AA94" s="61"/>
      <c r="AB94" s="61"/>
    </row>
    <row r="95" spans="1:28" x14ac:dyDescent="0.2">
      <c r="A95" s="42"/>
      <c r="B95" s="42"/>
      <c r="C95" s="43"/>
      <c r="D95" s="43"/>
      <c r="E95" s="43"/>
      <c r="F95" s="44"/>
      <c r="G95" s="43"/>
      <c r="H95" s="43"/>
      <c r="I95" s="43"/>
      <c r="J95" s="43"/>
      <c r="K95" s="43"/>
      <c r="L95" s="43"/>
      <c r="S95" s="141"/>
      <c r="T95" s="61"/>
      <c r="U95" s="61"/>
      <c r="V95" s="43"/>
      <c r="W95" s="43"/>
      <c r="X95" s="43"/>
      <c r="Y95" s="43"/>
      <c r="Z95" s="61"/>
      <c r="AA95" s="61"/>
      <c r="AB95" s="61"/>
    </row>
    <row r="96" spans="1:28" x14ac:dyDescent="0.2">
      <c r="A96" s="42"/>
      <c r="B96" s="42"/>
      <c r="C96" s="43"/>
      <c r="D96" s="43"/>
      <c r="E96" s="43"/>
      <c r="F96" s="44"/>
      <c r="G96" s="43"/>
      <c r="H96" s="43"/>
      <c r="I96" s="43"/>
      <c r="J96" s="43"/>
      <c r="K96" s="43"/>
      <c r="L96" s="43"/>
      <c r="S96" s="141"/>
      <c r="T96" s="61"/>
      <c r="U96" s="61"/>
      <c r="V96" s="43"/>
      <c r="W96" s="43"/>
      <c r="X96" s="43"/>
      <c r="Y96" s="43"/>
      <c r="Z96" s="61"/>
      <c r="AA96" s="61"/>
      <c r="AB96" s="61"/>
    </row>
    <row r="97" spans="2:28" x14ac:dyDescent="0.2">
      <c r="B97" s="42"/>
      <c r="C97" s="43"/>
      <c r="D97" s="43"/>
      <c r="E97" s="43"/>
      <c r="F97" s="44"/>
      <c r="G97" s="43"/>
      <c r="H97" s="43"/>
      <c r="I97" s="43"/>
      <c r="J97" s="43"/>
      <c r="K97" s="43"/>
      <c r="L97" s="43"/>
      <c r="S97" s="141"/>
      <c r="T97" s="61"/>
      <c r="U97" s="61"/>
      <c r="V97" s="43"/>
      <c r="W97" s="43"/>
      <c r="X97" s="43"/>
      <c r="Y97" s="43"/>
      <c r="Z97" s="61"/>
      <c r="AA97" s="61"/>
      <c r="AB97" s="61"/>
    </row>
    <row r="98" spans="2:28" x14ac:dyDescent="0.2">
      <c r="B98" s="42"/>
      <c r="C98" s="43"/>
      <c r="D98" s="43"/>
      <c r="E98" s="43"/>
      <c r="F98" s="44"/>
      <c r="G98" s="43"/>
      <c r="H98" s="43"/>
      <c r="I98" s="43"/>
      <c r="J98" s="43"/>
      <c r="K98" s="43"/>
      <c r="L98" s="43"/>
    </row>
    <row r="99" spans="2:28" x14ac:dyDescent="0.2">
      <c r="B99" s="42"/>
      <c r="C99" s="43"/>
      <c r="D99" s="43"/>
      <c r="E99" s="43"/>
      <c r="F99" s="44"/>
      <c r="G99" s="43"/>
      <c r="H99" s="43"/>
      <c r="I99" s="43"/>
      <c r="J99" s="43"/>
      <c r="K99" s="43"/>
      <c r="L99" s="43"/>
    </row>
    <row r="100" spans="2:28" x14ac:dyDescent="0.2">
      <c r="B100" s="42"/>
      <c r="C100" s="43"/>
      <c r="D100" s="43"/>
      <c r="E100" s="43"/>
      <c r="F100" s="44"/>
      <c r="G100" s="43"/>
      <c r="H100" s="43"/>
      <c r="I100" s="43"/>
      <c r="J100" s="43"/>
      <c r="K100" s="43"/>
      <c r="L100" s="43"/>
    </row>
    <row r="101" spans="2:28" x14ac:dyDescent="0.2">
      <c r="B101" s="42"/>
      <c r="C101" s="43"/>
      <c r="D101" s="43"/>
      <c r="E101" s="43"/>
      <c r="F101" s="44"/>
      <c r="G101" s="43"/>
      <c r="H101" s="43"/>
      <c r="I101" s="43"/>
      <c r="J101" s="43"/>
      <c r="K101" s="43"/>
      <c r="L101" s="43"/>
    </row>
    <row r="102" spans="2:28" x14ac:dyDescent="0.2">
      <c r="B102" s="42"/>
      <c r="C102" s="43"/>
      <c r="D102" s="43"/>
      <c r="E102" s="43"/>
      <c r="F102" s="44"/>
      <c r="G102" s="43"/>
      <c r="H102" s="43"/>
      <c r="I102" s="43"/>
      <c r="J102" s="43"/>
      <c r="K102" s="43"/>
      <c r="L102" s="43"/>
    </row>
  </sheetData>
  <sheetProtection selectLockedCells="1"/>
  <mergeCells count="37">
    <mergeCell ref="D81:I81"/>
    <mergeCell ref="E79:H79"/>
    <mergeCell ref="D44:H45"/>
    <mergeCell ref="D46:F46"/>
    <mergeCell ref="D48:F48"/>
    <mergeCell ref="F73:H73"/>
    <mergeCell ref="E77:H77"/>
    <mergeCell ref="K61:L61"/>
    <mergeCell ref="D36:H36"/>
    <mergeCell ref="D52:H53"/>
    <mergeCell ref="K77:L78"/>
    <mergeCell ref="B60:F60"/>
    <mergeCell ref="D57:H57"/>
    <mergeCell ref="K65:L65"/>
    <mergeCell ref="F66:H66"/>
    <mergeCell ref="K71:L71"/>
    <mergeCell ref="K63:L63"/>
    <mergeCell ref="K66:L66"/>
    <mergeCell ref="E67:F67"/>
    <mergeCell ref="K67:L67"/>
    <mergeCell ref="E69:F69"/>
    <mergeCell ref="K68:L68"/>
    <mergeCell ref="F65:H65"/>
    <mergeCell ref="N44:N45"/>
    <mergeCell ref="O44:T45"/>
    <mergeCell ref="O46:S47"/>
    <mergeCell ref="B2:I2"/>
    <mergeCell ref="R5:T5"/>
    <mergeCell ref="D39:H39"/>
    <mergeCell ref="D41:F41"/>
    <mergeCell ref="O42:T43"/>
    <mergeCell ref="N42:N43"/>
    <mergeCell ref="B38:H38"/>
    <mergeCell ref="O40:T40"/>
    <mergeCell ref="R6:T6"/>
    <mergeCell ref="B5:H5"/>
    <mergeCell ref="B3:L3"/>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HF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76"/>
  <sheetViews>
    <sheetView zoomScale="95" zoomScaleNormal="95" workbookViewId="0">
      <selection activeCell="G9" sqref="G9"/>
    </sheetView>
  </sheetViews>
  <sheetFormatPr defaultRowHeight="13.2" x14ac:dyDescent="0.25"/>
  <cols>
    <col min="4" max="4" width="28.6640625" customWidth="1"/>
    <col min="5" max="5" width="19.5546875" customWidth="1"/>
    <col min="6" max="6" width="11.109375" bestFit="1" customWidth="1"/>
    <col min="7" max="14" width="10" bestFit="1" customWidth="1"/>
  </cols>
  <sheetData>
    <row r="1" spans="3:19" ht="27" customHeight="1" x14ac:dyDescent="0.3">
      <c r="C1" s="3">
        <v>2025</v>
      </c>
      <c r="D1" s="3" t="s">
        <v>106</v>
      </c>
      <c r="F1" s="256" t="s">
        <v>169</v>
      </c>
      <c r="G1" s="216"/>
      <c r="H1" s="216"/>
      <c r="I1" s="216"/>
      <c r="J1" s="216"/>
      <c r="K1" s="216"/>
      <c r="L1" s="216"/>
      <c r="M1" s="216"/>
      <c r="N1" s="216"/>
    </row>
    <row r="2" spans="3:19" ht="13.8" thickBot="1" x14ac:dyDescent="0.3"/>
    <row r="3" spans="3:19" ht="13.8" thickBot="1" x14ac:dyDescent="0.3">
      <c r="C3" s="4"/>
      <c r="D3" s="5"/>
      <c r="E3" s="5"/>
      <c r="F3" s="6" t="s">
        <v>8</v>
      </c>
      <c r="G3" s="7" t="s">
        <v>9</v>
      </c>
      <c r="H3" s="7" t="s">
        <v>10</v>
      </c>
      <c r="I3" s="7" t="s">
        <v>11</v>
      </c>
      <c r="J3" s="7" t="s">
        <v>13</v>
      </c>
      <c r="K3" s="7" t="s">
        <v>14</v>
      </c>
      <c r="L3" s="7" t="s">
        <v>15</v>
      </c>
      <c r="M3" s="7" t="s">
        <v>16</v>
      </c>
      <c r="N3" s="8" t="s">
        <v>17</v>
      </c>
    </row>
    <row r="4" spans="3:19" ht="13.8" thickBot="1" x14ac:dyDescent="0.3">
      <c r="C4" s="15">
        <v>0</v>
      </c>
      <c r="D4" s="16"/>
      <c r="E4" s="16"/>
      <c r="F4" s="17">
        <v>1</v>
      </c>
      <c r="G4" s="18">
        <v>2</v>
      </c>
      <c r="H4" s="18">
        <v>3</v>
      </c>
      <c r="I4" s="18">
        <v>4</v>
      </c>
      <c r="J4" s="18">
        <v>5</v>
      </c>
      <c r="K4" s="18">
        <v>6</v>
      </c>
      <c r="L4" s="18">
        <v>7</v>
      </c>
      <c r="M4" s="18">
        <v>8</v>
      </c>
      <c r="N4" s="19">
        <v>9</v>
      </c>
    </row>
    <row r="5" spans="3:19" ht="13.8" thickBot="1" x14ac:dyDescent="0.3">
      <c r="C5" s="9"/>
      <c r="D5" s="10" t="s">
        <v>25</v>
      </c>
      <c r="E5" s="11" t="s">
        <v>24</v>
      </c>
      <c r="F5" s="156" t="s">
        <v>8</v>
      </c>
      <c r="G5" s="12" t="s">
        <v>9</v>
      </c>
      <c r="H5" s="12" t="s">
        <v>10</v>
      </c>
      <c r="I5" s="12" t="s">
        <v>11</v>
      </c>
      <c r="J5" s="12" t="s">
        <v>13</v>
      </c>
      <c r="K5" s="12" t="s">
        <v>14</v>
      </c>
      <c r="L5" s="12" t="s">
        <v>15</v>
      </c>
      <c r="M5" s="12" t="s">
        <v>16</v>
      </c>
      <c r="N5" s="13" t="s">
        <v>17</v>
      </c>
      <c r="R5" s="164" t="s">
        <v>143</v>
      </c>
      <c r="S5">
        <v>6.5</v>
      </c>
    </row>
    <row r="6" spans="3:19" ht="13.8" thickBot="1" x14ac:dyDescent="0.3">
      <c r="C6" s="4" t="s">
        <v>26</v>
      </c>
      <c r="D6" s="14" t="s">
        <v>27</v>
      </c>
      <c r="E6" s="14" t="s">
        <v>28</v>
      </c>
      <c r="F6" s="191">
        <v>354.02</v>
      </c>
      <c r="G6" s="191">
        <v>341.43</v>
      </c>
      <c r="H6" s="191">
        <v>331.35</v>
      </c>
      <c r="I6" s="191">
        <v>318.29000000000002</v>
      </c>
      <c r="J6" s="191">
        <v>297.42</v>
      </c>
      <c r="K6" s="191">
        <v>288.8</v>
      </c>
      <c r="L6" s="191">
        <v>307.41000000000003</v>
      </c>
      <c r="M6" s="191">
        <v>277.14999999999998</v>
      </c>
      <c r="N6" s="191">
        <v>266.55</v>
      </c>
      <c r="R6" s="164" t="s">
        <v>144</v>
      </c>
      <c r="S6">
        <v>25</v>
      </c>
    </row>
    <row r="7" spans="3:19" ht="13.8" thickBot="1" x14ac:dyDescent="0.3">
      <c r="C7" s="4" t="s">
        <v>94</v>
      </c>
      <c r="D7" s="14" t="s">
        <v>30</v>
      </c>
      <c r="E7" s="14" t="s">
        <v>28</v>
      </c>
      <c r="F7" s="191">
        <v>325.02999999999997</v>
      </c>
      <c r="G7" s="191">
        <v>312.43</v>
      </c>
      <c r="H7" s="191">
        <v>302.35000000000002</v>
      </c>
      <c r="I7" s="191">
        <v>289.3</v>
      </c>
      <c r="J7" s="191">
        <v>268.68</v>
      </c>
      <c r="K7" s="191">
        <v>260.06</v>
      </c>
      <c r="L7" s="191">
        <v>278.42</v>
      </c>
      <c r="M7" s="191">
        <v>248.42</v>
      </c>
      <c r="N7" s="191">
        <v>237.81</v>
      </c>
      <c r="R7" s="164" t="s">
        <v>145</v>
      </c>
      <c r="S7">
        <v>31.5</v>
      </c>
    </row>
    <row r="8" spans="3:19" ht="13.8" thickBot="1" x14ac:dyDescent="0.3">
      <c r="C8" s="4" t="s">
        <v>31</v>
      </c>
      <c r="D8" s="14" t="s">
        <v>32</v>
      </c>
      <c r="E8" s="14"/>
      <c r="F8" s="191">
        <v>279.92</v>
      </c>
      <c r="G8" s="191">
        <v>271.70999999999998</v>
      </c>
      <c r="H8" s="191">
        <v>263.18</v>
      </c>
      <c r="I8" s="191">
        <v>253.15</v>
      </c>
      <c r="J8" s="191">
        <v>237.11</v>
      </c>
      <c r="K8" s="191">
        <v>230.67</v>
      </c>
      <c r="L8" s="191">
        <v>244.46</v>
      </c>
      <c r="M8" s="191">
        <v>215.62</v>
      </c>
      <c r="N8" s="191">
        <v>207.45</v>
      </c>
    </row>
    <row r="9" spans="3:19" ht="24" thickBot="1" x14ac:dyDescent="0.3">
      <c r="C9" s="4" t="s">
        <v>96</v>
      </c>
      <c r="D9" s="14" t="s">
        <v>33</v>
      </c>
      <c r="E9" s="14" t="s">
        <v>34</v>
      </c>
      <c r="F9" s="191">
        <v>278.86</v>
      </c>
      <c r="G9" s="191">
        <v>270.64999999999998</v>
      </c>
      <c r="H9" s="191">
        <v>261.06</v>
      </c>
      <c r="I9" s="191">
        <v>252.09</v>
      </c>
      <c r="J9" s="191">
        <v>234.99</v>
      </c>
      <c r="K9" s="191">
        <v>229.61</v>
      </c>
      <c r="L9" s="191">
        <v>243.4</v>
      </c>
      <c r="M9" s="191">
        <v>213.5</v>
      </c>
      <c r="N9" s="191">
        <v>206.39</v>
      </c>
    </row>
    <row r="10" spans="3:19" ht="13.8" thickBot="1" x14ac:dyDescent="0.3">
      <c r="C10" s="4" t="s">
        <v>35</v>
      </c>
      <c r="D10" s="14" t="s">
        <v>36</v>
      </c>
      <c r="E10" s="14" t="s">
        <v>37</v>
      </c>
      <c r="F10" s="191">
        <v>329.88</v>
      </c>
      <c r="G10" s="191">
        <v>317.27999999999997</v>
      </c>
      <c r="H10" s="191">
        <v>307.20999999999998</v>
      </c>
      <c r="I10" s="191">
        <v>294.14999999999998</v>
      </c>
      <c r="J10" s="191">
        <v>273.67</v>
      </c>
      <c r="K10" s="191">
        <v>265.05</v>
      </c>
      <c r="L10" s="191">
        <v>283.27</v>
      </c>
      <c r="M10" s="191">
        <v>253.4</v>
      </c>
      <c r="N10" s="191">
        <v>242.8</v>
      </c>
    </row>
    <row r="11" spans="3:19" ht="24" thickBot="1" x14ac:dyDescent="0.3">
      <c r="C11" s="4" t="s">
        <v>97</v>
      </c>
      <c r="D11" s="14" t="s">
        <v>38</v>
      </c>
      <c r="E11" s="14" t="s">
        <v>39</v>
      </c>
      <c r="F11" s="191">
        <v>277.02999999999997</v>
      </c>
      <c r="G11" s="191">
        <v>264.43</v>
      </c>
      <c r="H11" s="191">
        <v>253.3</v>
      </c>
      <c r="I11" s="191">
        <v>241.3</v>
      </c>
      <c r="J11" s="191">
        <v>219.62</v>
      </c>
      <c r="K11" s="191">
        <v>212.07</v>
      </c>
      <c r="L11" s="191">
        <v>230.42</v>
      </c>
      <c r="M11" s="191">
        <v>199.36</v>
      </c>
      <c r="N11" s="191">
        <v>189.82</v>
      </c>
    </row>
    <row r="12" spans="3:19" ht="13.8" thickBot="1" x14ac:dyDescent="0.3">
      <c r="C12" s="4" t="s">
        <v>40</v>
      </c>
      <c r="D12" s="14" t="s">
        <v>41</v>
      </c>
      <c r="E12" s="14"/>
      <c r="F12" s="191">
        <v>323.97000000000003</v>
      </c>
      <c r="G12" s="191">
        <v>311.37</v>
      </c>
      <c r="H12" s="191">
        <v>300.23</v>
      </c>
      <c r="I12" s="191">
        <v>288.24</v>
      </c>
      <c r="J12" s="191">
        <v>266.56</v>
      </c>
      <c r="K12" s="191">
        <v>259</v>
      </c>
      <c r="L12" s="191">
        <v>277.36</v>
      </c>
      <c r="M12" s="191">
        <v>246.3</v>
      </c>
      <c r="N12" s="191">
        <v>236.75</v>
      </c>
    </row>
    <row r="13" spans="3:19" ht="24" thickBot="1" x14ac:dyDescent="0.3">
      <c r="C13" s="4" t="s">
        <v>6</v>
      </c>
      <c r="D13" s="14" t="s">
        <v>42</v>
      </c>
      <c r="E13" s="14" t="s">
        <v>43</v>
      </c>
      <c r="F13" s="191">
        <v>279.19</v>
      </c>
      <c r="G13" s="191">
        <v>268.95999999999998</v>
      </c>
      <c r="H13" s="191">
        <v>259.02999999999997</v>
      </c>
      <c r="I13" s="191">
        <v>248.1</v>
      </c>
      <c r="J13" s="191">
        <v>225.97</v>
      </c>
      <c r="K13" s="191">
        <v>217.12</v>
      </c>
      <c r="L13" s="191">
        <v>238.36</v>
      </c>
      <c r="M13" s="191">
        <v>199.43</v>
      </c>
      <c r="N13" s="191">
        <v>190.43</v>
      </c>
    </row>
    <row r="14" spans="3:19" ht="13.8" thickBot="1" x14ac:dyDescent="0.3">
      <c r="C14" s="4" t="s">
        <v>44</v>
      </c>
      <c r="D14" s="14" t="s">
        <v>45</v>
      </c>
      <c r="E14" s="14" t="s">
        <v>46</v>
      </c>
      <c r="F14" s="191">
        <v>295.95</v>
      </c>
      <c r="G14" s="191">
        <v>285.67</v>
      </c>
      <c r="H14" s="191">
        <v>276.64</v>
      </c>
      <c r="I14" s="191">
        <v>265.18</v>
      </c>
      <c r="J14" s="191">
        <v>247.49</v>
      </c>
      <c r="K14" s="191">
        <v>234.84</v>
      </c>
      <c r="L14" s="191">
        <v>256.06</v>
      </c>
      <c r="M14" s="191">
        <v>216.83</v>
      </c>
      <c r="N14" s="191">
        <v>209.88</v>
      </c>
    </row>
    <row r="15" spans="3:19" ht="24" thickBot="1" x14ac:dyDescent="0.3">
      <c r="C15" s="4" t="s">
        <v>47</v>
      </c>
      <c r="D15" s="14" t="s">
        <v>48</v>
      </c>
      <c r="E15" s="14" t="s">
        <v>49</v>
      </c>
      <c r="F15" s="191">
        <v>172.28</v>
      </c>
      <c r="G15" s="191">
        <v>163.96</v>
      </c>
      <c r="H15" s="191">
        <v>153.63</v>
      </c>
      <c r="I15" s="191">
        <v>147.85</v>
      </c>
      <c r="J15" s="191">
        <v>131.63999999999999</v>
      </c>
      <c r="K15" s="191">
        <v>125.26</v>
      </c>
      <c r="L15" s="191">
        <v>140.97</v>
      </c>
      <c r="M15" s="191">
        <v>109.16</v>
      </c>
      <c r="N15" s="191">
        <v>101.66</v>
      </c>
    </row>
    <row r="16" spans="3:19" ht="13.8" thickBot="1" x14ac:dyDescent="0.3">
      <c r="C16" s="4" t="s">
        <v>50</v>
      </c>
      <c r="D16" s="14" t="s">
        <v>51</v>
      </c>
      <c r="E16" s="14" t="s">
        <v>49</v>
      </c>
      <c r="F16" s="191">
        <v>171.22</v>
      </c>
      <c r="G16" s="191">
        <v>162.9</v>
      </c>
      <c r="H16" s="191">
        <v>153.63</v>
      </c>
      <c r="I16" s="191">
        <v>146.79</v>
      </c>
      <c r="J16" s="191">
        <v>131.63999999999999</v>
      </c>
      <c r="K16" s="191">
        <v>124.2</v>
      </c>
      <c r="L16" s="191">
        <v>139.91</v>
      </c>
      <c r="M16" s="191">
        <v>109.16</v>
      </c>
      <c r="N16" s="191">
        <v>100.6</v>
      </c>
    </row>
    <row r="17" spans="3:14" ht="13.8" thickBot="1" x14ac:dyDescent="0.3">
      <c r="C17" s="4" t="s">
        <v>52</v>
      </c>
      <c r="D17" s="14" t="s">
        <v>53</v>
      </c>
      <c r="E17" s="14"/>
      <c r="F17" s="191">
        <v>160.74</v>
      </c>
      <c r="G17" s="191">
        <v>152.43</v>
      </c>
      <c r="H17" s="191">
        <v>143.16</v>
      </c>
      <c r="I17" s="191">
        <v>136.32</v>
      </c>
      <c r="J17" s="191">
        <v>121.49</v>
      </c>
      <c r="K17" s="191">
        <v>114.05</v>
      </c>
      <c r="L17" s="191">
        <v>129.44</v>
      </c>
      <c r="M17" s="191">
        <v>99.01</v>
      </c>
      <c r="N17" s="202" t="s">
        <v>142</v>
      </c>
    </row>
    <row r="18" spans="3:14" ht="13.8" thickBot="1" x14ac:dyDescent="0.3">
      <c r="C18" s="4" t="s">
        <v>54</v>
      </c>
      <c r="D18" s="14" t="s">
        <v>55</v>
      </c>
      <c r="E18" s="14"/>
      <c r="F18" s="191">
        <v>160.74</v>
      </c>
      <c r="G18" s="191">
        <v>152.43</v>
      </c>
      <c r="H18" s="191">
        <v>143.16</v>
      </c>
      <c r="I18" s="191">
        <v>136.32</v>
      </c>
      <c r="J18" s="191">
        <v>121.49</v>
      </c>
      <c r="K18" s="191">
        <v>114.05</v>
      </c>
      <c r="L18" s="191">
        <v>129.44</v>
      </c>
      <c r="M18" s="191">
        <v>99.01</v>
      </c>
      <c r="N18" s="191">
        <v>90.45</v>
      </c>
    </row>
    <row r="19" spans="3:14" ht="13.8" thickBot="1" x14ac:dyDescent="0.3">
      <c r="C19" s="4" t="s">
        <v>56</v>
      </c>
      <c r="D19" s="14" t="s">
        <v>57</v>
      </c>
      <c r="E19" s="14"/>
      <c r="F19" s="191">
        <v>310.02999999999997</v>
      </c>
      <c r="G19" s="191">
        <v>299.02</v>
      </c>
      <c r="H19" s="191">
        <v>288.29000000000002</v>
      </c>
      <c r="I19" s="191">
        <v>276.08999999999997</v>
      </c>
      <c r="J19" s="191">
        <v>252.12</v>
      </c>
      <c r="K19" s="191">
        <v>243.16</v>
      </c>
      <c r="L19" s="191">
        <v>265.49</v>
      </c>
      <c r="M19" s="191">
        <v>225.32</v>
      </c>
      <c r="N19" s="191">
        <v>215.01</v>
      </c>
    </row>
    <row r="20" spans="3:14" ht="24" thickBot="1" x14ac:dyDescent="0.3">
      <c r="C20" s="4" t="s">
        <v>58</v>
      </c>
      <c r="D20" s="14" t="s">
        <v>59</v>
      </c>
      <c r="E20" s="14" t="s">
        <v>60</v>
      </c>
      <c r="F20" s="191">
        <v>280.82</v>
      </c>
      <c r="G20" s="191">
        <v>270.89999999999998</v>
      </c>
      <c r="H20" s="191">
        <v>261.64999999999998</v>
      </c>
      <c r="I20" s="191">
        <v>252.39</v>
      </c>
      <c r="J20" s="191">
        <v>230.7</v>
      </c>
      <c r="K20" s="191">
        <v>224.32</v>
      </c>
      <c r="L20" s="191">
        <v>252.44</v>
      </c>
      <c r="M20" s="191">
        <v>207.56</v>
      </c>
      <c r="N20" s="191">
        <v>201.05</v>
      </c>
    </row>
    <row r="21" spans="3:14" ht="13.8" thickBot="1" x14ac:dyDescent="0.3">
      <c r="C21" s="4" t="s">
        <v>61</v>
      </c>
      <c r="D21" s="14" t="s">
        <v>62</v>
      </c>
      <c r="E21" s="14" t="s">
        <v>63</v>
      </c>
      <c r="F21" s="191">
        <v>487.43</v>
      </c>
      <c r="G21" s="191">
        <v>476.42</v>
      </c>
      <c r="H21" s="191">
        <v>465.68</v>
      </c>
      <c r="I21" s="191">
        <v>453.49</v>
      </c>
      <c r="J21" s="191">
        <v>427.46</v>
      </c>
      <c r="K21" s="202" t="s">
        <v>142</v>
      </c>
      <c r="L21" s="191">
        <v>442.88</v>
      </c>
      <c r="M21" s="191">
        <v>400.66</v>
      </c>
      <c r="N21" s="202" t="s">
        <v>142</v>
      </c>
    </row>
    <row r="22" spans="3:14" ht="13.8" thickBot="1" x14ac:dyDescent="0.3">
      <c r="C22" s="4" t="s">
        <v>98</v>
      </c>
      <c r="D22" s="14" t="s">
        <v>64</v>
      </c>
      <c r="E22" s="14" t="s">
        <v>65</v>
      </c>
      <c r="F22" s="191">
        <v>338.36</v>
      </c>
      <c r="G22" s="191">
        <v>325.27</v>
      </c>
      <c r="H22" s="191">
        <v>314.54000000000002</v>
      </c>
      <c r="I22" s="191">
        <v>302.33999999999997</v>
      </c>
      <c r="J22" s="191">
        <v>279.95</v>
      </c>
      <c r="K22" s="202" t="s">
        <v>142</v>
      </c>
      <c r="L22" s="191">
        <v>291.74</v>
      </c>
      <c r="M22" s="191">
        <v>253.15</v>
      </c>
      <c r="N22" s="202" t="s">
        <v>142</v>
      </c>
    </row>
    <row r="23" spans="3:14" ht="13.8" thickBot="1" x14ac:dyDescent="0.3">
      <c r="C23" s="4" t="s">
        <v>66</v>
      </c>
      <c r="D23" s="14" t="s">
        <v>67</v>
      </c>
      <c r="E23" s="14" t="s">
        <v>68</v>
      </c>
      <c r="F23" s="191">
        <v>361.97</v>
      </c>
      <c r="G23" s="191">
        <v>350.96</v>
      </c>
      <c r="H23" s="191">
        <v>340.23</v>
      </c>
      <c r="I23" s="191">
        <v>328.03</v>
      </c>
      <c r="J23" s="191">
        <v>305.64</v>
      </c>
      <c r="K23" s="191">
        <v>295.62</v>
      </c>
      <c r="L23" s="191">
        <v>317.43</v>
      </c>
      <c r="M23" s="191">
        <v>278.83999999999997</v>
      </c>
      <c r="N23" s="191">
        <v>266.41000000000003</v>
      </c>
    </row>
    <row r="24" spans="3:14" ht="13.8" thickBot="1" x14ac:dyDescent="0.3">
      <c r="C24" s="4" t="s">
        <v>69</v>
      </c>
      <c r="D24" s="14" t="s">
        <v>70</v>
      </c>
      <c r="E24" s="14"/>
      <c r="F24" s="191">
        <v>280.82</v>
      </c>
      <c r="G24" s="191">
        <v>270.89999999999998</v>
      </c>
      <c r="H24" s="191">
        <v>261.64999999999998</v>
      </c>
      <c r="I24" s="191">
        <v>252.39</v>
      </c>
      <c r="J24" s="191">
        <v>230.7</v>
      </c>
      <c r="K24" s="191">
        <v>224.32</v>
      </c>
      <c r="L24" s="191">
        <v>252.44</v>
      </c>
      <c r="M24" s="191">
        <v>207.56</v>
      </c>
      <c r="N24" s="191">
        <v>201.05</v>
      </c>
    </row>
    <row r="25" spans="3:14" ht="24" thickBot="1" x14ac:dyDescent="0.3">
      <c r="C25" s="4" t="s">
        <v>71</v>
      </c>
      <c r="D25" s="14" t="s">
        <v>72</v>
      </c>
      <c r="E25" s="14" t="s">
        <v>73</v>
      </c>
      <c r="F25" s="191">
        <v>208.9</v>
      </c>
      <c r="G25" s="191">
        <v>200.7</v>
      </c>
      <c r="H25" s="191">
        <v>188.46</v>
      </c>
      <c r="I25" s="191">
        <v>182.13</v>
      </c>
      <c r="J25" s="191">
        <v>165.71</v>
      </c>
      <c r="K25" s="191">
        <v>160.33000000000001</v>
      </c>
      <c r="L25" s="191">
        <v>173.45</v>
      </c>
      <c r="M25" s="191">
        <v>144.22999999999999</v>
      </c>
      <c r="N25" s="191">
        <v>137.11000000000001</v>
      </c>
    </row>
    <row r="26" spans="3:14" ht="13.8" thickBot="1" x14ac:dyDescent="0.3">
      <c r="C26" s="4" t="s">
        <v>19</v>
      </c>
      <c r="D26" s="14" t="s">
        <v>74</v>
      </c>
      <c r="E26" s="14" t="s">
        <v>75</v>
      </c>
      <c r="F26" s="191">
        <v>283.47000000000003</v>
      </c>
      <c r="G26" s="191">
        <v>273.54000000000002</v>
      </c>
      <c r="H26" s="191">
        <v>264.29000000000002</v>
      </c>
      <c r="I26" s="191">
        <v>255.04</v>
      </c>
      <c r="J26" s="191">
        <v>233.85</v>
      </c>
      <c r="K26" s="191">
        <v>227.48</v>
      </c>
      <c r="L26" s="191">
        <v>255.08</v>
      </c>
      <c r="M26" s="191">
        <v>210.72</v>
      </c>
      <c r="N26" s="191">
        <v>204.2</v>
      </c>
    </row>
    <row r="27" spans="3:14" ht="13.8" thickBot="1" x14ac:dyDescent="0.3">
      <c r="C27" s="4" t="s">
        <v>20</v>
      </c>
      <c r="D27" s="14" t="s">
        <v>76</v>
      </c>
      <c r="E27" s="14" t="s">
        <v>77</v>
      </c>
      <c r="F27" s="191">
        <v>237.02</v>
      </c>
      <c r="G27" s="191">
        <v>227.1</v>
      </c>
      <c r="H27" s="191">
        <v>217.85</v>
      </c>
      <c r="I27" s="191">
        <v>208.59</v>
      </c>
      <c r="J27" s="191">
        <v>188.44</v>
      </c>
      <c r="K27" s="191">
        <v>182.07</v>
      </c>
      <c r="L27" s="191">
        <v>208.63</v>
      </c>
      <c r="M27" s="191">
        <v>165.31</v>
      </c>
      <c r="N27" s="191">
        <v>158.79</v>
      </c>
    </row>
    <row r="28" spans="3:14" ht="13.8" thickBot="1" x14ac:dyDescent="0.3">
      <c r="C28" s="4" t="s">
        <v>21</v>
      </c>
      <c r="D28" s="14" t="s">
        <v>78</v>
      </c>
      <c r="E28" s="14" t="s">
        <v>79</v>
      </c>
      <c r="F28" s="191">
        <v>224.47</v>
      </c>
      <c r="G28" s="191">
        <v>218.19</v>
      </c>
      <c r="H28" s="191">
        <v>213.05</v>
      </c>
      <c r="I28" s="191">
        <v>208.95</v>
      </c>
      <c r="J28" s="191">
        <v>201.78</v>
      </c>
      <c r="K28" s="191">
        <v>194.32</v>
      </c>
      <c r="L28" s="191">
        <v>205.37</v>
      </c>
      <c r="M28" s="191">
        <v>188.33</v>
      </c>
      <c r="N28" s="191">
        <v>177.42</v>
      </c>
    </row>
    <row r="29" spans="3:14" ht="24" thickBot="1" x14ac:dyDescent="0.3">
      <c r="C29" s="4" t="s">
        <v>22</v>
      </c>
      <c r="D29" s="14" t="s">
        <v>80</v>
      </c>
      <c r="E29" s="14"/>
      <c r="F29" s="191">
        <v>280.82</v>
      </c>
      <c r="G29" s="191">
        <v>270.89999999999998</v>
      </c>
      <c r="H29" s="191">
        <v>261.64999999999998</v>
      </c>
      <c r="I29" s="191">
        <v>252.39</v>
      </c>
      <c r="J29" s="191">
        <v>230.7</v>
      </c>
      <c r="K29" s="191">
        <v>224.32</v>
      </c>
      <c r="L29" s="191">
        <v>252.44</v>
      </c>
      <c r="M29" s="191">
        <v>207.56</v>
      </c>
      <c r="N29" s="191">
        <v>201.05</v>
      </c>
    </row>
    <row r="30" spans="3:14" ht="35.4" thickBot="1" x14ac:dyDescent="0.3">
      <c r="C30" s="4" t="s">
        <v>81</v>
      </c>
      <c r="D30" s="14" t="s">
        <v>82</v>
      </c>
      <c r="E30" s="14" t="s">
        <v>83</v>
      </c>
      <c r="F30" s="191">
        <v>159.68</v>
      </c>
      <c r="G30" s="191">
        <v>151.37</v>
      </c>
      <c r="H30" s="191">
        <v>141.04</v>
      </c>
      <c r="I30" s="191">
        <v>135.26</v>
      </c>
      <c r="J30" s="191">
        <v>119.37</v>
      </c>
      <c r="K30" s="191">
        <v>112.99</v>
      </c>
      <c r="L30" s="191">
        <v>128.38</v>
      </c>
      <c r="M30" s="191">
        <v>96.89</v>
      </c>
      <c r="N30" s="191">
        <v>89.39</v>
      </c>
    </row>
    <row r="31" spans="3:14" ht="24" thickBot="1" x14ac:dyDescent="0.3">
      <c r="C31" s="4" t="s">
        <v>84</v>
      </c>
      <c r="D31" s="14" t="s">
        <v>85</v>
      </c>
      <c r="E31" s="14" t="s">
        <v>86</v>
      </c>
      <c r="F31" s="191">
        <v>158.62</v>
      </c>
      <c r="G31" s="191">
        <v>150.31</v>
      </c>
      <c r="H31" s="191">
        <v>141.04</v>
      </c>
      <c r="I31" s="191">
        <v>134.19999999999999</v>
      </c>
      <c r="J31" s="191">
        <v>119.37</v>
      </c>
      <c r="K31" s="191">
        <v>111.93</v>
      </c>
      <c r="L31" s="191">
        <v>127.32</v>
      </c>
      <c r="M31" s="191">
        <v>96.89</v>
      </c>
      <c r="N31" s="191">
        <v>88.33</v>
      </c>
    </row>
    <row r="32" spans="3:14" ht="24" thickBot="1" x14ac:dyDescent="0.3">
      <c r="C32" s="4" t="s">
        <v>23</v>
      </c>
      <c r="D32" s="14" t="s">
        <v>87</v>
      </c>
      <c r="E32" s="14" t="s">
        <v>88</v>
      </c>
      <c r="F32" s="191">
        <v>122.19</v>
      </c>
      <c r="G32" s="191">
        <v>114.99</v>
      </c>
      <c r="H32" s="191">
        <v>106.98</v>
      </c>
      <c r="I32" s="191">
        <v>102.39</v>
      </c>
      <c r="J32" s="191">
        <v>91.18</v>
      </c>
      <c r="K32" s="191">
        <v>85.19</v>
      </c>
      <c r="L32" s="191">
        <v>97.45</v>
      </c>
      <c r="M32" s="191">
        <v>72.180000000000007</v>
      </c>
      <c r="N32" s="191">
        <v>68.75</v>
      </c>
    </row>
    <row r="33" spans="3:14" ht="35.4" thickBot="1" x14ac:dyDescent="0.3">
      <c r="C33" s="4" t="s">
        <v>95</v>
      </c>
      <c r="D33" s="14" t="s">
        <v>29</v>
      </c>
      <c r="E33" s="14" t="s">
        <v>89</v>
      </c>
      <c r="F33" s="191">
        <v>61.1</v>
      </c>
      <c r="G33" s="191">
        <v>57.5</v>
      </c>
      <c r="H33" s="191">
        <v>53.49</v>
      </c>
      <c r="I33" s="191">
        <v>51.19</v>
      </c>
      <c r="J33" s="191">
        <v>45.59</v>
      </c>
      <c r="K33" s="191">
        <v>42.59</v>
      </c>
      <c r="L33" s="191">
        <v>48.73</v>
      </c>
      <c r="M33" s="191">
        <v>36.090000000000003</v>
      </c>
      <c r="N33" s="191">
        <v>34.369999999999997</v>
      </c>
    </row>
    <row r="34" spans="3:14" x14ac:dyDescent="0.25">
      <c r="C34" s="20" t="s">
        <v>90</v>
      </c>
      <c r="D34" s="2"/>
      <c r="E34" s="2"/>
      <c r="F34" s="1"/>
      <c r="G34" s="1"/>
      <c r="H34" s="1"/>
      <c r="I34" s="1"/>
      <c r="J34" s="1"/>
      <c r="K34" s="1"/>
      <c r="L34" s="1"/>
      <c r="M34" s="1"/>
      <c r="N34" s="1"/>
    </row>
    <row r="35" spans="3:14" x14ac:dyDescent="0.25">
      <c r="C35" t="s">
        <v>91</v>
      </c>
      <c r="D35" s="2"/>
      <c r="E35" s="2"/>
      <c r="F35" s="1"/>
      <c r="G35" s="1"/>
      <c r="H35" s="1"/>
      <c r="I35" s="1"/>
      <c r="J35" s="1"/>
      <c r="K35" s="1"/>
      <c r="L35" s="1"/>
      <c r="M35" s="1"/>
      <c r="N35" s="1"/>
    </row>
    <row r="36" spans="3:14" x14ac:dyDescent="0.25">
      <c r="C36" t="s">
        <v>92</v>
      </c>
      <c r="D36" s="2"/>
      <c r="E36" s="2"/>
      <c r="F36" s="1"/>
      <c r="G36" s="1"/>
      <c r="H36" s="1"/>
      <c r="I36" s="1"/>
      <c r="J36" s="1"/>
      <c r="K36" s="1"/>
      <c r="L36" s="1"/>
      <c r="M36" s="1"/>
      <c r="N36" s="1"/>
    </row>
    <row r="37" spans="3:14" x14ac:dyDescent="0.25">
      <c r="C37" t="s">
        <v>93</v>
      </c>
      <c r="D37" s="2"/>
      <c r="E37" s="2"/>
      <c r="F37" s="1"/>
      <c r="G37" s="1"/>
      <c r="H37" s="1"/>
      <c r="I37" s="1"/>
      <c r="J37" s="1"/>
      <c r="K37" s="1"/>
      <c r="L37" s="1"/>
      <c r="M37" s="1"/>
      <c r="N37" s="1"/>
    </row>
    <row r="42" spans="3:14" x14ac:dyDescent="0.25">
      <c r="F42" s="190"/>
      <c r="G42" s="190"/>
      <c r="H42" s="190"/>
      <c r="I42" s="190"/>
      <c r="J42" s="190"/>
      <c r="K42" s="190"/>
      <c r="L42" s="190"/>
      <c r="M42" s="190"/>
      <c r="N42" s="190"/>
    </row>
    <row r="43" spans="3:14" x14ac:dyDescent="0.25">
      <c r="F43" s="190"/>
      <c r="G43" s="190"/>
      <c r="H43" s="190"/>
      <c r="I43" s="190"/>
      <c r="J43" s="190"/>
      <c r="K43" s="190"/>
      <c r="L43" s="190"/>
      <c r="M43" s="190"/>
      <c r="N43" s="190"/>
    </row>
    <row r="44" spans="3:14" x14ac:dyDescent="0.25">
      <c r="F44" s="190"/>
      <c r="G44" s="190"/>
      <c r="H44" s="190"/>
      <c r="I44" s="190"/>
      <c r="J44" s="190"/>
      <c r="K44" s="190"/>
      <c r="L44" s="190"/>
      <c r="M44" s="190"/>
      <c r="N44" s="190"/>
    </row>
    <row r="45" spans="3:14" x14ac:dyDescent="0.25">
      <c r="F45" s="190"/>
      <c r="G45" s="190"/>
      <c r="H45" s="190"/>
      <c r="I45" s="190"/>
      <c r="J45" s="190"/>
      <c r="K45" s="190"/>
      <c r="L45" s="190"/>
      <c r="M45" s="190"/>
      <c r="N45" s="190"/>
    </row>
    <row r="46" spans="3:14" x14ac:dyDescent="0.25">
      <c r="F46" s="190"/>
      <c r="G46" s="190"/>
      <c r="H46" s="190"/>
      <c r="I46" s="190"/>
      <c r="J46" s="190"/>
      <c r="K46" s="190"/>
      <c r="L46" s="190"/>
      <c r="M46" s="190"/>
      <c r="N46" s="190"/>
    </row>
    <row r="47" spans="3:14" x14ac:dyDescent="0.25">
      <c r="F47" s="190"/>
      <c r="G47" s="190"/>
      <c r="H47" s="190"/>
      <c r="I47" s="190"/>
      <c r="J47" s="190"/>
      <c r="K47" s="190"/>
      <c r="L47" s="190"/>
      <c r="M47" s="190"/>
      <c r="N47" s="190"/>
    </row>
    <row r="48" spans="3:14" x14ac:dyDescent="0.25">
      <c r="F48" s="190"/>
      <c r="G48" s="190"/>
      <c r="H48" s="190"/>
      <c r="I48" s="190"/>
      <c r="J48" s="190"/>
      <c r="K48" s="190"/>
      <c r="L48" s="190"/>
      <c r="M48" s="190"/>
      <c r="N48" s="190"/>
    </row>
    <row r="49" spans="6:14" x14ac:dyDescent="0.25">
      <c r="F49" s="190"/>
      <c r="G49" s="190"/>
      <c r="H49" s="190"/>
      <c r="I49" s="190"/>
      <c r="J49" s="190"/>
      <c r="K49" s="190"/>
      <c r="L49" s="190"/>
      <c r="M49" s="190"/>
      <c r="N49" s="190"/>
    </row>
    <row r="50" spans="6:14" x14ac:dyDescent="0.25">
      <c r="F50" s="190"/>
      <c r="G50" s="190"/>
      <c r="H50" s="190"/>
      <c r="I50" s="190"/>
      <c r="J50" s="190"/>
      <c r="K50" s="190"/>
      <c r="L50" s="190"/>
      <c r="M50" s="190"/>
      <c r="N50" s="190"/>
    </row>
    <row r="51" spans="6:14" x14ac:dyDescent="0.25">
      <c r="F51" s="190"/>
      <c r="G51" s="190"/>
      <c r="H51" s="190"/>
      <c r="I51" s="190"/>
      <c r="J51" s="190"/>
      <c r="K51" s="190"/>
      <c r="L51" s="190"/>
      <c r="M51" s="190"/>
      <c r="N51" s="190"/>
    </row>
    <row r="52" spans="6:14" x14ac:dyDescent="0.25">
      <c r="F52" s="190"/>
      <c r="G52" s="190"/>
      <c r="H52" s="190"/>
      <c r="I52" s="190"/>
      <c r="J52" s="190"/>
      <c r="K52" s="190"/>
      <c r="L52" s="190"/>
      <c r="M52" s="190"/>
      <c r="N52" s="190"/>
    </row>
    <row r="53" spans="6:14" x14ac:dyDescent="0.25">
      <c r="F53" s="190"/>
      <c r="G53" s="190"/>
      <c r="H53" s="190"/>
      <c r="I53" s="190"/>
      <c r="J53" s="190"/>
      <c r="K53" s="190"/>
      <c r="L53" s="190"/>
      <c r="M53" s="190"/>
      <c r="N53" s="190"/>
    </row>
    <row r="54" spans="6:14" x14ac:dyDescent="0.25">
      <c r="F54" s="190"/>
      <c r="G54" s="190"/>
      <c r="H54" s="190"/>
      <c r="I54" s="190"/>
      <c r="J54" s="190"/>
      <c r="K54" s="190"/>
      <c r="L54" s="190"/>
      <c r="M54" s="190"/>
      <c r="N54" s="190"/>
    </row>
    <row r="55" spans="6:14" x14ac:dyDescent="0.25">
      <c r="F55" s="190"/>
      <c r="G55" s="190"/>
      <c r="H55" s="190"/>
      <c r="I55" s="190"/>
      <c r="J55" s="190"/>
      <c r="K55" s="190"/>
      <c r="L55" s="190"/>
      <c r="M55" s="190"/>
      <c r="N55" s="190"/>
    </row>
    <row r="56" spans="6:14" x14ac:dyDescent="0.25">
      <c r="F56" s="190"/>
      <c r="G56" s="190"/>
      <c r="H56" s="190"/>
      <c r="I56" s="190"/>
      <c r="J56" s="190"/>
      <c r="K56" s="190"/>
      <c r="L56" s="190"/>
      <c r="M56" s="190"/>
      <c r="N56" s="190"/>
    </row>
    <row r="57" spans="6:14" x14ac:dyDescent="0.25">
      <c r="F57" s="190"/>
      <c r="G57" s="190"/>
      <c r="H57" s="190"/>
      <c r="I57" s="190"/>
      <c r="J57" s="190"/>
      <c r="K57" s="190"/>
      <c r="L57" s="190"/>
      <c r="M57" s="190"/>
      <c r="N57" s="190"/>
    </row>
    <row r="58" spans="6:14" x14ac:dyDescent="0.25">
      <c r="F58" s="190"/>
      <c r="G58" s="190"/>
      <c r="H58" s="190"/>
      <c r="I58" s="190"/>
      <c r="J58" s="190"/>
      <c r="K58" s="190"/>
      <c r="L58" s="190"/>
      <c r="M58" s="190"/>
      <c r="N58" s="190"/>
    </row>
    <row r="59" spans="6:14" x14ac:dyDescent="0.25">
      <c r="F59" s="190"/>
      <c r="G59" s="190"/>
      <c r="H59" s="190"/>
      <c r="I59" s="190"/>
      <c r="J59" s="190"/>
      <c r="K59" s="190"/>
      <c r="L59" s="190"/>
      <c r="M59" s="190"/>
      <c r="N59" s="190"/>
    </row>
    <row r="60" spans="6:14" x14ac:dyDescent="0.25">
      <c r="F60" s="190"/>
      <c r="G60" s="190"/>
      <c r="H60" s="190"/>
      <c r="I60" s="190"/>
      <c r="J60" s="190"/>
      <c r="K60" s="190"/>
      <c r="L60" s="190"/>
      <c r="M60" s="190"/>
      <c r="N60" s="190"/>
    </row>
    <row r="61" spans="6:14" x14ac:dyDescent="0.25">
      <c r="F61" s="190"/>
      <c r="G61" s="190"/>
      <c r="H61" s="190"/>
      <c r="I61" s="190"/>
      <c r="J61" s="190"/>
      <c r="K61" s="190"/>
      <c r="L61" s="190"/>
      <c r="M61" s="190"/>
      <c r="N61" s="190"/>
    </row>
    <row r="62" spans="6:14" x14ac:dyDescent="0.25">
      <c r="F62" s="190"/>
      <c r="G62" s="190"/>
      <c r="H62" s="190"/>
      <c r="I62" s="190"/>
      <c r="J62" s="190"/>
      <c r="K62" s="190"/>
      <c r="L62" s="190"/>
      <c r="M62" s="190"/>
      <c r="N62" s="190"/>
    </row>
    <row r="63" spans="6:14" x14ac:dyDescent="0.25">
      <c r="F63" s="190"/>
      <c r="G63" s="190"/>
      <c r="H63" s="190"/>
      <c r="I63" s="190"/>
      <c r="J63" s="190"/>
      <c r="K63" s="190"/>
      <c r="L63" s="190"/>
      <c r="M63" s="190"/>
      <c r="N63" s="190"/>
    </row>
    <row r="64" spans="6:14" x14ac:dyDescent="0.25">
      <c r="F64" s="190"/>
      <c r="G64" s="190"/>
      <c r="H64" s="190"/>
      <c r="I64" s="190"/>
      <c r="J64" s="190"/>
      <c r="K64" s="190"/>
      <c r="L64" s="190"/>
      <c r="M64" s="190"/>
      <c r="N64" s="190"/>
    </row>
    <row r="65" spans="6:14" x14ac:dyDescent="0.25">
      <c r="F65" s="190"/>
      <c r="G65" s="190"/>
      <c r="H65" s="190"/>
      <c r="I65" s="190"/>
      <c r="J65" s="190"/>
      <c r="K65" s="190"/>
      <c r="L65" s="190"/>
      <c r="M65" s="190"/>
      <c r="N65" s="190"/>
    </row>
    <row r="66" spans="6:14" x14ac:dyDescent="0.25">
      <c r="F66" s="190"/>
      <c r="G66" s="190"/>
      <c r="H66" s="190"/>
      <c r="I66" s="190"/>
      <c r="J66" s="190"/>
      <c r="K66" s="190"/>
      <c r="L66" s="190"/>
      <c r="M66" s="190"/>
      <c r="N66" s="190"/>
    </row>
    <row r="67" spans="6:14" x14ac:dyDescent="0.25">
      <c r="F67" s="190"/>
      <c r="G67" s="190"/>
      <c r="H67" s="190"/>
      <c r="I67" s="190"/>
      <c r="J67" s="190"/>
      <c r="K67" s="190"/>
      <c r="L67" s="190"/>
      <c r="M67" s="190"/>
      <c r="N67" s="190"/>
    </row>
    <row r="68" spans="6:14" x14ac:dyDescent="0.25">
      <c r="F68" s="190"/>
      <c r="G68" s="190"/>
      <c r="H68" s="190"/>
      <c r="I68" s="190"/>
      <c r="J68" s="190"/>
      <c r="K68" s="190"/>
      <c r="L68" s="190"/>
      <c r="M68" s="190"/>
      <c r="N68" s="190"/>
    </row>
    <row r="69" spans="6:14" x14ac:dyDescent="0.25">
      <c r="F69" s="190"/>
      <c r="G69" s="190"/>
      <c r="H69" s="190"/>
      <c r="I69" s="190"/>
      <c r="J69" s="190"/>
      <c r="K69" s="190"/>
      <c r="L69" s="190"/>
      <c r="M69" s="190"/>
      <c r="N69" s="190"/>
    </row>
    <row r="70" spans="6:14" x14ac:dyDescent="0.25">
      <c r="F70" s="190"/>
      <c r="G70" s="190"/>
      <c r="H70" s="190"/>
      <c r="I70" s="190"/>
      <c r="J70" s="190"/>
      <c r="K70" s="190"/>
      <c r="L70" s="190"/>
      <c r="M70" s="190"/>
      <c r="N70" s="190"/>
    </row>
    <row r="71" spans="6:14" x14ac:dyDescent="0.25">
      <c r="F71" s="190"/>
      <c r="G71" s="190"/>
      <c r="H71" s="190"/>
      <c r="I71" s="190"/>
      <c r="J71" s="190"/>
      <c r="K71" s="190"/>
      <c r="L71" s="190"/>
      <c r="M71" s="190"/>
      <c r="N71" s="190"/>
    </row>
    <row r="72" spans="6:14" x14ac:dyDescent="0.25">
      <c r="F72" s="190"/>
      <c r="G72" s="190"/>
      <c r="H72" s="190"/>
      <c r="I72" s="190"/>
      <c r="J72" s="190"/>
      <c r="K72" s="190"/>
      <c r="L72" s="190"/>
      <c r="M72" s="190"/>
      <c r="N72" s="190"/>
    </row>
    <row r="73" spans="6:14" x14ac:dyDescent="0.25">
      <c r="F73" s="190"/>
      <c r="G73" s="190"/>
      <c r="H73" s="190"/>
      <c r="I73" s="190"/>
      <c r="J73" s="190"/>
      <c r="K73" s="190"/>
      <c r="L73" s="190"/>
      <c r="M73" s="190"/>
      <c r="N73" s="190"/>
    </row>
    <row r="74" spans="6:14" x14ac:dyDescent="0.25">
      <c r="F74" s="190"/>
      <c r="G74" s="190"/>
      <c r="H74" s="190"/>
      <c r="I74" s="190"/>
      <c r="J74" s="190"/>
      <c r="K74" s="190"/>
      <c r="L74" s="190"/>
      <c r="M74" s="190"/>
      <c r="N74" s="190"/>
    </row>
    <row r="75" spans="6:14" x14ac:dyDescent="0.25">
      <c r="F75" s="190"/>
      <c r="G75" s="190"/>
      <c r="H75" s="190"/>
      <c r="I75" s="190"/>
      <c r="J75" s="190"/>
      <c r="K75" s="190"/>
      <c r="L75" s="190"/>
      <c r="M75" s="190"/>
      <c r="N75" s="190"/>
    </row>
    <row r="76" spans="6:14" x14ac:dyDescent="0.25">
      <c r="F76" s="190"/>
      <c r="G76" s="190"/>
      <c r="H76" s="190"/>
      <c r="I76" s="190"/>
      <c r="J76" s="190"/>
      <c r="K76" s="190"/>
      <c r="L76" s="190"/>
      <c r="M76" s="190"/>
      <c r="N76" s="190"/>
    </row>
  </sheetData>
  <mergeCells count="1">
    <mergeCell ref="F1:N1"/>
  </mergeCells>
  <phoneticPr fontId="3" type="noConversion"/>
  <pageMargins left="0.7" right="0.7" top="0.75" bottom="0.75" header="0.3" footer="0.3"/>
  <pageSetup scale="7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7"/>
  <sheetViews>
    <sheetView topLeftCell="A21" workbookViewId="0">
      <selection activeCell="I9" sqref="I9"/>
    </sheetView>
  </sheetViews>
  <sheetFormatPr defaultColWidth="9.109375" defaultRowHeight="11.4" x14ac:dyDescent="0.2"/>
  <cols>
    <col min="1" max="1" width="2" style="10" customWidth="1"/>
    <col min="2" max="2" width="2" style="10" bestFit="1" customWidth="1"/>
    <col min="3" max="3" width="16" style="10" bestFit="1" customWidth="1"/>
    <col min="4" max="4" width="12.88671875" style="10" bestFit="1" customWidth="1"/>
    <col min="5" max="5" width="8" style="10" bestFit="1" customWidth="1"/>
    <col min="6" max="6" width="10.33203125" style="10" bestFit="1" customWidth="1"/>
    <col min="7" max="7" width="3.33203125" style="10" customWidth="1"/>
    <col min="8" max="9" width="18.6640625" style="10" customWidth="1"/>
    <col min="10" max="16384" width="9.109375" style="10"/>
  </cols>
  <sheetData>
    <row r="1" spans="2:9" ht="29.25" customHeight="1" x14ac:dyDescent="0.25">
      <c r="C1" s="256" t="s">
        <v>167</v>
      </c>
      <c r="D1" s="216"/>
      <c r="E1" s="216"/>
      <c r="F1" s="216"/>
      <c r="G1" s="216"/>
      <c r="H1" s="216"/>
      <c r="I1" s="34"/>
    </row>
    <row r="3" spans="2:9" ht="23.4" x14ac:dyDescent="0.25">
      <c r="B3" s="21"/>
      <c r="C3" s="22"/>
      <c r="D3" s="23" t="s">
        <v>1</v>
      </c>
      <c r="E3" s="23" t="s">
        <v>5</v>
      </c>
      <c r="F3" s="23" t="s">
        <v>5</v>
      </c>
      <c r="G3" s="21"/>
      <c r="H3" s="157" t="s">
        <v>0</v>
      </c>
      <c r="I3" s="157" t="s">
        <v>166</v>
      </c>
    </row>
    <row r="4" spans="2:9" ht="12" x14ac:dyDescent="0.25">
      <c r="B4" s="21"/>
      <c r="C4" s="22"/>
      <c r="D4" s="23"/>
      <c r="E4" s="23"/>
      <c r="F4" s="23"/>
      <c r="G4" s="21"/>
      <c r="H4" s="157"/>
      <c r="I4" s="157"/>
    </row>
    <row r="5" spans="2:9" ht="12" x14ac:dyDescent="0.25">
      <c r="B5" s="21"/>
      <c r="C5" s="24">
        <v>1</v>
      </c>
      <c r="D5" s="25"/>
      <c r="E5" s="23"/>
      <c r="F5" s="23"/>
      <c r="G5" s="21"/>
      <c r="H5" s="157"/>
      <c r="I5" s="157"/>
    </row>
    <row r="6" spans="2:9" ht="12" x14ac:dyDescent="0.25">
      <c r="B6" s="21"/>
      <c r="C6" s="24">
        <v>1</v>
      </c>
      <c r="D6" s="25"/>
      <c r="E6" s="26">
        <v>100</v>
      </c>
      <c r="F6" s="26">
        <v>1000</v>
      </c>
      <c r="G6" s="21"/>
      <c r="H6" s="157"/>
      <c r="I6" s="157"/>
    </row>
    <row r="7" spans="2:9" ht="12" x14ac:dyDescent="0.25">
      <c r="B7" s="21" t="s">
        <v>2</v>
      </c>
      <c r="C7" s="24">
        <v>1000</v>
      </c>
      <c r="D7" s="27">
        <v>274</v>
      </c>
      <c r="E7" s="28">
        <v>0</v>
      </c>
      <c r="F7" s="23"/>
      <c r="G7" s="21"/>
      <c r="H7" s="158">
        <f>CEILING('Fee Estimator'!$I$61,100)</f>
        <v>293700</v>
      </c>
      <c r="I7" s="158">
        <f>IF(H7&lt;C7,(D7+(((H7-C5)/$E$6)*E7)),H7)</f>
        <v>293700</v>
      </c>
    </row>
    <row r="8" spans="2:9" ht="12" x14ac:dyDescent="0.25">
      <c r="B8" s="21" t="s">
        <v>3</v>
      </c>
      <c r="C8" s="24">
        <v>1000</v>
      </c>
      <c r="D8" s="27">
        <v>274</v>
      </c>
      <c r="E8" s="28">
        <v>0</v>
      </c>
      <c r="F8" s="23"/>
      <c r="G8" s="21"/>
      <c r="H8" s="158">
        <f>CEILING('Fee Estimator'!$I$61,100)</f>
        <v>293700</v>
      </c>
      <c r="I8" s="158">
        <f>IF(H8=C8,(D8+(((H8-C6)/$E$6)*E8)),H8)</f>
        <v>293700</v>
      </c>
    </row>
    <row r="9" spans="2:9" x14ac:dyDescent="0.2">
      <c r="B9" s="21" t="s">
        <v>2</v>
      </c>
      <c r="C9" s="24">
        <v>25000</v>
      </c>
      <c r="D9" s="27">
        <v>274</v>
      </c>
      <c r="E9" s="28">
        <v>1.35</v>
      </c>
      <c r="F9" s="30"/>
      <c r="G9" s="21"/>
      <c r="H9" s="158">
        <f>CEILING('Fee Estimator'!$I$61,100)</f>
        <v>293700</v>
      </c>
      <c r="I9" s="158">
        <f>IF(H9&lt;C9,(D9+(((H9-C7)/$E$6)*E9)),H9)</f>
        <v>293700</v>
      </c>
    </row>
    <row r="10" spans="2:9" x14ac:dyDescent="0.2">
      <c r="B10" s="21" t="s">
        <v>3</v>
      </c>
      <c r="C10" s="24">
        <v>25000</v>
      </c>
      <c r="D10" s="27">
        <v>274</v>
      </c>
      <c r="E10" s="28">
        <v>1.35</v>
      </c>
      <c r="F10" s="30"/>
      <c r="G10" s="21"/>
      <c r="H10" s="158">
        <f>CEILING('Fee Estimator'!$I$61,100)</f>
        <v>293700</v>
      </c>
      <c r="I10" s="158">
        <f>IF(H10=C10,(D10+(((H10-C8)/$E$6)*E10)),H10)</f>
        <v>293700</v>
      </c>
    </row>
    <row r="11" spans="2:9" x14ac:dyDescent="0.2">
      <c r="B11" s="21" t="s">
        <v>2</v>
      </c>
      <c r="C11" s="24">
        <v>50000</v>
      </c>
      <c r="D11" s="29">
        <v>598</v>
      </c>
      <c r="E11" s="28">
        <v>1.3</v>
      </c>
      <c r="F11" s="30"/>
      <c r="G11" s="21"/>
      <c r="H11" s="158">
        <f>CEILING('Fee Estimator'!$I$61,100)</f>
        <v>293700</v>
      </c>
      <c r="I11" s="158">
        <f>IF(H11&lt;C11,(D11+(((H11-C9)/$E$6)*E11)),H11)</f>
        <v>293700</v>
      </c>
    </row>
    <row r="12" spans="2:9" x14ac:dyDescent="0.2">
      <c r="B12" s="21" t="s">
        <v>3</v>
      </c>
      <c r="C12" s="24">
        <v>50000</v>
      </c>
      <c r="D12" s="29">
        <v>598</v>
      </c>
      <c r="E12" s="28">
        <v>1.3</v>
      </c>
      <c r="F12" s="30"/>
      <c r="G12" s="21"/>
      <c r="H12" s="158">
        <f>CEILING('Fee Estimator'!$I$61,100)</f>
        <v>293700</v>
      </c>
      <c r="I12" s="158">
        <f>IF(H12=C12,(D12+(((H12-C10)/$E$6)*E12)),H12)</f>
        <v>293700</v>
      </c>
    </row>
    <row r="13" spans="2:9" x14ac:dyDescent="0.2">
      <c r="B13" s="21" t="s">
        <v>2</v>
      </c>
      <c r="C13" s="24">
        <v>75000</v>
      </c>
      <c r="D13" s="29">
        <v>923</v>
      </c>
      <c r="E13" s="28">
        <v>1.25</v>
      </c>
      <c r="F13" s="30"/>
      <c r="G13" s="21"/>
      <c r="H13" s="158">
        <f>CEILING('Fee Estimator'!$I$61,100)</f>
        <v>293700</v>
      </c>
      <c r="I13" s="158">
        <f>IF(H13&lt;C13,(D13+(((H13-C11)/$E$6)*E13)),H13)</f>
        <v>293700</v>
      </c>
    </row>
    <row r="14" spans="2:9" x14ac:dyDescent="0.2">
      <c r="B14" s="21" t="s">
        <v>3</v>
      </c>
      <c r="C14" s="24">
        <v>75000</v>
      </c>
      <c r="D14" s="29">
        <v>923</v>
      </c>
      <c r="E14" s="28">
        <v>1.25</v>
      </c>
      <c r="F14" s="30"/>
      <c r="G14" s="21"/>
      <c r="H14" s="158">
        <f>CEILING('Fee Estimator'!$I$61,100)</f>
        <v>293700</v>
      </c>
      <c r="I14" s="158">
        <f>IF(H14=C14,(D14+(((H14-C12)/$E$6)*E14)),H14)</f>
        <v>293700</v>
      </c>
    </row>
    <row r="15" spans="2:9" x14ac:dyDescent="0.2">
      <c r="B15" s="21" t="s">
        <v>2</v>
      </c>
      <c r="C15" s="24">
        <v>100000</v>
      </c>
      <c r="D15" s="29">
        <v>1235.5</v>
      </c>
      <c r="E15" s="28">
        <v>1.2</v>
      </c>
      <c r="F15" s="30"/>
      <c r="G15" s="21"/>
      <c r="H15" s="158">
        <f>CEILING('Fee Estimator'!$I$61,100)</f>
        <v>293700</v>
      </c>
      <c r="I15" s="158">
        <f>IF(H15&lt;C15,(D15+(((H15-C13)/$E$6)*E15)),H15)</f>
        <v>293700</v>
      </c>
    </row>
    <row r="16" spans="2:9" x14ac:dyDescent="0.2">
      <c r="B16" s="21" t="s">
        <v>3</v>
      </c>
      <c r="C16" s="24">
        <f>100000</f>
        <v>100000</v>
      </c>
      <c r="D16" s="29">
        <v>1235.5</v>
      </c>
      <c r="E16" s="28">
        <v>1.2</v>
      </c>
      <c r="F16" s="30"/>
      <c r="G16" s="21"/>
      <c r="H16" s="158">
        <f>CEILING('Fee Estimator'!$I$61,100)</f>
        <v>293700</v>
      </c>
      <c r="I16" s="158">
        <f>IF(H16=C16,(D16+(((H16-C14)/$E$6)*E16)),H16)</f>
        <v>293700</v>
      </c>
    </row>
    <row r="17" spans="2:9" x14ac:dyDescent="0.2">
      <c r="B17" s="159" t="s">
        <v>2</v>
      </c>
      <c r="C17" s="160">
        <v>175000</v>
      </c>
      <c r="D17" s="179">
        <v>1535.5</v>
      </c>
      <c r="E17" s="161"/>
      <c r="F17" s="162">
        <v>6.5</v>
      </c>
      <c r="G17" s="159"/>
      <c r="H17" s="163">
        <f>CEILING('Fee Estimator'!$I$61,1000)</f>
        <v>294000</v>
      </c>
      <c r="I17" s="163">
        <f>IF(H17&lt;C17,(D17+(((H17-C15)/$F$6)*F17)),H17)</f>
        <v>294000</v>
      </c>
    </row>
    <row r="18" spans="2:9" x14ac:dyDescent="0.2">
      <c r="B18" s="21" t="s">
        <v>3</v>
      </c>
      <c r="C18" s="24">
        <v>175000</v>
      </c>
      <c r="D18" s="29">
        <v>1535.5</v>
      </c>
      <c r="E18" s="30"/>
      <c r="F18" s="28">
        <v>6.5</v>
      </c>
      <c r="G18" s="21"/>
      <c r="H18" s="158">
        <f>CEILING('Fee Estimator'!$I$61,1000)</f>
        <v>294000</v>
      </c>
      <c r="I18" s="158">
        <f>IF(H18=C18,(D18+(((H18-C16)/$F$6)*F18)),H18)</f>
        <v>294000</v>
      </c>
    </row>
    <row r="19" spans="2:9" x14ac:dyDescent="0.2">
      <c r="B19" s="21" t="s">
        <v>2</v>
      </c>
      <c r="C19" s="24">
        <v>250000</v>
      </c>
      <c r="D19" s="27">
        <v>2023</v>
      </c>
      <c r="E19" s="30"/>
      <c r="F19" s="28">
        <v>6.5</v>
      </c>
      <c r="G19" s="21"/>
      <c r="H19" s="158">
        <f>CEILING('Fee Estimator'!$I$61,1000)</f>
        <v>294000</v>
      </c>
      <c r="I19" s="158">
        <f>IF(H19&lt;C19,(D19+(((H19-C17)/$F$6)*F19)),H19)</f>
        <v>294000</v>
      </c>
    </row>
    <row r="20" spans="2:9" x14ac:dyDescent="0.2">
      <c r="B20" s="21" t="s">
        <v>3</v>
      </c>
      <c r="C20" s="24">
        <v>250000</v>
      </c>
      <c r="D20" s="27">
        <v>2023</v>
      </c>
      <c r="E20" s="30"/>
      <c r="F20" s="28">
        <v>6.5</v>
      </c>
      <c r="G20" s="21"/>
      <c r="H20" s="158">
        <f>CEILING('Fee Estimator'!$I$61,1000)</f>
        <v>294000</v>
      </c>
      <c r="I20" s="158">
        <f>IF(H20=C20,(D20+(((H20-C18)/$F$6)*F20)),H20)</f>
        <v>294000</v>
      </c>
    </row>
    <row r="21" spans="2:9" x14ac:dyDescent="0.2">
      <c r="B21" s="21" t="s">
        <v>2</v>
      </c>
      <c r="C21" s="24">
        <v>500000</v>
      </c>
      <c r="D21" s="27">
        <v>2510.5</v>
      </c>
      <c r="E21" s="30"/>
      <c r="F21" s="28">
        <v>6.25</v>
      </c>
      <c r="G21" s="21"/>
      <c r="H21" s="158">
        <f>CEILING('Fee Estimator'!$I$61,1000)</f>
        <v>294000</v>
      </c>
      <c r="I21" s="158">
        <f>IF(H21&lt;C21,(D21+(((H21-C19)/$F$6)*F21)),H21)</f>
        <v>2785.5</v>
      </c>
    </row>
    <row r="22" spans="2:9" x14ac:dyDescent="0.2">
      <c r="B22" s="21" t="s">
        <v>3</v>
      </c>
      <c r="C22" s="24">
        <v>500000</v>
      </c>
      <c r="D22" s="27">
        <v>2510.5</v>
      </c>
      <c r="E22" s="30"/>
      <c r="F22" s="28">
        <v>6.25</v>
      </c>
      <c r="G22" s="21"/>
      <c r="H22" s="158">
        <f>CEILING('Fee Estimator'!$I$61,1000)</f>
        <v>294000</v>
      </c>
      <c r="I22" s="158">
        <f>IF(H22=C22,(D22+(((H22-C20)/$F$6)*F22)),H22)</f>
        <v>294000</v>
      </c>
    </row>
    <row r="23" spans="2:9" x14ac:dyDescent="0.2">
      <c r="B23" s="21" t="s">
        <v>2</v>
      </c>
      <c r="C23" s="24">
        <v>750000</v>
      </c>
      <c r="D23" s="27">
        <v>4073</v>
      </c>
      <c r="E23" s="30"/>
      <c r="F23" s="28">
        <v>6</v>
      </c>
      <c r="G23" s="21"/>
      <c r="H23" s="158">
        <f>CEILING('Fee Estimator'!$I$61,1000)</f>
        <v>294000</v>
      </c>
      <c r="I23" s="158">
        <f>IF(H23&lt;C23,(D23+(((H23-C21)/$F$6)*F23)),H23)</f>
        <v>2837</v>
      </c>
    </row>
    <row r="24" spans="2:9" x14ac:dyDescent="0.2">
      <c r="B24" s="21" t="s">
        <v>3</v>
      </c>
      <c r="C24" s="24">
        <v>750000</v>
      </c>
      <c r="D24" s="27">
        <v>4073</v>
      </c>
      <c r="E24" s="30"/>
      <c r="F24" s="28">
        <v>6</v>
      </c>
      <c r="G24" s="21"/>
      <c r="H24" s="158">
        <f>CEILING('Fee Estimator'!$I$61,1000)</f>
        <v>294000</v>
      </c>
      <c r="I24" s="158">
        <f>IF(H24=C24,(D24+(((H24-C22)/$F$6)*F24)),H24)</f>
        <v>294000</v>
      </c>
    </row>
    <row r="25" spans="2:9" x14ac:dyDescent="0.2">
      <c r="B25" s="21" t="s">
        <v>2</v>
      </c>
      <c r="C25" s="24">
        <v>1000000</v>
      </c>
      <c r="D25" s="27">
        <v>5573</v>
      </c>
      <c r="E25" s="30"/>
      <c r="F25" s="28">
        <v>6</v>
      </c>
      <c r="G25" s="21"/>
      <c r="H25" s="158">
        <f>CEILING('Fee Estimator'!$I$61,1000)</f>
        <v>294000</v>
      </c>
      <c r="I25" s="158">
        <f>IF(H25&lt;C25,(D25+(((H25-C23)/$F$6)*F25)),H25)</f>
        <v>2837</v>
      </c>
    </row>
    <row r="26" spans="2:9" x14ac:dyDescent="0.2">
      <c r="B26" s="21" t="s">
        <v>3</v>
      </c>
      <c r="C26" s="24">
        <v>1000000</v>
      </c>
      <c r="D26" s="27">
        <v>5573</v>
      </c>
      <c r="E26" s="30"/>
      <c r="F26" s="28">
        <v>6</v>
      </c>
      <c r="G26" s="21"/>
      <c r="H26" s="158">
        <f>CEILING('Fee Estimator'!$I$61,1000)</f>
        <v>294000</v>
      </c>
      <c r="I26" s="158">
        <f>IF(H26=C26,(D26+(((H26-C24)/$F$6)*F26)),H26)</f>
        <v>294000</v>
      </c>
    </row>
    <row r="27" spans="2:9" x14ac:dyDescent="0.2">
      <c r="B27" s="21" t="s">
        <v>2</v>
      </c>
      <c r="C27" s="24">
        <v>1500000</v>
      </c>
      <c r="D27" s="27">
        <v>7073</v>
      </c>
      <c r="E27" s="30"/>
      <c r="F27" s="28">
        <v>5.75</v>
      </c>
      <c r="G27" s="21"/>
      <c r="H27" s="158">
        <f>CEILING('Fee Estimator'!$I$61,1000)</f>
        <v>294000</v>
      </c>
      <c r="I27" s="158">
        <f>IF(H27&lt;C27,(D27+(((H27-C25)/$F$6)*F27)),H27)</f>
        <v>3013.5</v>
      </c>
    </row>
    <row r="28" spans="2:9" x14ac:dyDescent="0.2">
      <c r="B28" s="21" t="s">
        <v>3</v>
      </c>
      <c r="C28" s="24">
        <v>1500000</v>
      </c>
      <c r="D28" s="27">
        <v>7073</v>
      </c>
      <c r="E28" s="30"/>
      <c r="F28" s="28">
        <v>5.75</v>
      </c>
      <c r="G28" s="21"/>
      <c r="H28" s="158">
        <f>CEILING('Fee Estimator'!$I$61,1000)</f>
        <v>294000</v>
      </c>
      <c r="I28" s="158">
        <f>IF(H28=C28,(D28+(((H28-C26)/$F$6)*F28)),H28)</f>
        <v>294000</v>
      </c>
    </row>
    <row r="29" spans="2:9" x14ac:dyDescent="0.2">
      <c r="B29" s="21" t="s">
        <v>2</v>
      </c>
      <c r="C29" s="24">
        <v>2000000</v>
      </c>
      <c r="D29" s="27">
        <v>9948</v>
      </c>
      <c r="E29" s="30"/>
      <c r="F29" s="28">
        <v>5.75</v>
      </c>
      <c r="G29" s="21"/>
      <c r="H29" s="158">
        <f>CEILING('Fee Estimator'!$I$61,1000)</f>
        <v>294000</v>
      </c>
      <c r="I29" s="158">
        <f>IF(H29&lt;C29,(D29+(((H29-C27)/$F$6)*F29)),H29)</f>
        <v>3013.5</v>
      </c>
    </row>
    <row r="30" spans="2:9" x14ac:dyDescent="0.2">
      <c r="B30" s="21" t="s">
        <v>3</v>
      </c>
      <c r="C30" s="24">
        <v>2000000</v>
      </c>
      <c r="D30" s="27">
        <v>9948</v>
      </c>
      <c r="E30" s="30"/>
      <c r="F30" s="28">
        <v>5.75</v>
      </c>
      <c r="G30" s="21"/>
      <c r="H30" s="158">
        <f>CEILING('Fee Estimator'!$I$61,1000)</f>
        <v>294000</v>
      </c>
      <c r="I30" s="158">
        <f>IF(H30=C30,(D30+(((H30-C28)/$F$6)*F30)),H30)</f>
        <v>294000</v>
      </c>
    </row>
    <row r="31" spans="2:9" x14ac:dyDescent="0.2">
      <c r="B31" s="21" t="s">
        <v>2</v>
      </c>
      <c r="C31" s="24">
        <v>2500000</v>
      </c>
      <c r="D31" s="27">
        <v>12698</v>
      </c>
      <c r="E31" s="30"/>
      <c r="F31" s="28">
        <v>5</v>
      </c>
      <c r="G31" s="21"/>
      <c r="H31" s="158">
        <f>CEILING('Fee Estimator'!$I$61,1000)</f>
        <v>294000</v>
      </c>
      <c r="I31" s="158">
        <f>IF(H31&lt;C31,(D31+(((H31-C29)/$F$6)*F31)),H31)</f>
        <v>4168</v>
      </c>
    </row>
    <row r="32" spans="2:9" x14ac:dyDescent="0.2">
      <c r="B32" s="21" t="s">
        <v>3</v>
      </c>
      <c r="C32" s="24">
        <v>2500000</v>
      </c>
      <c r="D32" s="27">
        <v>12698</v>
      </c>
      <c r="E32" s="30"/>
      <c r="F32" s="28">
        <v>5</v>
      </c>
      <c r="G32" s="21"/>
      <c r="H32" s="158">
        <f>CEILING('Fee Estimator'!$I$61,1000)</f>
        <v>294000</v>
      </c>
      <c r="I32" s="158">
        <f>IF(H32=C32,(D32+(((H32-C30)/$F$6)*F32)),H32)</f>
        <v>294000</v>
      </c>
    </row>
    <row r="33" spans="2:9" x14ac:dyDescent="0.2">
      <c r="B33" s="21" t="s">
        <v>2</v>
      </c>
      <c r="C33" s="24">
        <v>3000000</v>
      </c>
      <c r="D33" s="27">
        <v>15198</v>
      </c>
      <c r="E33" s="30"/>
      <c r="F33" s="28">
        <v>5</v>
      </c>
      <c r="G33" s="21"/>
      <c r="H33" s="158">
        <f>CEILING('Fee Estimator'!$I$61,1000)</f>
        <v>294000</v>
      </c>
      <c r="I33" s="158">
        <f>IF(H33&lt;C33,(D33+(((H33-C31)/$F$6)*F33)),H33)</f>
        <v>4168</v>
      </c>
    </row>
    <row r="34" spans="2:9" x14ac:dyDescent="0.2">
      <c r="B34" s="21" t="s">
        <v>3</v>
      </c>
      <c r="C34" s="24">
        <v>3000000</v>
      </c>
      <c r="D34" s="27">
        <v>15198</v>
      </c>
      <c r="E34" s="30"/>
      <c r="F34" s="28">
        <v>5</v>
      </c>
      <c r="G34" s="21"/>
      <c r="H34" s="158">
        <f>CEILING('Fee Estimator'!$I$61,1000)</f>
        <v>294000</v>
      </c>
      <c r="I34" s="158">
        <f>IF(H34=C34,(D34+(((H34-C32)/$F$6)*F34)),H34)</f>
        <v>294000</v>
      </c>
    </row>
    <row r="35" spans="2:9" x14ac:dyDescent="0.2">
      <c r="B35" s="21" t="s">
        <v>2</v>
      </c>
      <c r="C35" s="24">
        <v>3500000</v>
      </c>
      <c r="D35" s="27">
        <v>17698</v>
      </c>
      <c r="E35" s="30"/>
      <c r="F35" s="28">
        <v>4.5</v>
      </c>
      <c r="G35" s="21"/>
      <c r="H35" s="158">
        <f>CEILING('Fee Estimator'!$I$61,1000)</f>
        <v>294000</v>
      </c>
      <c r="I35" s="158">
        <f>IF(H35&lt;C35,(D35+(((H35-C33)/$F$6)*F35)),H35)</f>
        <v>5521</v>
      </c>
    </row>
    <row r="36" spans="2:9" x14ac:dyDescent="0.2">
      <c r="B36" s="21" t="s">
        <v>3</v>
      </c>
      <c r="C36" s="24">
        <v>3500000</v>
      </c>
      <c r="D36" s="27">
        <v>17698</v>
      </c>
      <c r="E36" s="30"/>
      <c r="F36" s="28">
        <v>4.5</v>
      </c>
      <c r="G36" s="21"/>
      <c r="H36" s="158">
        <f>CEILING('Fee Estimator'!$I$61,1000)</f>
        <v>294000</v>
      </c>
      <c r="I36" s="158">
        <f>IF(H36=C36,(D36+(((H36-C34)/$F$6)*F36)),H36)</f>
        <v>294000</v>
      </c>
    </row>
    <row r="37" spans="2:9" x14ac:dyDescent="0.2">
      <c r="B37" s="21" t="s">
        <v>2</v>
      </c>
      <c r="C37" s="24">
        <v>4000000</v>
      </c>
      <c r="D37" s="27">
        <v>19948</v>
      </c>
      <c r="E37" s="30"/>
      <c r="F37" s="28">
        <v>4.5</v>
      </c>
      <c r="G37" s="21"/>
      <c r="H37" s="158">
        <f>CEILING('Fee Estimator'!$I$61,1000)</f>
        <v>294000</v>
      </c>
      <c r="I37" s="158">
        <f>IF(H37&lt;C37,(D37+(((H37-C35)/$F$6)*F37)),H37)</f>
        <v>5521</v>
      </c>
    </row>
    <row r="38" spans="2:9" x14ac:dyDescent="0.2">
      <c r="B38" s="21" t="s">
        <v>3</v>
      </c>
      <c r="C38" s="24">
        <v>4000000</v>
      </c>
      <c r="D38" s="27">
        <v>19948</v>
      </c>
      <c r="E38" s="30"/>
      <c r="F38" s="28">
        <v>4.5</v>
      </c>
      <c r="G38" s="21"/>
      <c r="H38" s="158">
        <f>CEILING('Fee Estimator'!$I$61,1000)</f>
        <v>294000</v>
      </c>
      <c r="I38" s="158">
        <f>IF(H38=C38,(D38+(((H38-C36)/$F$6)*F38)),H38)</f>
        <v>294000</v>
      </c>
    </row>
    <row r="39" spans="2:9" x14ac:dyDescent="0.2">
      <c r="B39" s="21" t="s">
        <v>2</v>
      </c>
      <c r="C39" s="24">
        <v>4500000</v>
      </c>
      <c r="D39" s="27">
        <v>22073</v>
      </c>
      <c r="E39" s="30"/>
      <c r="F39" s="28">
        <v>3.75</v>
      </c>
      <c r="G39" s="21"/>
      <c r="H39" s="158">
        <f>CEILING('Fee Estimator'!$I$61,1000)</f>
        <v>294000</v>
      </c>
      <c r="I39" s="158">
        <f>IF(H39&lt;C39,(D39+(((H39-C37)/$F$6)*F39)),H39)</f>
        <v>8175.5</v>
      </c>
    </row>
    <row r="40" spans="2:9" x14ac:dyDescent="0.2">
      <c r="B40" s="21" t="s">
        <v>3</v>
      </c>
      <c r="C40" s="24">
        <v>4500000</v>
      </c>
      <c r="D40" s="27">
        <v>22073</v>
      </c>
      <c r="E40" s="30"/>
      <c r="F40" s="28">
        <v>3.75</v>
      </c>
      <c r="G40" s="21"/>
      <c r="H40" s="158">
        <f>CEILING('Fee Estimator'!$I$61,1000)</f>
        <v>294000</v>
      </c>
      <c r="I40" s="158">
        <f>IF(H40=C40,(D40+(((H40-C38)/$F$6)*F40)),H40)</f>
        <v>294000</v>
      </c>
    </row>
    <row r="41" spans="2:9" x14ac:dyDescent="0.2">
      <c r="B41" s="21" t="s">
        <v>2</v>
      </c>
      <c r="C41" s="24">
        <v>5000000</v>
      </c>
      <c r="D41" s="27">
        <v>23948</v>
      </c>
      <c r="E41" s="30"/>
      <c r="F41" s="28">
        <v>3.75</v>
      </c>
      <c r="G41" s="21"/>
      <c r="H41" s="158">
        <f>CEILING('Fee Estimator'!$I$61,1000)</f>
        <v>294000</v>
      </c>
      <c r="I41" s="158">
        <f>IF(H41&lt;C41,(D41+(((H41-C39)/$F$6)*F41)),H41)</f>
        <v>8175.5</v>
      </c>
    </row>
    <row r="42" spans="2:9" x14ac:dyDescent="0.2">
      <c r="B42" s="21" t="s">
        <v>3</v>
      </c>
      <c r="C42" s="24">
        <v>5000000</v>
      </c>
      <c r="D42" s="27">
        <v>23948</v>
      </c>
      <c r="E42" s="30"/>
      <c r="F42" s="28">
        <v>3.75</v>
      </c>
      <c r="G42" s="21"/>
      <c r="H42" s="158">
        <f>CEILING('Fee Estimator'!$I$61,1000)</f>
        <v>294000</v>
      </c>
      <c r="I42" s="158">
        <f>IF(H42=C42,(D42+(((H42-C40)/$F$6)*F42)),H42)</f>
        <v>294000</v>
      </c>
    </row>
    <row r="43" spans="2:9" x14ac:dyDescent="0.2">
      <c r="B43" s="21" t="s">
        <v>2</v>
      </c>
      <c r="C43" s="24">
        <v>10000000</v>
      </c>
      <c r="D43" s="27">
        <v>25823</v>
      </c>
      <c r="E43" s="30"/>
      <c r="F43" s="28">
        <v>3.25</v>
      </c>
      <c r="G43" s="21"/>
      <c r="H43" s="158">
        <f>CEILING('Fee Estimator'!$I$61,1000)</f>
        <v>294000</v>
      </c>
      <c r="I43" s="158">
        <f>IF(H43&lt;C43,(D43+(((H43-C41)/$F$6)*F43)),H43)</f>
        <v>10528.5</v>
      </c>
    </row>
    <row r="44" spans="2:9" x14ac:dyDescent="0.2">
      <c r="B44" s="21" t="s">
        <v>3</v>
      </c>
      <c r="C44" s="24">
        <v>10000000</v>
      </c>
      <c r="D44" s="27">
        <v>25823</v>
      </c>
      <c r="E44" s="30"/>
      <c r="F44" s="28">
        <v>3.25</v>
      </c>
      <c r="G44" s="21"/>
      <c r="H44" s="158">
        <f>CEILING('Fee Estimator'!$I$61,1000)</f>
        <v>294000</v>
      </c>
      <c r="I44" s="158">
        <f>IF(H44=C44,(D44+(((H44-C42)/$F$6)*F44)),H44)</f>
        <v>294000</v>
      </c>
    </row>
    <row r="45" spans="2:9" x14ac:dyDescent="0.2">
      <c r="B45" s="21" t="s">
        <v>2</v>
      </c>
      <c r="C45" s="24">
        <v>25000000</v>
      </c>
      <c r="D45" s="27">
        <v>42073</v>
      </c>
      <c r="E45" s="30"/>
      <c r="F45" s="28">
        <v>3.25</v>
      </c>
      <c r="G45" s="21"/>
      <c r="H45" s="158">
        <f>CEILING('Fee Estimator'!$I$61,1000)</f>
        <v>294000</v>
      </c>
      <c r="I45" s="158">
        <f>IF(H45&lt;C45,(D45+(((H45-C43)/$F$6)*F45)),H45)</f>
        <v>10528.5</v>
      </c>
    </row>
    <row r="46" spans="2:9" x14ac:dyDescent="0.2">
      <c r="B46" s="21" t="s">
        <v>3</v>
      </c>
      <c r="C46" s="24">
        <v>25000000</v>
      </c>
      <c r="D46" s="27">
        <v>42073</v>
      </c>
      <c r="E46" s="30"/>
      <c r="F46" s="28">
        <v>3.25</v>
      </c>
      <c r="G46" s="21"/>
      <c r="H46" s="158">
        <f>CEILING('Fee Estimator'!$I$61,1000)</f>
        <v>294000</v>
      </c>
      <c r="I46" s="158">
        <f>IF(H46=C46,(D46+(((H46-C44)/$F$6)*F46)),H46)</f>
        <v>294000</v>
      </c>
    </row>
    <row r="47" spans="2:9" x14ac:dyDescent="0.2">
      <c r="B47" s="21" t="s">
        <v>2</v>
      </c>
      <c r="C47" s="24">
        <v>50000000</v>
      </c>
      <c r="D47" s="27">
        <v>90823</v>
      </c>
      <c r="E47" s="30"/>
      <c r="F47" s="28">
        <v>3.25</v>
      </c>
      <c r="G47" s="21"/>
      <c r="H47" s="158">
        <f>CEILING('Fee Estimator'!$I$61,1000)</f>
        <v>294000</v>
      </c>
      <c r="I47" s="158">
        <f>IF(H47&lt;C47,(D47+(((H47-C45)/$F$6)*F47)),H47)</f>
        <v>10528.5</v>
      </c>
    </row>
    <row r="48" spans="2:9" x14ac:dyDescent="0.2">
      <c r="B48" s="21" t="s">
        <v>3</v>
      </c>
      <c r="C48" s="24">
        <v>50000000</v>
      </c>
      <c r="D48" s="27">
        <v>90823</v>
      </c>
      <c r="E48" s="30"/>
      <c r="F48" s="28">
        <v>3.25</v>
      </c>
      <c r="G48" s="21"/>
      <c r="H48" s="158">
        <f>CEILING('Fee Estimator'!$I$61,1000)</f>
        <v>294000</v>
      </c>
      <c r="I48" s="158">
        <f>IF(H48=C48,(D48+(((H48-C46)/$F$6)*F48)),H48)</f>
        <v>294000</v>
      </c>
    </row>
    <row r="49" spans="2:9" x14ac:dyDescent="0.2">
      <c r="B49" s="21" t="s">
        <v>2</v>
      </c>
      <c r="C49" s="24">
        <v>75000000</v>
      </c>
      <c r="D49" s="27">
        <v>172073</v>
      </c>
      <c r="E49" s="30"/>
      <c r="F49" s="28">
        <v>2.75</v>
      </c>
      <c r="G49" s="21"/>
      <c r="H49" s="158">
        <f>CEILING('Fee Estimator'!$I$61,1000)</f>
        <v>294000</v>
      </c>
      <c r="I49" s="158">
        <f>IF(H49&lt;C49,(D49+(((H49-C47)/$F$6)*F49)),H49)</f>
        <v>35381.5</v>
      </c>
    </row>
    <row r="50" spans="2:9" x14ac:dyDescent="0.2">
      <c r="B50" s="21" t="s">
        <v>3</v>
      </c>
      <c r="C50" s="24">
        <v>75000000</v>
      </c>
      <c r="D50" s="27">
        <v>172073</v>
      </c>
      <c r="E50" s="30"/>
      <c r="F50" s="28">
        <v>2.75</v>
      </c>
      <c r="G50" s="21"/>
      <c r="H50" s="158">
        <f>CEILING('Fee Estimator'!$I$61,1000)</f>
        <v>294000</v>
      </c>
      <c r="I50" s="158">
        <f>IF(H50=C50,(D50+(((H50-C48)/$F$6)*F50)),H50)</f>
        <v>294000</v>
      </c>
    </row>
    <row r="51" spans="2:9" x14ac:dyDescent="0.2">
      <c r="B51" s="21" t="s">
        <v>2</v>
      </c>
      <c r="C51" s="24">
        <v>100000000</v>
      </c>
      <c r="D51" s="27">
        <v>240823</v>
      </c>
      <c r="E51" s="30"/>
      <c r="F51" s="28">
        <v>2.75</v>
      </c>
      <c r="G51" s="21"/>
      <c r="H51" s="158">
        <f>CEILING('Fee Estimator'!$I$61,1000)</f>
        <v>294000</v>
      </c>
      <c r="I51" s="158">
        <f>IF(H51&lt;C51,(D51+(((H51-C49)/$F$6)*F51)),H51)</f>
        <v>35381.5</v>
      </c>
    </row>
    <row r="52" spans="2:9" x14ac:dyDescent="0.2">
      <c r="B52" s="21" t="s">
        <v>3</v>
      </c>
      <c r="C52" s="24">
        <v>100000000</v>
      </c>
      <c r="D52" s="27">
        <v>240823</v>
      </c>
      <c r="E52" s="30"/>
      <c r="F52" s="28">
        <v>2.75</v>
      </c>
      <c r="G52" s="21"/>
      <c r="H52" s="158">
        <f>CEILING('Fee Estimator'!$I$61,1000)</f>
        <v>294000</v>
      </c>
      <c r="I52" s="158">
        <f>IF(H52=C52,(D52+(((H52-C50)/$F$6)*F52)),H52)</f>
        <v>294000</v>
      </c>
    </row>
    <row r="53" spans="2:9" x14ac:dyDescent="0.2">
      <c r="B53" s="21" t="s">
        <v>2</v>
      </c>
      <c r="C53" s="24">
        <v>150000000</v>
      </c>
      <c r="D53" s="27">
        <v>309573</v>
      </c>
      <c r="E53" s="30"/>
      <c r="F53" s="28">
        <v>2.25</v>
      </c>
      <c r="G53" s="21"/>
      <c r="H53" s="158">
        <f>CEILING('Fee Estimator'!$I$61,1000)</f>
        <v>294000</v>
      </c>
      <c r="I53" s="158">
        <f>IF(H53&lt;C53,(D53+(((H53-C51)/$F$6)*F53)),H53)</f>
        <v>85234.5</v>
      </c>
    </row>
    <row r="54" spans="2:9" x14ac:dyDescent="0.2">
      <c r="B54" s="21" t="s">
        <v>3</v>
      </c>
      <c r="C54" s="24">
        <v>150000000</v>
      </c>
      <c r="D54" s="27">
        <v>309573</v>
      </c>
      <c r="E54" s="30"/>
      <c r="F54" s="28">
        <v>2.25</v>
      </c>
      <c r="G54" s="21"/>
      <c r="H54" s="158">
        <f>CEILING('Fee Estimator'!$I$61,1000)</f>
        <v>294000</v>
      </c>
      <c r="I54" s="158">
        <f>IF(H54=C54,(D54+(((H54-C52)/$F$6)*F54)),H54)</f>
        <v>294000</v>
      </c>
    </row>
    <row r="55" spans="2:9" x14ac:dyDescent="0.2">
      <c r="B55" s="21" t="s">
        <v>2</v>
      </c>
      <c r="C55" s="24">
        <v>200000000</v>
      </c>
      <c r="D55" s="27">
        <v>422073</v>
      </c>
      <c r="E55" s="30"/>
      <c r="F55" s="28">
        <v>2.25</v>
      </c>
      <c r="G55" s="21"/>
      <c r="H55" s="158">
        <f>CEILING('Fee Estimator'!$I$61,1000)</f>
        <v>294000</v>
      </c>
      <c r="I55" s="158">
        <f>IF(H55&lt;C55,(D55+(((H55-C53)/$F$6)*F55)),H55)</f>
        <v>85234.5</v>
      </c>
    </row>
    <row r="56" spans="2:9" x14ac:dyDescent="0.2">
      <c r="B56" s="21" t="s">
        <v>3</v>
      </c>
      <c r="C56" s="24">
        <v>200000000</v>
      </c>
      <c r="D56" s="27">
        <v>422073</v>
      </c>
      <c r="E56" s="30"/>
      <c r="F56" s="28">
        <v>2.25</v>
      </c>
      <c r="G56" s="21"/>
      <c r="H56" s="158">
        <f>CEILING('Fee Estimator'!$I$61,1000)</f>
        <v>294000</v>
      </c>
      <c r="I56" s="158">
        <f>IF(H56=C56,(D56+(((H56-C54)/$F$6)*F56)),H56)</f>
        <v>294000</v>
      </c>
    </row>
    <row r="57" spans="2:9" x14ac:dyDescent="0.2">
      <c r="B57" s="21" t="s">
        <v>4</v>
      </c>
      <c r="C57" s="24">
        <v>200000000</v>
      </c>
      <c r="D57" s="27">
        <v>534573</v>
      </c>
      <c r="E57" s="30"/>
      <c r="F57" s="28">
        <v>2</v>
      </c>
      <c r="G57" s="21"/>
      <c r="H57" s="158">
        <f>CEILING('Fee Estimator'!$I$61,1000)</f>
        <v>294000</v>
      </c>
      <c r="I57" s="158">
        <f>IF(H57&gt;C57,(D57+(((H57-C55)/$F$6)*F57)),H57)</f>
        <v>294000</v>
      </c>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BVD</vt:lpstr>
      <vt:lpstr>Table D-1</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2025</dc:title>
  <dc:subject>DPD Fee Estimator</dc:subject>
  <dc:creator>Wendy Shark</dc:creator>
  <cp:lastModifiedBy>Callison, Moon</cp:lastModifiedBy>
  <cp:lastPrinted>2016-12-22T15:19:03Z</cp:lastPrinted>
  <dcterms:created xsi:type="dcterms:W3CDTF">2006-09-20T20:45:29Z</dcterms:created>
  <dcterms:modified xsi:type="dcterms:W3CDTF">2025-01-03T00:05:45Z</dcterms:modified>
</cp:coreProperties>
</file>