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24226"/>
  <mc:AlternateContent xmlns:mc="http://schemas.openxmlformats.org/markup-compatibility/2006">
    <mc:Choice Requires="x15">
      <x15ac:absPath xmlns:x15ac="http://schemas.microsoft.com/office/spreadsheetml/2010/11/ac" url="C:\Users\callism\Desktop\"/>
    </mc:Choice>
  </mc:AlternateContent>
  <xr:revisionPtr revIDLastSave="0" documentId="8_{222A2FBC-DBA8-497F-9E66-A312AF768384}" xr6:coauthVersionLast="45" xr6:coauthVersionMax="45" xr10:uidLastSave="{00000000-0000-0000-0000-000000000000}"/>
  <workbookProtection workbookAlgorithmName="SHA-512" workbookHashValue="w63MNzq80QmSccAkYNoRfqG+v/g7QEerHZITm7IATAq75k8SGRbFuiPTsockrSMNDltfBczcYQz/KQFZ0vS7Fg==" workbookSaltValue="quYFa1+JvH+3HV8M821JiQ==" workbookSpinCount="100000" lockStructure="1"/>
  <bookViews>
    <workbookView xWindow="35385" yWindow="1260" windowWidth="19185" windowHeight="10185" xr2:uid="{00000000-000D-0000-FFFF-FFFF00000000}"/>
  </bookViews>
  <sheets>
    <sheet name="Fee Estimator" sheetId="3" r:id="rId1"/>
    <sheet name="Table D-1" sheetId="4" state="hidden" r:id="rId2"/>
    <sheet name="BVD" sheetId="5" state="hidden" r:id="rId3"/>
  </sheets>
  <definedNames>
    <definedName name="ConstType">BVD!$F$5:$N$5</definedName>
    <definedName name="OccupancyGroup">BVD!$C$6:$C$33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6" i="3" l="1"/>
  <c r="K57" i="3" l="1"/>
  <c r="K56" i="3"/>
  <c r="G8" i="3"/>
  <c r="H8" i="3" s="1"/>
  <c r="I8" i="3" s="1"/>
  <c r="G9" i="3"/>
  <c r="H9" i="3" s="1"/>
  <c r="I9" i="3" s="1"/>
  <c r="G10" i="3"/>
  <c r="H10" i="3" s="1"/>
  <c r="I10" i="3" s="1"/>
  <c r="H16" i="3"/>
  <c r="I16" i="3" s="1"/>
  <c r="H17" i="3"/>
  <c r="I17" i="3" s="1"/>
  <c r="H18" i="3"/>
  <c r="I18" i="3" s="1"/>
  <c r="H19" i="3"/>
  <c r="I19" i="3" s="1"/>
  <c r="H20" i="3"/>
  <c r="I20" i="3" s="1"/>
  <c r="H21" i="3"/>
  <c r="I21" i="3" s="1"/>
  <c r="H22" i="3"/>
  <c r="I22" i="3" s="1"/>
  <c r="H23" i="3"/>
  <c r="I23" i="3" s="1"/>
  <c r="H24" i="3"/>
  <c r="I24" i="3" s="1"/>
  <c r="H25" i="3"/>
  <c r="I25" i="3" s="1"/>
  <c r="H26" i="3"/>
  <c r="I26" i="3" s="1"/>
  <c r="H27" i="3"/>
  <c r="I27" i="3" s="1"/>
  <c r="H28" i="3"/>
  <c r="I28" i="3" s="1"/>
  <c r="H29" i="3"/>
  <c r="I29" i="3" s="1"/>
  <c r="H30" i="3"/>
  <c r="I30" i="3" s="1"/>
  <c r="H31" i="3"/>
  <c r="I31" i="3" s="1"/>
  <c r="H32" i="3"/>
  <c r="I32" i="3" s="1"/>
  <c r="H33" i="3"/>
  <c r="I33" i="3" s="1"/>
  <c r="H34" i="3"/>
  <c r="I34" i="3" s="1"/>
  <c r="H35" i="3"/>
  <c r="I35" i="3" s="1"/>
  <c r="G20" i="3"/>
  <c r="G21" i="3"/>
  <c r="G22" i="3"/>
  <c r="G23" i="3"/>
  <c r="G24" i="3"/>
  <c r="G25" i="3"/>
  <c r="G26" i="3"/>
  <c r="G27" i="3"/>
  <c r="G28" i="3"/>
  <c r="G29" i="3"/>
  <c r="G30" i="3"/>
  <c r="G31" i="3"/>
  <c r="G32" i="3"/>
  <c r="G33" i="3"/>
  <c r="G34" i="3"/>
  <c r="G35" i="3"/>
  <c r="G11" i="3"/>
  <c r="H11" i="3" s="1"/>
  <c r="I11" i="3" s="1"/>
  <c r="G19" i="3"/>
  <c r="G18" i="3"/>
  <c r="G17" i="3"/>
  <c r="G16" i="3"/>
  <c r="G15" i="3"/>
  <c r="H15" i="3" s="1"/>
  <c r="I15" i="3" s="1"/>
  <c r="G14" i="3"/>
  <c r="H14" i="3" s="1"/>
  <c r="I14" i="3" s="1"/>
  <c r="G13" i="3"/>
  <c r="H13" i="3" s="1"/>
  <c r="I13" i="3" s="1"/>
  <c r="G12" i="3"/>
  <c r="H12" i="3" s="1"/>
  <c r="I12" i="3" s="1"/>
  <c r="C16" i="4"/>
  <c r="I36" i="3" l="1"/>
  <c r="I41" i="3" l="1"/>
  <c r="I48" i="3"/>
  <c r="I61" i="3" s="1"/>
  <c r="H7" i="4" l="1"/>
  <c r="I7" i="4" s="1"/>
  <c r="I70" i="3"/>
  <c r="H8" i="4"/>
  <c r="I8" i="4" s="1"/>
  <c r="H27" i="4"/>
  <c r="I27" i="4" s="1"/>
  <c r="H39" i="4"/>
  <c r="I39" i="4" s="1"/>
  <c r="H25" i="4"/>
  <c r="I25" i="4" s="1"/>
  <c r="H15" i="4"/>
  <c r="I15" i="4" s="1"/>
  <c r="H21" i="4"/>
  <c r="I21" i="4" s="1"/>
  <c r="H51" i="4"/>
  <c r="I51" i="4" s="1"/>
  <c r="H34" i="4"/>
  <c r="I34" i="4" s="1"/>
  <c r="H28" i="4"/>
  <c r="I28" i="4" s="1"/>
  <c r="H33" i="4"/>
  <c r="I33" i="4" s="1"/>
  <c r="H40" i="4"/>
  <c r="I40" i="4" s="1"/>
  <c r="H22" i="4"/>
  <c r="I22" i="4" s="1"/>
  <c r="H47" i="4"/>
  <c r="I47" i="4" s="1"/>
  <c r="H37" i="4"/>
  <c r="I37" i="4" s="1"/>
  <c r="H18" i="4"/>
  <c r="I18" i="4" s="1"/>
  <c r="H16" i="4"/>
  <c r="I16" i="4" s="1"/>
  <c r="H55" i="4"/>
  <c r="I55" i="4" s="1"/>
  <c r="H46" i="4"/>
  <c r="I46" i="4" s="1"/>
  <c r="H49" i="4"/>
  <c r="I49" i="4" s="1"/>
  <c r="H26" i="4"/>
  <c r="I26" i="4" s="1"/>
  <c r="H38" i="4"/>
  <c r="I38" i="4" s="1"/>
  <c r="H17" i="4"/>
  <c r="I17" i="4" s="1"/>
  <c r="H23" i="4"/>
  <c r="I23" i="4" s="1"/>
  <c r="H41" i="4"/>
  <c r="I41" i="4" s="1"/>
  <c r="H14" i="4"/>
  <c r="I14" i="4" s="1"/>
  <c r="H52" i="4"/>
  <c r="I52" i="4" s="1"/>
  <c r="H54" i="4"/>
  <c r="I54" i="4" s="1"/>
  <c r="H56" i="4"/>
  <c r="I56" i="4" s="1"/>
  <c r="H31" i="4"/>
  <c r="I31" i="4" s="1"/>
  <c r="H50" i="4"/>
  <c r="I50" i="4" s="1"/>
  <c r="H48" i="4"/>
  <c r="I48" i="4" s="1"/>
  <c r="H29" i="4"/>
  <c r="I29" i="4" s="1"/>
  <c r="H42" i="4"/>
  <c r="I42" i="4" s="1"/>
  <c r="H35" i="4"/>
  <c r="I35" i="4" s="1"/>
  <c r="H19" i="4"/>
  <c r="I19" i="4" s="1"/>
  <c r="H20" i="4"/>
  <c r="I20" i="4" s="1"/>
  <c r="H43" i="4"/>
  <c r="I43" i="4" s="1"/>
  <c r="H10" i="4"/>
  <c r="I10" i="4" s="1"/>
  <c r="H53" i="4"/>
  <c r="I53" i="4" s="1"/>
  <c r="H32" i="4"/>
  <c r="I32" i="4" s="1"/>
  <c r="H9" i="4"/>
  <c r="I9" i="4" s="1"/>
  <c r="H13" i="4"/>
  <c r="I13" i="4" s="1"/>
  <c r="H45" i="4"/>
  <c r="I45" i="4" s="1"/>
  <c r="H36" i="4"/>
  <c r="I36" i="4" s="1"/>
  <c r="H57" i="4"/>
  <c r="I57" i="4" s="1"/>
  <c r="H11" i="4"/>
  <c r="I11" i="4" s="1"/>
  <c r="H24" i="4"/>
  <c r="I24" i="4" s="1"/>
  <c r="H30" i="4"/>
  <c r="I30" i="4" s="1"/>
  <c r="H12" i="4"/>
  <c r="I12" i="4" s="1"/>
  <c r="H44" i="4"/>
  <c r="I44" i="4" s="1"/>
  <c r="I63" i="3" l="1"/>
  <c r="I65" i="3" s="1"/>
  <c r="I66" i="3" l="1"/>
  <c r="I69" i="3" s="1"/>
  <c r="I72" i="3" s="1"/>
  <c r="I67" i="3" l="1"/>
  <c r="I76"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Anna Brinkmann</author>
  </authors>
  <commentList>
    <comment ref="H7" authorId="0" shapeId="0" xr:uid="{00000000-0006-0000-0000-000001000000}">
      <text>
        <r>
          <rPr>
            <sz val="8"/>
            <color indexed="81"/>
            <rFont val="Tahoma"/>
            <family val="2"/>
          </rPr>
          <t>This amount is taken from Table D-1, Building Valuation Data, of the 2007 Fee Subtitle.</t>
        </r>
      </text>
    </comment>
  </commentList>
</comments>
</file>

<file path=xl/sharedStrings.xml><?xml version="1.0" encoding="utf-8"?>
<sst xmlns="http://schemas.openxmlformats.org/spreadsheetml/2006/main" count="323" uniqueCount="167">
  <si>
    <t>Calculated Value of Construction</t>
  </si>
  <si>
    <t>Base Fee</t>
  </si>
  <si>
    <t>&lt;</t>
  </si>
  <si>
    <t>=</t>
  </si>
  <si>
    <t>&gt;</t>
  </si>
  <si>
    <t>Per Add'l</t>
  </si>
  <si>
    <t>B</t>
  </si>
  <si>
    <t>Construction Type</t>
  </si>
  <si>
    <t>IA</t>
  </si>
  <si>
    <t>IB</t>
  </si>
  <si>
    <t>IIA</t>
  </si>
  <si>
    <t>IIB</t>
  </si>
  <si>
    <t>Column Index</t>
  </si>
  <si>
    <t>IIIA</t>
  </si>
  <si>
    <t>IIIB</t>
  </si>
  <si>
    <t>IV</t>
  </si>
  <si>
    <t>VA</t>
  </si>
  <si>
    <t>VB</t>
  </si>
  <si>
    <t>Areas in Building (Occupancies)</t>
  </si>
  <si>
    <t>R-1</t>
  </si>
  <si>
    <t>R-2</t>
  </si>
  <si>
    <t>R-3</t>
  </si>
  <si>
    <t>R-4</t>
  </si>
  <si>
    <t>U</t>
  </si>
  <si>
    <t>ICBO BVD Uses</t>
  </si>
  <si>
    <t>IBC Occupancy Group</t>
  </si>
  <si>
    <t>A-1</t>
  </si>
  <si>
    <t xml:space="preserve">Assembly, theaters, with stage </t>
  </si>
  <si>
    <t>Theaters, auditoriums</t>
  </si>
  <si>
    <t xml:space="preserve"> </t>
  </si>
  <si>
    <t xml:space="preserve">Assembly, theaters, without stage </t>
  </si>
  <si>
    <t>A-2</t>
  </si>
  <si>
    <t xml:space="preserve">Assembly, nightclubs </t>
  </si>
  <si>
    <t xml:space="preserve">Assembly, restaurants, bars, banquet halls </t>
  </si>
  <si>
    <t>Restaurants</t>
  </si>
  <si>
    <t>A-3</t>
  </si>
  <si>
    <t xml:space="preserve">Assembly, churches </t>
  </si>
  <si>
    <t>Churches</t>
  </si>
  <si>
    <t>Assembly, general, community halls, libraries, museums</t>
  </si>
  <si>
    <t>Bowling alleys, libraries</t>
  </si>
  <si>
    <t>A-4</t>
  </si>
  <si>
    <t xml:space="preserve">Assembly, arenas </t>
  </si>
  <si>
    <t xml:space="preserve">Business </t>
  </si>
  <si>
    <t>Banks, Medical Office, Office</t>
  </si>
  <si>
    <t>E</t>
  </si>
  <si>
    <t xml:space="preserve">Educational </t>
  </si>
  <si>
    <t>Schools</t>
  </si>
  <si>
    <t>F-1</t>
  </si>
  <si>
    <t>Factory and industrial, moderate hazard</t>
  </si>
  <si>
    <t>Industrial plants</t>
  </si>
  <si>
    <t>F-2</t>
  </si>
  <si>
    <t xml:space="preserve">Factory and industrial, low hazard </t>
  </si>
  <si>
    <t>H-1</t>
  </si>
  <si>
    <t xml:space="preserve">High Hazard, explosives </t>
  </si>
  <si>
    <t>H-2,3,4</t>
  </si>
  <si>
    <t xml:space="preserve">High Hazard </t>
  </si>
  <si>
    <t>H-5</t>
  </si>
  <si>
    <t>HPM</t>
  </si>
  <si>
    <t>I-1</t>
  </si>
  <si>
    <t xml:space="preserve">Institutional, supervised environment </t>
  </si>
  <si>
    <t>Convalescent hospitals, homes for the elderly</t>
  </si>
  <si>
    <t>I-2</t>
  </si>
  <si>
    <t>Institutional, incapacitated</t>
  </si>
  <si>
    <t>Hospitals</t>
  </si>
  <si>
    <t xml:space="preserve">Institutional, </t>
  </si>
  <si>
    <t>Nursing homes</t>
  </si>
  <si>
    <t>I-3</t>
  </si>
  <si>
    <t xml:space="preserve">Institutional, restrained </t>
  </si>
  <si>
    <t>Jails</t>
  </si>
  <si>
    <t>I-4</t>
  </si>
  <si>
    <t xml:space="preserve">Institutional, day care facilities </t>
  </si>
  <si>
    <t>M</t>
  </si>
  <si>
    <t xml:space="preserve">Mercantile </t>
  </si>
  <si>
    <t>Stores, service stations (mini-marts)</t>
  </si>
  <si>
    <t xml:space="preserve">Residential, hotels </t>
  </si>
  <si>
    <t>Hotels and motels</t>
  </si>
  <si>
    <t>Residential, multiple family</t>
  </si>
  <si>
    <t>Apartment houses</t>
  </si>
  <si>
    <t xml:space="preserve">Residential, one- and two-family </t>
  </si>
  <si>
    <t>Dwellings</t>
  </si>
  <si>
    <t xml:space="preserve">Residential care, assisted living facilities </t>
  </si>
  <si>
    <t>S-1</t>
  </si>
  <si>
    <t xml:space="preserve">Storage, moderate hazard </t>
  </si>
  <si>
    <t>Service stations (canopies &amp; service bays), warehouses</t>
  </si>
  <si>
    <t>S-2</t>
  </si>
  <si>
    <t xml:space="preserve">Storage, low hazard </t>
  </si>
  <si>
    <t>Public garages, warehouse</t>
  </si>
  <si>
    <t xml:space="preserve">Utility, miscellaneous </t>
  </si>
  <si>
    <t>Residential garage, private garage</t>
  </si>
  <si>
    <t>Open carports, decks, piers &amp; floats associated with r-3</t>
  </si>
  <si>
    <t>NOTES:</t>
  </si>
  <si>
    <t>FIRE STATIONS are mixed uses, usually including residential and parking, possibly also office.</t>
  </si>
  <si>
    <t>For PUBLIC BUILDINGS, choose the category that the occupancy most nearly resembles.</t>
  </si>
  <si>
    <t>EQUIPMENT AIR CONDITIONING and sprinkler add-ons will not be used.</t>
  </si>
  <si>
    <t>A-1a</t>
  </si>
  <si>
    <t>X</t>
  </si>
  <si>
    <t>A-2a</t>
  </si>
  <si>
    <t>A-3a</t>
  </si>
  <si>
    <t>I-2a</t>
  </si>
  <si>
    <t>(per Section 22.900D.010.A.2)</t>
  </si>
  <si>
    <t>Open carports, decks, piers &amp; floats associated with R-3</t>
  </si>
  <si>
    <t>Due at Issuance:</t>
  </si>
  <si>
    <t>(Estimate of Total Fees Due)</t>
  </si>
  <si>
    <t>Calculated "Total Plan Review and Permit Fees" Due (Approximate)</t>
  </si>
  <si>
    <t xml:space="preserve"> = </t>
  </si>
  <si>
    <t>Est. Total Value of Project</t>
  </si>
  <si>
    <t xml:space="preserve">State Surcharge = </t>
  </si>
  <si>
    <t>Building Valuation Data</t>
  </si>
  <si>
    <r>
      <t>ICBO</t>
    </r>
    <r>
      <rPr>
        <sz val="8"/>
        <rFont val="Arial"/>
        <family val="2"/>
      </rPr>
      <t xml:space="preserve"> BVD Uses</t>
    </r>
  </si>
  <si>
    <t>Calculated Value</t>
  </si>
  <si>
    <t xml:space="preserve">Plan Review Fee  = </t>
  </si>
  <si>
    <t xml:space="preserve">50% of Permit Fee  = </t>
  </si>
  <si>
    <t>Calculated Total Value</t>
  </si>
  <si>
    <t>(from "Est. Total Value of Project")</t>
  </si>
  <si>
    <t xml:space="preserve">Calculated Value of Building Based on New Area  = </t>
  </si>
  <si>
    <t>Remaining Permit Fees Due at Issuance</t>
  </si>
  <si>
    <t>Calculated Intake Fee</t>
  </si>
  <si>
    <t>x Cost/Sq Ft</t>
  </si>
  <si>
    <t>Sq Footage</t>
  </si>
  <si>
    <t>Reference Tables:</t>
  </si>
  <si>
    <t>Please type in the number of units in the building. Note that you must do a separate fee calculation for each building in your project.</t>
  </si>
  <si>
    <t>Choose from the drop-down menus and type in your sq. footage.</t>
  </si>
  <si>
    <t>Construction Types</t>
  </si>
  <si>
    <t>Type of User</t>
  </si>
  <si>
    <t>Construction Type and Circumstances</t>
  </si>
  <si>
    <t>Single Family</t>
  </si>
  <si>
    <t>VB is the correct Construction Type for all aspects of all Single Family projects.</t>
  </si>
  <si>
    <t>Small Businesses</t>
  </si>
  <si>
    <t>Design Professionals</t>
  </si>
  <si>
    <t>Please click below to view a complete listing of Construction Types.</t>
  </si>
  <si>
    <t>Occupancy Group Definitions</t>
  </si>
  <si>
    <t>Descriptions of Construction Type codes are detailed in Section 602 
of the Seattle Building Code</t>
  </si>
  <si>
    <t>(Collected at issuance plus additional review or misc. fees)</t>
  </si>
  <si>
    <t xml:space="preserve">Step 1. Calculate New Construction Value </t>
  </si>
  <si>
    <r>
      <t>ICC</t>
    </r>
    <r>
      <rPr>
        <sz val="8"/>
        <rFont val="Arial"/>
        <family val="2"/>
      </rPr>
      <t xml:space="preserve"> BVD Uses  (2003 SBC Ch. 3)</t>
    </r>
  </si>
  <si>
    <t xml:space="preserve">Construction Type varies according to type of material and size of project. Note that projects valued at $30,000 or more must have the involvement of a licensed design professional (SBC Section 106.5.2.2). </t>
  </si>
  <si>
    <t>In this field, enter the value of work associated with altering existing sq. footage, and therefore not yet reflected in the calculations above. For example, this is where you enter your budget for internal renovations, including the cost of interior finishes.</t>
  </si>
  <si>
    <t>Calculated DFI (Development Fee Index)</t>
  </si>
  <si>
    <t>(100% of DFI, per Table D-2)</t>
  </si>
  <si>
    <t>(50% of DFI, per Table D-2)</t>
  </si>
  <si>
    <t>(Examples: PASV, Special Inspections, Hourly Reviews, etc.)</t>
  </si>
  <si>
    <t xml:space="preserve">Remaining 50% of Permit Fee = </t>
  </si>
  <si>
    <t>Step 2. Enter Value of Additional Work                        =</t>
  </si>
  <si>
    <t>Additional Review or Miscellaneous Fees if required (check Fee Subtitle online)</t>
  </si>
  <si>
    <t>NP</t>
  </si>
  <si>
    <r>
      <t>NOTE:</t>
    </r>
    <r>
      <rPr>
        <sz val="8"/>
        <color indexed="10"/>
        <rFont val="Arial"/>
        <family val="2"/>
      </rPr>
      <t xml:space="preserve"> The amounts estimated through this tool may not be accurate if the values entered in the tool are incorrect. SDCI will accept intake fees that fall reasonably close to the amount required. All fees must be paid in their entirety before a permit can be issued.</t>
    </r>
  </si>
  <si>
    <t>Residential</t>
  </si>
  <si>
    <t>Commercial</t>
  </si>
  <si>
    <t>Mixed Use</t>
  </si>
  <si>
    <t>(per Table D-1)</t>
  </si>
  <si>
    <t>In this field, select the building type from the dropdown menu. Commercial buildings are any building without residential units, and mixed-use building contain both residential units and commercial portions. This field is used to determine the State Surcharge.</t>
  </si>
  <si>
    <t>Bulding Type</t>
  </si>
  <si>
    <t>Building Types for State Surcharge Calculation</t>
  </si>
  <si>
    <t>Building contains housing units only</t>
  </si>
  <si>
    <t>Any building without housing units</t>
  </si>
  <si>
    <t>Building with both commercial portion and housing units</t>
  </si>
  <si>
    <r>
      <t>Instructions:</t>
    </r>
    <r>
      <rPr>
        <sz val="8"/>
        <rFont val="Arial"/>
        <family val="2"/>
      </rPr>
      <t xml:space="preserve"> (Complete Steps 1-4 for </t>
    </r>
    <r>
      <rPr>
        <u/>
        <sz val="8"/>
        <rFont val="Arial"/>
        <family val="2"/>
      </rPr>
      <t>EACH building separately</t>
    </r>
    <r>
      <rPr>
        <sz val="8"/>
        <rFont val="Arial"/>
        <family val="2"/>
      </rPr>
      <t xml:space="preserve">)
</t>
    </r>
    <r>
      <rPr>
        <b/>
        <sz val="8"/>
        <rFont val="Arial"/>
        <family val="2"/>
      </rPr>
      <t xml:space="preserve">Step 1. </t>
    </r>
    <r>
      <rPr>
        <sz val="8"/>
        <rFont val="Arial"/>
        <family val="2"/>
      </rPr>
      <t xml:space="preserve">Pick your occupancy and construction type by clicking on a yellow box and selecting from the drop-down menu below
             (refer to the tables at right for help). Next, type in the square footage for each area in the building.  
</t>
    </r>
    <r>
      <rPr>
        <b/>
        <sz val="8"/>
        <rFont val="Arial"/>
        <family val="2"/>
      </rPr>
      <t>Step 2.</t>
    </r>
    <r>
      <rPr>
        <sz val="8"/>
        <rFont val="Arial"/>
        <family val="2"/>
      </rPr>
      <t xml:space="preserve"> Input the value of additional work planned for your project. 
</t>
    </r>
    <r>
      <rPr>
        <b/>
        <sz val="8"/>
        <rFont val="Arial"/>
        <family val="2"/>
      </rPr>
      <t>Step 3.</t>
    </r>
    <r>
      <rPr>
        <sz val="8"/>
        <rFont val="Arial"/>
        <family val="2"/>
      </rPr>
      <t xml:space="preserve"> Select the building type.
</t>
    </r>
    <r>
      <rPr>
        <b/>
        <sz val="8"/>
        <rFont val="Arial"/>
        <family val="2"/>
      </rPr>
      <t xml:space="preserve">Step 4. </t>
    </r>
    <r>
      <rPr>
        <sz val="8"/>
        <rFont val="Arial"/>
        <family val="2"/>
      </rPr>
      <t xml:space="preserve">Enter the number of dwelling units in the building.
</t>
    </r>
    <r>
      <rPr>
        <b/>
        <sz val="8"/>
        <rFont val="Arial"/>
        <family val="2"/>
      </rPr>
      <t>Step 5.</t>
    </r>
    <r>
      <rPr>
        <sz val="8"/>
        <rFont val="Arial"/>
        <family val="2"/>
      </rPr>
      <t xml:space="preserve"> The fee estimator will use your input values to automatically calculate the approximate value of the fees
             you will be charged at SDCI. </t>
    </r>
  </si>
  <si>
    <t xml:space="preserve">Ref: Table D-1 Calculation of Development Fee Index from 2020 Fee Subtitle </t>
  </si>
  <si>
    <t>2020 Calculated DFI</t>
  </si>
  <si>
    <t>Step 3. Enter number of stories if IA or IB Construction</t>
  </si>
  <si>
    <t>In this field, enter the number of stories from top of the foundation for proposed building of Construction type IA or IB and with occupancy of R-1, R-2, I-4, B, Public Buildings/Garages, or M.  This calculates the story multiplier fee when applicable.</t>
  </si>
  <si>
    <t xml:space="preserve">Additional story multiplier                                                                                                     </t>
  </si>
  <si>
    <t>Step 4. Select Building Type</t>
  </si>
  <si>
    <t>Step 5. Enter Number of Dwelling Units in Building =</t>
  </si>
  <si>
    <t>Step 6. Estimate Your Fees</t>
  </si>
  <si>
    <t>Fee Estimator (based on 2021 Fee Subtitle)</t>
  </si>
  <si>
    <t>2021 SQ FT CONST COSTS from Director's Rule 1-2021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</si>
</sst>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43" formatCode="_(* #,##0.00_);_(* \(#,##0.00\);_(* &quot;-&quot;??_);_(@_)"/>
    <numFmt numFmtId="164" formatCode="&quot;$&quot;#,##0.00"/>
    <numFmt numFmtId="165" formatCode="&quot;$&quot;#,##0"/>
  </numFmts>
  <fonts count="29" x14ac:knownFonts="1">
    <font>
      <sz val="10"/>
      <name val="Arial"/>
    </font>
    <font>
      <sz val="10"/>
      <name val="Arial"/>
      <family val="2"/>
    </font>
    <font>
      <b/>
      <sz val="10"/>
      <name val="Arial"/>
      <family val="2"/>
    </font>
    <font>
      <sz val="8"/>
      <name val="Arial"/>
      <family val="2"/>
    </font>
    <font>
      <b/>
      <u/>
      <sz val="12"/>
      <name val="Arial"/>
      <family val="2"/>
    </font>
    <font>
      <b/>
      <sz val="14"/>
      <name val="Arial"/>
      <family val="2"/>
    </font>
    <font>
      <sz val="9"/>
      <name val="Arial"/>
      <family val="2"/>
    </font>
    <font>
      <b/>
      <sz val="9"/>
      <name val="Arial"/>
      <family val="2"/>
    </font>
    <font>
      <b/>
      <sz val="9"/>
      <name val="Arial"/>
      <family val="2"/>
    </font>
    <font>
      <sz val="9"/>
      <name val="Arial"/>
      <family val="2"/>
    </font>
    <font>
      <u/>
      <sz val="10"/>
      <color indexed="12"/>
      <name val="Arial"/>
      <family val="2"/>
    </font>
    <font>
      <b/>
      <sz val="8"/>
      <name val="Arial"/>
      <family val="2"/>
    </font>
    <font>
      <sz val="8"/>
      <name val="Arial"/>
      <family val="2"/>
    </font>
    <font>
      <b/>
      <u/>
      <sz val="10"/>
      <color indexed="12"/>
      <name val="Arial"/>
      <family val="2"/>
    </font>
    <font>
      <b/>
      <u/>
      <sz val="8"/>
      <color indexed="12"/>
      <name val="Arial"/>
      <family val="2"/>
    </font>
    <font>
      <b/>
      <sz val="9"/>
      <color indexed="10"/>
      <name val="Arial"/>
      <family val="2"/>
    </font>
    <font>
      <sz val="8"/>
      <color indexed="10"/>
      <name val="Arial"/>
      <family val="2"/>
    </font>
    <font>
      <sz val="9"/>
      <color indexed="10"/>
      <name val="Arial"/>
      <family val="2"/>
    </font>
    <font>
      <b/>
      <sz val="12"/>
      <name val="Arial"/>
      <family val="2"/>
    </font>
    <font>
      <b/>
      <sz val="8"/>
      <color indexed="10"/>
      <name val="Arial"/>
      <family val="2"/>
    </font>
    <font>
      <b/>
      <u/>
      <sz val="10"/>
      <color indexed="12"/>
      <name val="Arial"/>
      <family val="2"/>
    </font>
    <font>
      <sz val="9"/>
      <color indexed="10"/>
      <name val="Arial"/>
      <family val="2"/>
    </font>
    <font>
      <sz val="12"/>
      <name val="Arial"/>
      <family val="2"/>
    </font>
    <font>
      <sz val="8"/>
      <color indexed="81"/>
      <name val="Tahoma"/>
      <family val="2"/>
    </font>
    <font>
      <u/>
      <sz val="8"/>
      <name val="Arial"/>
      <family val="2"/>
    </font>
    <font>
      <b/>
      <sz val="10"/>
      <color rgb="FF0000FF"/>
      <name val="Arial"/>
      <family val="2"/>
    </font>
    <font>
      <b/>
      <sz val="8"/>
      <color rgb="FFFF0000"/>
      <name val="Arial"/>
      <family val="2"/>
    </font>
    <font>
      <sz val="8"/>
      <color rgb="FFFF0000"/>
      <name val="Arial"/>
      <family val="2"/>
    </font>
    <font>
      <sz val="8"/>
      <color theme="8" tint="0.79998168889431442"/>
      <name val="Arial"/>
      <family val="2"/>
    </font>
  </fonts>
  <fills count="8">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9"/>
        <bgColor indexed="64"/>
      </patternFill>
    </fill>
    <fill>
      <patternFill patternType="solid">
        <fgColor indexed="44"/>
        <bgColor indexed="64"/>
      </patternFill>
    </fill>
    <fill>
      <patternFill patternType="solid">
        <fgColor theme="8" tint="0.79998168889431442"/>
        <bgColor indexed="64"/>
      </patternFill>
    </fill>
    <fill>
      <patternFill patternType="solid">
        <fgColor rgb="FFFFFF00"/>
        <bgColor indexed="64"/>
      </patternFill>
    </fill>
  </fills>
  <borders count="49">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ck">
        <color indexed="64"/>
      </left>
      <right style="thick">
        <color indexed="64"/>
      </right>
      <top style="thick">
        <color indexed="64"/>
      </top>
      <bottom style="thick">
        <color indexed="64"/>
      </bottom>
      <diagonal/>
    </border>
    <border>
      <left/>
      <right/>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dotted">
        <color indexed="64"/>
      </bottom>
      <diagonal/>
    </border>
    <border>
      <left style="dashed">
        <color indexed="64"/>
      </left>
      <right style="dashed">
        <color indexed="64"/>
      </right>
      <top style="thin">
        <color indexed="64"/>
      </top>
      <bottom style="dashed">
        <color indexed="64"/>
      </bottom>
      <diagonal/>
    </border>
    <border>
      <left style="dotted">
        <color indexed="64"/>
      </left>
      <right style="dotted">
        <color indexed="64"/>
      </right>
      <top/>
      <bottom/>
      <diagonal/>
    </border>
    <border>
      <left style="dotted">
        <color indexed="64"/>
      </left>
      <right style="dotted">
        <color indexed="64"/>
      </right>
      <top style="thick">
        <color indexed="64"/>
      </top>
      <bottom/>
      <diagonal/>
    </border>
    <border>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style="dotted">
        <color indexed="64"/>
      </bottom>
      <diagonal/>
    </border>
    <border>
      <left/>
      <right style="dotted">
        <color indexed="64"/>
      </right>
      <top/>
      <bottom/>
      <diagonal/>
    </border>
    <border>
      <left/>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right style="dotted">
        <color indexed="64"/>
      </right>
      <top/>
      <bottom style="medium">
        <color indexed="64"/>
      </bottom>
      <diagonal/>
    </border>
    <border>
      <left style="dotted">
        <color indexed="64"/>
      </left>
      <right style="dotted">
        <color indexed="64"/>
      </right>
      <top style="dotted">
        <color indexed="64"/>
      </top>
      <bottom style="medium">
        <color indexed="64"/>
      </bottom>
      <diagonal/>
    </border>
    <border>
      <left/>
      <right style="thick">
        <color indexed="64"/>
      </right>
      <top/>
      <bottom/>
      <diagonal/>
    </border>
    <border>
      <left/>
      <right style="dotted">
        <color indexed="64"/>
      </right>
      <top style="medium">
        <color indexed="64"/>
      </top>
      <bottom style="dotted">
        <color indexed="64"/>
      </bottom>
      <diagonal/>
    </border>
    <border>
      <left/>
      <right style="thick">
        <color indexed="64"/>
      </right>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right/>
      <top style="thin">
        <color indexed="64"/>
      </top>
      <bottom style="dotted">
        <color indexed="64"/>
      </bottom>
      <diagonal/>
    </border>
    <border>
      <left/>
      <right style="dashed">
        <color indexed="64"/>
      </right>
      <top style="thin">
        <color indexed="64"/>
      </top>
      <bottom style="dotted">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10" fillId="0" borderId="0" applyNumberFormat="0" applyFill="0" applyBorder="0" applyAlignment="0" applyProtection="0">
      <alignment vertical="top"/>
      <protection locked="0"/>
    </xf>
  </cellStyleXfs>
  <cellXfs count="311">
    <xf numFmtId="0" fontId="0" fillId="0" borderId="0" xfId="0"/>
    <xf numFmtId="0" fontId="0" fillId="0" borderId="0" xfId="0" applyAlignment="1">
      <alignment horizontal="center"/>
    </xf>
    <xf numFmtId="0" fontId="0" fillId="0" borderId="0" xfId="0" applyAlignment="1">
      <alignment wrapText="1"/>
    </xf>
    <xf numFmtId="0" fontId="5" fillId="0" borderId="0" xfId="0" applyFont="1"/>
    <xf numFmtId="0" fontId="6" fillId="0" borderId="1" xfId="0" applyFont="1" applyBorder="1" applyAlignment="1">
      <alignment horizontal="center"/>
    </xf>
    <xf numFmtId="0" fontId="6" fillId="0" borderId="2" xfId="0" applyFont="1" applyBorder="1" applyAlignment="1">
      <alignment horizontal="center"/>
    </xf>
    <xf numFmtId="0" fontId="7" fillId="0" borderId="3" xfId="0" applyFont="1" applyBorder="1" applyAlignment="1">
      <alignment horizontal="center"/>
    </xf>
    <xf numFmtId="0" fontId="7" fillId="0" borderId="4" xfId="0" applyFont="1" applyBorder="1" applyAlignment="1">
      <alignment horizontal="center"/>
    </xf>
    <xf numFmtId="0" fontId="7" fillId="0" borderId="5" xfId="0" applyFont="1" applyBorder="1" applyAlignment="1">
      <alignment horizontal="center"/>
    </xf>
    <xf numFmtId="0" fontId="6" fillId="0" borderId="6" xfId="0" applyFont="1" applyBorder="1" applyAlignment="1">
      <alignment horizontal="center"/>
    </xf>
    <xf numFmtId="0" fontId="6" fillId="0" borderId="0" xfId="0" applyFont="1"/>
    <xf numFmtId="0" fontId="6" fillId="0" borderId="1" xfId="0" applyFont="1" applyBorder="1"/>
    <xf numFmtId="0" fontId="7" fillId="0" borderId="7" xfId="0" applyFont="1" applyBorder="1" applyAlignment="1">
      <alignment horizontal="center"/>
    </xf>
    <xf numFmtId="0" fontId="7" fillId="0" borderId="8" xfId="0" applyFont="1" applyBorder="1" applyAlignment="1">
      <alignment horizontal="center"/>
    </xf>
    <xf numFmtId="0" fontId="6" fillId="0" borderId="1" xfId="0" applyFont="1" applyBorder="1" applyAlignment="1">
      <alignment wrapText="1"/>
    </xf>
    <xf numFmtId="0" fontId="6" fillId="2" borderId="1" xfId="0" applyFont="1" applyFill="1" applyBorder="1" applyAlignment="1">
      <alignment horizontal="center"/>
    </xf>
    <xf numFmtId="0" fontId="6" fillId="2" borderId="9" xfId="0" applyFont="1" applyFill="1" applyBorder="1" applyAlignment="1">
      <alignment horizontal="center"/>
    </xf>
    <xf numFmtId="0" fontId="6" fillId="2" borderId="10" xfId="0" applyFont="1" applyFill="1" applyBorder="1" applyAlignment="1">
      <alignment horizontal="center"/>
    </xf>
    <xf numFmtId="0" fontId="6" fillId="2" borderId="4" xfId="0" applyFont="1" applyFill="1" applyBorder="1" applyAlignment="1">
      <alignment horizontal="center"/>
    </xf>
    <xf numFmtId="0" fontId="6" fillId="2" borderId="5" xfId="0" applyFont="1" applyFill="1" applyBorder="1" applyAlignment="1">
      <alignment horizontal="center"/>
    </xf>
    <xf numFmtId="0" fontId="2" fillId="0" borderId="0" xfId="0" applyFont="1"/>
    <xf numFmtId="0" fontId="6" fillId="0" borderId="0" xfId="0" applyFont="1" applyBorder="1" applyAlignment="1">
      <alignment horizontal="right" wrapText="1"/>
    </xf>
    <xf numFmtId="0" fontId="6" fillId="0" borderId="0" xfId="0" applyFont="1" applyBorder="1" applyAlignment="1">
      <alignment horizontal="left" wrapText="1"/>
    </xf>
    <xf numFmtId="0" fontId="7" fillId="0" borderId="0" xfId="0" applyFont="1" applyFill="1" applyBorder="1" applyAlignment="1">
      <alignment horizontal="center" wrapText="1"/>
    </xf>
    <xf numFmtId="0" fontId="6" fillId="0" borderId="0" xfId="0" applyFont="1" applyFill="1" applyBorder="1" applyAlignment="1">
      <alignment horizontal="right" wrapText="1"/>
    </xf>
    <xf numFmtId="44" fontId="6" fillId="0" borderId="0" xfId="2" applyNumberFormat="1" applyFont="1" applyBorder="1" applyAlignment="1">
      <alignment horizontal="left" wrapText="1"/>
    </xf>
    <xf numFmtId="44" fontId="7" fillId="0" borderId="0" xfId="0" applyNumberFormat="1" applyFont="1" applyFill="1" applyBorder="1" applyAlignment="1">
      <alignment horizontal="center" wrapText="1"/>
    </xf>
    <xf numFmtId="44" fontId="7" fillId="0" borderId="0" xfId="2" applyFont="1" applyFill="1" applyBorder="1" applyAlignment="1">
      <alignment horizontal="right" wrapText="1"/>
    </xf>
    <xf numFmtId="44" fontId="7" fillId="0" borderId="0" xfId="2" applyNumberFormat="1" applyFont="1" applyFill="1" applyBorder="1" applyAlignment="1">
      <alignment horizontal="right" wrapText="1"/>
    </xf>
    <xf numFmtId="44" fontId="6" fillId="0" borderId="0" xfId="2" applyNumberFormat="1" applyFont="1" applyBorder="1" applyAlignment="1">
      <alignment horizontal="center" wrapText="1"/>
    </xf>
    <xf numFmtId="2" fontId="6" fillId="0" borderId="0" xfId="0" applyNumberFormat="1" applyFont="1" applyBorder="1" applyAlignment="1">
      <alignment horizontal="center" wrapText="1"/>
    </xf>
    <xf numFmtId="44" fontId="6" fillId="0" borderId="0" xfId="2" applyNumberFormat="1" applyFont="1" applyFill="1" applyBorder="1" applyAlignment="1">
      <alignment horizontal="center" wrapText="1"/>
    </xf>
    <xf numFmtId="2" fontId="6" fillId="0" borderId="0" xfId="0" applyNumberFormat="1" applyFont="1" applyFill="1" applyBorder="1" applyAlignment="1">
      <alignment horizontal="center" wrapText="1"/>
    </xf>
    <xf numFmtId="0" fontId="6" fillId="0" borderId="0" xfId="0" applyFont="1" applyBorder="1" applyAlignment="1">
      <alignment horizontal="center" wrapText="1"/>
    </xf>
    <xf numFmtId="0" fontId="6" fillId="0" borderId="0" xfId="0" applyFont="1" applyFill="1" applyBorder="1" applyAlignment="1">
      <alignment horizontal="center" wrapText="1"/>
    </xf>
    <xf numFmtId="0" fontId="11" fillId="3" borderId="11" xfId="0" applyFont="1" applyFill="1" applyBorder="1" applyAlignment="1" applyProtection="1">
      <alignment horizontal="center"/>
      <protection locked="0"/>
    </xf>
    <xf numFmtId="0" fontId="11" fillId="3" borderId="12" xfId="0" applyFont="1" applyFill="1" applyBorder="1" applyAlignment="1" applyProtection="1">
      <alignment horizontal="center"/>
      <protection locked="0"/>
    </xf>
    <xf numFmtId="0" fontId="11" fillId="3" borderId="13" xfId="0" applyFont="1" applyFill="1" applyBorder="1" applyAlignment="1" applyProtection="1">
      <alignment horizontal="center"/>
      <protection locked="0"/>
    </xf>
    <xf numFmtId="0" fontId="10" fillId="0" borderId="0" xfId="3" applyAlignment="1" applyProtection="1"/>
    <xf numFmtId="0" fontId="11" fillId="4" borderId="14" xfId="0" applyFont="1" applyFill="1" applyBorder="1" applyAlignment="1" applyProtection="1">
      <alignment horizontal="center"/>
      <protection locked="0"/>
    </xf>
    <xf numFmtId="164" fontId="11" fillId="4" borderId="14" xfId="0" applyNumberFormat="1" applyFont="1" applyFill="1" applyBorder="1" applyAlignment="1" applyProtection="1">
      <alignment horizontal="right"/>
      <protection locked="0"/>
    </xf>
    <xf numFmtId="0" fontId="11" fillId="4" borderId="11" xfId="0" applyFont="1" applyFill="1" applyBorder="1" applyAlignment="1" applyProtection="1">
      <alignment horizontal="center" wrapText="1"/>
      <protection locked="0"/>
    </xf>
    <xf numFmtId="0" fontId="11" fillId="4" borderId="12" xfId="0" applyFont="1" applyFill="1" applyBorder="1" applyAlignment="1" applyProtection="1">
      <alignment horizontal="center"/>
      <protection locked="0"/>
    </xf>
    <xf numFmtId="0" fontId="11" fillId="4" borderId="12" xfId="0" applyFont="1" applyFill="1" applyBorder="1" applyAlignment="1" applyProtection="1">
      <alignment horizontal="center" wrapText="1"/>
      <protection locked="0"/>
    </xf>
    <xf numFmtId="0" fontId="11" fillId="4" borderId="13" xfId="0" applyFont="1" applyFill="1" applyBorder="1" applyAlignment="1" applyProtection="1">
      <alignment horizontal="center"/>
      <protection locked="0"/>
    </xf>
    <xf numFmtId="44" fontId="11" fillId="4" borderId="14" xfId="2" applyNumberFormat="1" applyFont="1" applyFill="1" applyBorder="1" applyProtection="1">
      <protection locked="0"/>
    </xf>
    <xf numFmtId="0" fontId="12" fillId="0" borderId="0" xfId="0" applyFont="1" applyProtection="1">
      <protection locked="0"/>
    </xf>
    <xf numFmtId="0" fontId="12" fillId="0" borderId="0" xfId="0" applyFont="1" applyAlignment="1" applyProtection="1">
      <alignment horizontal="center"/>
      <protection locked="0"/>
    </xf>
    <xf numFmtId="0" fontId="12" fillId="0" borderId="0" xfId="0" applyFont="1" applyAlignment="1" applyProtection="1">
      <alignment horizontal="center" wrapText="1"/>
      <protection locked="0"/>
    </xf>
    <xf numFmtId="0" fontId="11" fillId="0" borderId="0" xfId="0" applyFont="1" applyAlignment="1" applyProtection="1">
      <alignment horizontal="center"/>
      <protection locked="0"/>
    </xf>
    <xf numFmtId="0" fontId="11" fillId="0" borderId="0" xfId="0" applyFont="1" applyProtection="1">
      <protection locked="0"/>
    </xf>
    <xf numFmtId="0" fontId="11" fillId="0" borderId="0" xfId="0" applyFont="1" applyFill="1" applyBorder="1" applyAlignment="1" applyProtection="1">
      <alignment horizontal="left" vertical="center"/>
      <protection locked="0"/>
    </xf>
    <xf numFmtId="0" fontId="11" fillId="0" borderId="0" xfId="0" applyFont="1" applyAlignment="1" applyProtection="1">
      <alignment vertical="center"/>
      <protection locked="0"/>
    </xf>
    <xf numFmtId="0" fontId="12" fillId="0" borderId="0" xfId="0" applyFont="1" applyFill="1" applyBorder="1" applyAlignment="1" applyProtection="1">
      <alignment vertical="center"/>
      <protection locked="0"/>
    </xf>
    <xf numFmtId="0" fontId="12" fillId="0" borderId="0" xfId="0" applyFont="1" applyFill="1" applyBorder="1" applyProtection="1">
      <protection locked="0"/>
    </xf>
    <xf numFmtId="0" fontId="19" fillId="0" borderId="0" xfId="0" applyFont="1" applyAlignment="1" applyProtection="1">
      <alignment horizontal="left" indent="1"/>
      <protection locked="0"/>
    </xf>
    <xf numFmtId="0" fontId="21" fillId="0" borderId="0" xfId="0" applyFont="1" applyAlignment="1" applyProtection="1">
      <alignment horizontal="left" vertical="top" indent="2"/>
      <protection locked="0"/>
    </xf>
    <xf numFmtId="0" fontId="12" fillId="0" borderId="0" xfId="0" applyFont="1" applyFill="1" applyProtection="1">
      <protection locked="0"/>
    </xf>
    <xf numFmtId="0" fontId="12" fillId="0" borderId="0" xfId="0" applyFont="1" applyFill="1" applyBorder="1" applyAlignment="1" applyProtection="1">
      <alignment horizontal="center"/>
      <protection locked="0"/>
    </xf>
    <xf numFmtId="0" fontId="15" fillId="0" borderId="0" xfId="0" applyFont="1" applyAlignment="1" applyProtection="1">
      <alignment horizontal="left" vertical="top" indent="2"/>
      <protection locked="0"/>
    </xf>
    <xf numFmtId="0" fontId="2" fillId="0" borderId="0" xfId="0" applyFont="1" applyAlignment="1" applyProtection="1">
      <alignment horizontal="left" vertical="top" indent="2"/>
      <protection locked="0"/>
    </xf>
    <xf numFmtId="0" fontId="11" fillId="0" borderId="0" xfId="0" applyFont="1" applyFill="1" applyAlignment="1" applyProtection="1">
      <protection locked="0"/>
    </xf>
    <xf numFmtId="0" fontId="13" fillId="0" borderId="0" xfId="3" applyFont="1" applyFill="1" applyAlignment="1" applyProtection="1">
      <alignment wrapText="1"/>
      <protection locked="0"/>
    </xf>
    <xf numFmtId="0" fontId="11" fillId="0" borderId="0" xfId="0" applyFont="1" applyBorder="1" applyProtection="1">
      <protection locked="0"/>
    </xf>
    <xf numFmtId="0" fontId="12" fillId="0" borderId="0" xfId="0" applyFont="1" applyBorder="1" applyProtection="1">
      <protection locked="0"/>
    </xf>
    <xf numFmtId="0" fontId="12" fillId="0" borderId="0" xfId="0" applyFont="1" applyBorder="1" applyAlignment="1" applyProtection="1">
      <alignment horizontal="center"/>
      <protection locked="0"/>
    </xf>
    <xf numFmtId="0" fontId="11" fillId="0" borderId="0" xfId="0" applyFont="1" applyBorder="1" applyAlignment="1" applyProtection="1">
      <protection locked="0"/>
    </xf>
    <xf numFmtId="0" fontId="20" fillId="0" borderId="0" xfId="3" applyFont="1" applyAlignment="1" applyProtection="1">
      <protection locked="0"/>
    </xf>
    <xf numFmtId="0" fontId="12" fillId="0" borderId="0" xfId="0" applyFont="1" applyFill="1" applyBorder="1" applyAlignment="1" applyProtection="1">
      <protection locked="0"/>
    </xf>
    <xf numFmtId="0" fontId="12" fillId="0" borderId="0" xfId="0" applyFont="1" applyFill="1" applyBorder="1" applyAlignment="1" applyProtection="1">
      <alignment wrapText="1"/>
      <protection locked="0"/>
    </xf>
    <xf numFmtId="0" fontId="11" fillId="0" borderId="0" xfId="0" applyFont="1" applyFill="1" applyBorder="1" applyAlignment="1" applyProtection="1">
      <protection locked="0"/>
    </xf>
    <xf numFmtId="0" fontId="11" fillId="0" borderId="0" xfId="0" applyFont="1" applyBorder="1" applyAlignment="1" applyProtection="1">
      <alignment horizontal="center"/>
      <protection locked="0"/>
    </xf>
    <xf numFmtId="0" fontId="12" fillId="0" borderId="0" xfId="0" applyFont="1" applyBorder="1" applyAlignment="1" applyProtection="1">
      <alignment wrapText="1"/>
      <protection locked="0"/>
    </xf>
    <xf numFmtId="8" fontId="12" fillId="0" borderId="0" xfId="0" applyNumberFormat="1" applyFont="1" applyBorder="1" applyAlignment="1" applyProtection="1">
      <alignment horizontal="center"/>
      <protection locked="0"/>
    </xf>
    <xf numFmtId="0" fontId="16" fillId="0" borderId="0" xfId="0" applyFont="1" applyFill="1" applyBorder="1" applyAlignment="1" applyProtection="1">
      <alignment vertical="top" wrapText="1"/>
      <protection locked="0"/>
    </xf>
    <xf numFmtId="0" fontId="16" fillId="0" borderId="0" xfId="0" applyFont="1" applyAlignment="1" applyProtection="1">
      <alignment wrapText="1"/>
      <protection locked="0"/>
    </xf>
    <xf numFmtId="0" fontId="12" fillId="0" borderId="0" xfId="0" applyFont="1" applyProtection="1"/>
    <xf numFmtId="0" fontId="12" fillId="0" borderId="0" xfId="0" applyFont="1" applyAlignment="1" applyProtection="1">
      <alignment horizontal="center"/>
    </xf>
    <xf numFmtId="0" fontId="12" fillId="0" borderId="0" xfId="0" applyFont="1" applyAlignment="1" applyProtection="1">
      <alignment horizontal="center" wrapText="1"/>
    </xf>
    <xf numFmtId="0" fontId="0" fillId="0" borderId="0" xfId="0" applyAlignment="1" applyProtection="1">
      <alignment wrapText="1"/>
    </xf>
    <xf numFmtId="0" fontId="11" fillId="0" borderId="0" xfId="0" applyFont="1" applyProtection="1"/>
    <xf numFmtId="0" fontId="18" fillId="0" borderId="0" xfId="0" applyFont="1" applyFill="1" applyBorder="1" applyAlignment="1" applyProtection="1">
      <alignment horizontal="left" vertical="center"/>
    </xf>
    <xf numFmtId="0" fontId="11" fillId="0" borderId="0" xfId="0" applyFont="1" applyFill="1" applyBorder="1" applyAlignment="1" applyProtection="1">
      <alignment horizontal="left" vertical="center"/>
    </xf>
    <xf numFmtId="0" fontId="11" fillId="0" borderId="0" xfId="0" applyFont="1" applyAlignment="1" applyProtection="1">
      <alignment vertical="center"/>
    </xf>
    <xf numFmtId="0" fontId="12" fillId="0" borderId="0" xfId="0" applyFont="1" applyFill="1" applyBorder="1" applyAlignment="1" applyProtection="1">
      <alignment horizontal="center" vertical="center"/>
    </xf>
    <xf numFmtId="0" fontId="2" fillId="0" borderId="0" xfId="0" applyFont="1" applyFill="1" applyBorder="1" applyAlignment="1" applyProtection="1">
      <alignment vertical="center"/>
    </xf>
    <xf numFmtId="0" fontId="11" fillId="0" borderId="0" xfId="0" applyFont="1" applyFill="1" applyBorder="1" applyAlignment="1" applyProtection="1">
      <alignment horizontal="center" vertical="center"/>
    </xf>
    <xf numFmtId="0" fontId="17" fillId="0" borderId="0" xfId="0" applyFont="1" applyFill="1" applyBorder="1" applyAlignment="1" applyProtection="1">
      <alignment horizontal="left" vertical="center"/>
    </xf>
    <xf numFmtId="0" fontId="11" fillId="0" borderId="0" xfId="0" applyFont="1" applyFill="1" applyBorder="1" applyAlignment="1" applyProtection="1">
      <alignment horizontal="left" vertical="center" wrapText="1"/>
    </xf>
    <xf numFmtId="0" fontId="11" fillId="0" borderId="15" xfId="0" applyFont="1" applyFill="1" applyBorder="1" applyAlignment="1" applyProtection="1">
      <alignment horizontal="left" vertical="center"/>
    </xf>
    <xf numFmtId="0" fontId="2" fillId="0" borderId="16" xfId="0" applyFont="1" applyFill="1" applyBorder="1" applyAlignment="1" applyProtection="1">
      <alignment horizontal="left" vertical="center"/>
    </xf>
    <xf numFmtId="0" fontId="12" fillId="0" borderId="16" xfId="0" applyFont="1" applyFill="1" applyBorder="1" applyAlignment="1" applyProtection="1">
      <alignment horizontal="center" vertical="center"/>
    </xf>
    <xf numFmtId="0" fontId="12" fillId="0" borderId="16" xfId="0" applyFont="1" applyFill="1" applyBorder="1" applyAlignment="1" applyProtection="1">
      <alignment vertical="center"/>
    </xf>
    <xf numFmtId="0" fontId="11" fillId="5" borderId="14" xfId="0" applyFont="1" applyFill="1" applyBorder="1" applyAlignment="1" applyProtection="1">
      <alignment horizontal="center" wrapText="1"/>
    </xf>
    <xf numFmtId="0" fontId="12" fillId="5" borderId="16" xfId="0" applyFont="1" applyFill="1" applyBorder="1" applyAlignment="1" applyProtection="1">
      <alignment horizontal="center" wrapText="1"/>
    </xf>
    <xf numFmtId="0" fontId="11" fillId="5" borderId="17" xfId="0" applyFont="1" applyFill="1" applyBorder="1" applyAlignment="1" applyProtection="1">
      <alignment horizontal="center" wrapText="1"/>
    </xf>
    <xf numFmtId="49" fontId="11" fillId="5" borderId="17" xfId="0" applyNumberFormat="1" applyFont="1" applyFill="1" applyBorder="1" applyAlignment="1" applyProtection="1">
      <alignment horizontal="center" wrapText="1"/>
    </xf>
    <xf numFmtId="0" fontId="11" fillId="5" borderId="1" xfId="0" applyFont="1" applyFill="1" applyBorder="1" applyAlignment="1" applyProtection="1">
      <alignment horizontal="center" wrapText="1"/>
    </xf>
    <xf numFmtId="0" fontId="11" fillId="5" borderId="9" xfId="0" applyFont="1" applyFill="1" applyBorder="1" applyProtection="1"/>
    <xf numFmtId="0" fontId="12" fillId="5" borderId="2" xfId="0" applyFont="1" applyFill="1" applyBorder="1" applyProtection="1"/>
    <xf numFmtId="0" fontId="12" fillId="5" borderId="18" xfId="0" applyFont="1" applyFill="1" applyBorder="1" applyProtection="1"/>
    <xf numFmtId="0" fontId="12" fillId="2" borderId="15" xfId="0" applyFont="1" applyFill="1" applyBorder="1" applyAlignment="1" applyProtection="1">
      <alignment horizontal="center" wrapText="1"/>
    </xf>
    <xf numFmtId="164" fontId="12" fillId="0" borderId="17" xfId="0" applyNumberFormat="1" applyFont="1" applyBorder="1" applyAlignment="1" applyProtection="1">
      <alignment horizontal="center"/>
    </xf>
    <xf numFmtId="164" fontId="11" fillId="0" borderId="17" xfId="0" applyNumberFormat="1" applyFont="1" applyFill="1" applyBorder="1" applyAlignment="1" applyProtection="1">
      <alignment horizontal="right"/>
    </xf>
    <xf numFmtId="0" fontId="11" fillId="0" borderId="19" xfId="0" applyFont="1" applyFill="1" applyBorder="1" applyAlignment="1" applyProtection="1">
      <alignment horizontal="center"/>
    </xf>
    <xf numFmtId="0" fontId="12" fillId="0" borderId="20" xfId="0" applyFont="1" applyFill="1" applyBorder="1" applyAlignment="1" applyProtection="1">
      <alignment horizontal="left"/>
    </xf>
    <xf numFmtId="0" fontId="12" fillId="0" borderId="21" xfId="0" applyFont="1" applyFill="1" applyBorder="1" applyAlignment="1" applyProtection="1">
      <alignment horizontal="center"/>
    </xf>
    <xf numFmtId="0" fontId="12" fillId="0" borderId="22" xfId="0" applyFont="1" applyFill="1" applyBorder="1" applyAlignment="1" applyProtection="1">
      <alignment horizontal="center"/>
    </xf>
    <xf numFmtId="0" fontId="12" fillId="2" borderId="23" xfId="0" applyFont="1" applyFill="1" applyBorder="1" applyAlignment="1" applyProtection="1">
      <alignment horizontal="center" wrapText="1"/>
    </xf>
    <xf numFmtId="0" fontId="11" fillId="5" borderId="6" xfId="0" applyFont="1" applyFill="1" applyBorder="1" applyAlignment="1" applyProtection="1">
      <alignment horizontal="center"/>
    </xf>
    <xf numFmtId="0" fontId="12" fillId="5" borderId="24" xfId="0" applyFont="1" applyFill="1" applyBorder="1" applyAlignment="1" applyProtection="1">
      <alignment horizontal="left"/>
    </xf>
    <xf numFmtId="0" fontId="12" fillId="5" borderId="0" xfId="0" applyFont="1" applyFill="1" applyBorder="1" applyProtection="1"/>
    <xf numFmtId="0" fontId="12" fillId="5" borderId="25" xfId="0" applyFont="1" applyFill="1" applyBorder="1" applyProtection="1"/>
    <xf numFmtId="0" fontId="11" fillId="0" borderId="6" xfId="0" applyFont="1" applyFill="1" applyBorder="1" applyAlignment="1" applyProtection="1">
      <alignment horizontal="center"/>
    </xf>
    <xf numFmtId="0" fontId="12" fillId="0" borderId="24" xfId="0" applyFont="1" applyFill="1" applyBorder="1" applyAlignment="1" applyProtection="1">
      <alignment horizontal="left"/>
    </xf>
    <xf numFmtId="0" fontId="12" fillId="0" borderId="0" xfId="0" applyFont="1" applyFill="1" applyBorder="1" applyProtection="1"/>
    <xf numFmtId="0" fontId="12" fillId="0" borderId="25" xfId="0" applyFont="1" applyFill="1" applyBorder="1" applyProtection="1"/>
    <xf numFmtId="0" fontId="12" fillId="2" borderId="26" xfId="0" applyFont="1" applyFill="1" applyBorder="1" applyAlignment="1" applyProtection="1">
      <alignment horizontal="center" wrapText="1"/>
    </xf>
    <xf numFmtId="0" fontId="11" fillId="5" borderId="27" xfId="0" applyFont="1" applyFill="1" applyBorder="1" applyAlignment="1" applyProtection="1">
      <alignment horizontal="center"/>
    </xf>
    <xf numFmtId="0" fontId="12" fillId="5" borderId="28" xfId="0" applyFont="1" applyFill="1" applyBorder="1" applyAlignment="1" applyProtection="1">
      <alignment horizontal="left"/>
    </xf>
    <xf numFmtId="0" fontId="12" fillId="5" borderId="16" xfId="0" applyFont="1" applyFill="1" applyBorder="1" applyProtection="1"/>
    <xf numFmtId="0" fontId="12" fillId="5" borderId="29" xfId="0" applyFont="1" applyFill="1" applyBorder="1" applyProtection="1"/>
    <xf numFmtId="164" fontId="11" fillId="0" borderId="31" xfId="0" applyNumberFormat="1" applyFont="1" applyFill="1" applyBorder="1" applyAlignment="1" applyProtection="1">
      <alignment horizontal="right"/>
    </xf>
    <xf numFmtId="0" fontId="12" fillId="0" borderId="0" xfId="0" applyFont="1" applyFill="1" applyProtection="1"/>
    <xf numFmtId="0" fontId="12" fillId="0" borderId="0" xfId="0" applyFont="1" applyFill="1" applyBorder="1" applyAlignment="1" applyProtection="1">
      <alignment horizontal="center"/>
    </xf>
    <xf numFmtId="0" fontId="11" fillId="0" borderId="0" xfId="0" applyFont="1" applyFill="1" applyBorder="1" applyAlignment="1" applyProtection="1">
      <alignment horizontal="right"/>
    </xf>
    <xf numFmtId="164" fontId="11" fillId="0" borderId="32" xfId="0" applyNumberFormat="1" applyFont="1" applyFill="1" applyBorder="1" applyAlignment="1" applyProtection="1">
      <alignment horizontal="right"/>
    </xf>
    <xf numFmtId="0" fontId="11" fillId="0" borderId="0" xfId="0" applyFont="1" applyFill="1" applyAlignment="1" applyProtection="1"/>
    <xf numFmtId="0" fontId="2" fillId="0" borderId="0" xfId="0" applyFont="1" applyFill="1" applyBorder="1" applyAlignment="1" applyProtection="1">
      <alignment wrapText="1"/>
    </xf>
    <xf numFmtId="0" fontId="11" fillId="0" borderId="0" xfId="0" applyFont="1" applyFill="1" applyBorder="1" applyProtection="1"/>
    <xf numFmtId="164" fontId="11" fillId="0" borderId="33" xfId="0" applyNumberFormat="1" applyFont="1" applyFill="1" applyBorder="1" applyAlignment="1" applyProtection="1">
      <alignment horizontal="right"/>
    </xf>
    <xf numFmtId="0" fontId="2" fillId="0" borderId="0" xfId="0" applyFont="1" applyFill="1" applyProtection="1"/>
    <xf numFmtId="0" fontId="12" fillId="0" borderId="32" xfId="0" applyFont="1" applyBorder="1" applyAlignment="1" applyProtection="1">
      <alignment horizontal="center"/>
    </xf>
    <xf numFmtId="0" fontId="11" fillId="0" borderId="0" xfId="0" applyFont="1" applyBorder="1" applyProtection="1"/>
    <xf numFmtId="0" fontId="11" fillId="0" borderId="30" xfId="0" applyFont="1" applyFill="1" applyBorder="1" applyProtection="1"/>
    <xf numFmtId="0" fontId="11" fillId="0" borderId="34" xfId="0" applyFont="1" applyFill="1" applyBorder="1" applyAlignment="1" applyProtection="1">
      <alignment horizontal="right"/>
    </xf>
    <xf numFmtId="164" fontId="11" fillId="0" borderId="35" xfId="0" applyNumberFormat="1" applyFont="1" applyFill="1" applyBorder="1" applyAlignment="1" applyProtection="1">
      <alignment horizontal="right"/>
    </xf>
    <xf numFmtId="0" fontId="12" fillId="0" borderId="0" xfId="0" applyFont="1" applyBorder="1" applyProtection="1"/>
    <xf numFmtId="0" fontId="12" fillId="0" borderId="0" xfId="0" applyFont="1" applyBorder="1" applyAlignment="1" applyProtection="1">
      <alignment horizontal="center"/>
    </xf>
    <xf numFmtId="0" fontId="18" fillId="0" borderId="0" xfId="0" applyFont="1" applyFill="1" applyBorder="1" applyAlignment="1" applyProtection="1">
      <alignment horizontal="right"/>
    </xf>
    <xf numFmtId="0" fontId="11" fillId="0" borderId="0" xfId="0" applyFont="1" applyBorder="1" applyAlignment="1" applyProtection="1"/>
    <xf numFmtId="0" fontId="2" fillId="0" borderId="0" xfId="0" applyNumberFormat="1" applyFont="1" applyBorder="1" applyProtection="1"/>
    <xf numFmtId="0" fontId="11" fillId="0" borderId="33" xfId="0" applyFont="1" applyFill="1" applyBorder="1" applyAlignment="1" applyProtection="1">
      <alignment horizontal="center"/>
    </xf>
    <xf numFmtId="0" fontId="12" fillId="0" borderId="32" xfId="0" applyFont="1" applyFill="1" applyBorder="1" applyProtection="1"/>
    <xf numFmtId="0" fontId="12" fillId="0" borderId="6" xfId="0" applyFont="1" applyFill="1" applyBorder="1" applyProtection="1"/>
    <xf numFmtId="0" fontId="12" fillId="0" borderId="27" xfId="0" applyFont="1" applyBorder="1" applyAlignment="1" applyProtection="1"/>
    <xf numFmtId="0" fontId="12" fillId="0" borderId="29" xfId="0" applyFont="1" applyFill="1" applyBorder="1" applyProtection="1"/>
    <xf numFmtId="0" fontId="11" fillId="0" borderId="30" xfId="0" applyFont="1" applyFill="1" applyBorder="1" applyAlignment="1" applyProtection="1">
      <alignment horizontal="left" indent="1"/>
    </xf>
    <xf numFmtId="0" fontId="12" fillId="0" borderId="30" xfId="0" applyFont="1" applyFill="1" applyBorder="1" applyAlignment="1" applyProtection="1">
      <alignment horizontal="center"/>
    </xf>
    <xf numFmtId="0" fontId="12" fillId="0" borderId="30" xfId="0" applyFont="1" applyFill="1" applyBorder="1" applyAlignment="1" applyProtection="1">
      <alignment horizontal="center" wrapText="1"/>
    </xf>
    <xf numFmtId="0" fontId="12" fillId="0" borderId="30" xfId="0" applyFont="1" applyFill="1" applyBorder="1" applyProtection="1"/>
    <xf numFmtId="0" fontId="12" fillId="0" borderId="0" xfId="0" applyFont="1" applyFill="1" applyBorder="1" applyAlignment="1" applyProtection="1">
      <alignment horizontal="left" vertical="top" indent="2"/>
    </xf>
    <xf numFmtId="0" fontId="12" fillId="0" borderId="0" xfId="0" applyFont="1" applyBorder="1" applyAlignment="1" applyProtection="1">
      <alignment horizontal="right"/>
    </xf>
    <xf numFmtId="0" fontId="12" fillId="0" borderId="32" xfId="0" applyFont="1" applyBorder="1" applyAlignment="1" applyProtection="1">
      <alignment horizontal="right"/>
    </xf>
    <xf numFmtId="44" fontId="11" fillId="0" borderId="35" xfId="2" applyFont="1" applyFill="1" applyBorder="1" applyProtection="1"/>
    <xf numFmtId="0" fontId="12" fillId="0" borderId="32" xfId="0" applyFont="1" applyFill="1" applyBorder="1" applyAlignment="1" applyProtection="1">
      <alignment horizontal="right"/>
    </xf>
    <xf numFmtId="0" fontId="12" fillId="0" borderId="30" xfId="0" applyFont="1" applyFill="1" applyBorder="1" applyAlignment="1" applyProtection="1">
      <alignment horizontal="right"/>
    </xf>
    <xf numFmtId="0" fontId="0" fillId="0" borderId="30" xfId="0" applyBorder="1" applyAlignment="1" applyProtection="1">
      <alignment horizontal="right"/>
    </xf>
    <xf numFmtId="44" fontId="12" fillId="0" borderId="36" xfId="2" applyFont="1" applyFill="1" applyBorder="1" applyAlignment="1" applyProtection="1">
      <alignment horizontal="center" wrapText="1"/>
    </xf>
    <xf numFmtId="0" fontId="11" fillId="0" borderId="37" xfId="0" applyFont="1" applyFill="1" applyBorder="1" applyAlignment="1" applyProtection="1">
      <alignment horizontal="right"/>
    </xf>
    <xf numFmtId="44" fontId="11" fillId="0" borderId="32" xfId="2" applyFont="1" applyFill="1" applyBorder="1" applyAlignment="1" applyProtection="1">
      <alignment horizontal="center" wrapText="1"/>
    </xf>
    <xf numFmtId="0" fontId="12" fillId="0" borderId="0" xfId="0" applyFont="1" applyFill="1" applyBorder="1" applyAlignment="1" applyProtection="1">
      <alignment horizontal="right" wrapText="1"/>
    </xf>
    <xf numFmtId="44" fontId="12" fillId="0" borderId="32" xfId="2" applyFont="1" applyFill="1" applyBorder="1" applyAlignment="1" applyProtection="1">
      <alignment horizontal="center" wrapText="1"/>
    </xf>
    <xf numFmtId="0" fontId="8" fillId="0" borderId="30" xfId="0" applyFont="1" applyFill="1" applyBorder="1" applyAlignment="1" applyProtection="1">
      <alignment wrapText="1"/>
    </xf>
    <xf numFmtId="0" fontId="9" fillId="0" borderId="30" xfId="0" applyFont="1" applyFill="1" applyBorder="1" applyAlignment="1" applyProtection="1"/>
    <xf numFmtId="44" fontId="11" fillId="0" borderId="35" xfId="2" applyFont="1" applyFill="1" applyBorder="1" applyAlignment="1" applyProtection="1">
      <alignment horizontal="center" wrapText="1"/>
    </xf>
    <xf numFmtId="0" fontId="9" fillId="0" borderId="0" xfId="0" applyFont="1" applyFill="1" applyBorder="1" applyProtection="1"/>
    <xf numFmtId="0" fontId="11" fillId="0" borderId="0" xfId="0" applyFont="1" applyBorder="1" applyAlignment="1" applyProtection="1">
      <alignment horizontal="center"/>
    </xf>
    <xf numFmtId="164" fontId="11" fillId="0" borderId="32" xfId="2" applyNumberFormat="1" applyFont="1" applyFill="1" applyBorder="1" applyProtection="1"/>
    <xf numFmtId="0" fontId="8" fillId="0" borderId="0" xfId="0" applyFont="1" applyFill="1" applyBorder="1" applyAlignment="1" applyProtection="1">
      <alignment horizontal="left" wrapText="1"/>
    </xf>
    <xf numFmtId="0" fontId="9" fillId="0" borderId="0" xfId="0" applyFont="1" applyFill="1" applyBorder="1" applyAlignment="1" applyProtection="1">
      <alignment wrapText="1"/>
    </xf>
    <xf numFmtId="44" fontId="11" fillId="0" borderId="0" xfId="2" applyFont="1" applyFill="1" applyBorder="1" applyAlignment="1" applyProtection="1">
      <alignment horizontal="center" wrapText="1"/>
    </xf>
    <xf numFmtId="0" fontId="12" fillId="0" borderId="0" xfId="0" applyFont="1" applyBorder="1" applyAlignment="1" applyProtection="1">
      <alignment wrapText="1"/>
    </xf>
    <xf numFmtId="8" fontId="12" fillId="0" borderId="0" xfId="0" applyNumberFormat="1" applyFont="1" applyBorder="1" applyAlignment="1" applyProtection="1">
      <alignment horizontal="center"/>
    </xf>
    <xf numFmtId="0" fontId="12" fillId="0" borderId="0" xfId="0" applyFont="1" applyAlignment="1" applyProtection="1">
      <alignment wrapText="1"/>
    </xf>
    <xf numFmtId="0" fontId="0" fillId="0" borderId="0" xfId="0" applyAlignment="1" applyProtection="1"/>
    <xf numFmtId="0" fontId="3" fillId="0" borderId="34" xfId="0" applyFont="1" applyBorder="1" applyAlignment="1" applyProtection="1">
      <alignment horizontal="right"/>
    </xf>
    <xf numFmtId="0" fontId="8" fillId="0" borderId="30" xfId="0" applyFont="1" applyFill="1" applyBorder="1" applyAlignment="1" applyProtection="1"/>
    <xf numFmtId="0" fontId="0" fillId="0" borderId="30" xfId="0" applyFill="1" applyBorder="1" applyAlignment="1" applyProtection="1"/>
    <xf numFmtId="44" fontId="12" fillId="0" borderId="35" xfId="2" applyNumberFormat="1" applyFont="1" applyFill="1" applyBorder="1" applyAlignment="1" applyProtection="1">
      <alignment horizontal="center" wrapText="1"/>
    </xf>
    <xf numFmtId="165" fontId="11" fillId="0" borderId="35" xfId="2" applyNumberFormat="1" applyFont="1" applyFill="1" applyBorder="1" applyProtection="1"/>
    <xf numFmtId="0" fontId="18" fillId="0" borderId="0" xfId="0" applyFont="1" applyFill="1" applyBorder="1" applyAlignment="1" applyProtection="1"/>
    <xf numFmtId="0" fontId="12" fillId="0" borderId="20" xfId="0" applyFont="1" applyFill="1" applyBorder="1" applyProtection="1"/>
    <xf numFmtId="0" fontId="8" fillId="0" borderId="38" xfId="0" applyFont="1" applyFill="1" applyBorder="1" applyAlignment="1" applyProtection="1">
      <alignment horizontal="left"/>
    </xf>
    <xf numFmtId="44" fontId="12" fillId="0" borderId="39" xfId="2" applyFont="1" applyFill="1" applyBorder="1" applyAlignment="1" applyProtection="1">
      <alignment horizontal="center" wrapText="1"/>
    </xf>
    <xf numFmtId="0" fontId="12" fillId="0" borderId="21" xfId="0" applyFont="1" applyFill="1" applyBorder="1" applyProtection="1"/>
    <xf numFmtId="0" fontId="12" fillId="0" borderId="24" xfId="0" applyFont="1" applyFill="1" applyBorder="1" applyProtection="1"/>
    <xf numFmtId="0" fontId="12" fillId="0" borderId="28" xfId="0" applyFont="1" applyFill="1" applyBorder="1" applyProtection="1"/>
    <xf numFmtId="0" fontId="22" fillId="0" borderId="16" xfId="0" applyFont="1" applyFill="1" applyBorder="1" applyProtection="1"/>
    <xf numFmtId="0" fontId="18" fillId="0" borderId="40" xfId="0" applyFont="1" applyFill="1" applyBorder="1" applyAlignment="1" applyProtection="1">
      <alignment horizontal="right"/>
    </xf>
    <xf numFmtId="44" fontId="11" fillId="5" borderId="41" xfId="2" applyFont="1" applyFill="1" applyBorder="1" applyAlignment="1" applyProtection="1">
      <alignment horizontal="center" wrapText="1"/>
    </xf>
    <xf numFmtId="0" fontId="12" fillId="0" borderId="16" xfId="0" applyFont="1" applyFill="1" applyBorder="1" applyProtection="1"/>
    <xf numFmtId="164" fontId="2" fillId="0" borderId="0" xfId="0" applyNumberFormat="1" applyFont="1" applyAlignment="1">
      <alignment horizontal="center"/>
    </xf>
    <xf numFmtId="0" fontId="6" fillId="6" borderId="0" xfId="0" applyFont="1" applyFill="1" applyBorder="1" applyAlignment="1">
      <alignment horizontal="center" wrapText="1"/>
    </xf>
    <xf numFmtId="44" fontId="6" fillId="6" borderId="0" xfId="2" applyFont="1" applyFill="1" applyBorder="1" applyAlignment="1" applyProtection="1">
      <alignment horizontal="center" wrapText="1"/>
      <protection locked="0" hidden="1"/>
    </xf>
    <xf numFmtId="0" fontId="6" fillId="0" borderId="26" xfId="0" applyFont="1" applyBorder="1" applyAlignment="1">
      <alignment horizontal="right" wrapText="1"/>
    </xf>
    <xf numFmtId="44" fontId="6" fillId="0" borderId="26" xfId="2" applyNumberFormat="1" applyFont="1" applyBorder="1" applyAlignment="1">
      <alignment horizontal="left" wrapText="1"/>
    </xf>
    <xf numFmtId="0" fontId="6" fillId="0" borderId="26" xfId="0" applyFont="1" applyBorder="1" applyAlignment="1">
      <alignment horizontal="center" wrapText="1"/>
    </xf>
    <xf numFmtId="2" fontId="6" fillId="0" borderId="26" xfId="0" applyNumberFormat="1" applyFont="1" applyBorder="1" applyAlignment="1">
      <alignment horizontal="center" wrapText="1"/>
    </xf>
    <xf numFmtId="44" fontId="6" fillId="6" borderId="26" xfId="2" applyFont="1" applyFill="1" applyBorder="1" applyAlignment="1" applyProtection="1">
      <alignment horizontal="center" wrapText="1"/>
      <protection locked="0" hidden="1"/>
    </xf>
    <xf numFmtId="44" fontId="25" fillId="0" borderId="0" xfId="2" applyFont="1" applyAlignment="1"/>
    <xf numFmtId="44" fontId="25" fillId="7" borderId="0" xfId="2" applyFont="1" applyFill="1" applyAlignment="1"/>
    <xf numFmtId="0" fontId="1" fillId="0" borderId="0" xfId="0" applyFont="1"/>
    <xf numFmtId="0" fontId="8" fillId="0" borderId="0" xfId="0" applyFont="1" applyFill="1" applyBorder="1" applyAlignment="1" applyProtection="1">
      <alignment horizontal="left" indent="3"/>
    </xf>
    <xf numFmtId="0" fontId="9" fillId="0" borderId="0" xfId="0" applyFont="1" applyFill="1" applyBorder="1" applyAlignment="1" applyProtection="1">
      <alignment horizontal="left" indent="3"/>
    </xf>
    <xf numFmtId="0" fontId="26" fillId="0" borderId="0" xfId="0" applyFont="1" applyFill="1" applyBorder="1" applyProtection="1"/>
    <xf numFmtId="164" fontId="11" fillId="4" borderId="14" xfId="0" applyNumberFormat="1" applyFont="1" applyFill="1" applyBorder="1" applyAlignment="1" applyProtection="1">
      <alignment horizontal="center"/>
      <protection locked="0"/>
    </xf>
    <xf numFmtId="0" fontId="27" fillId="0" borderId="0" xfId="0" applyFont="1" applyFill="1" applyBorder="1" applyAlignment="1" applyProtection="1">
      <alignment wrapText="1"/>
    </xf>
    <xf numFmtId="0" fontId="28" fillId="0" borderId="0" xfId="0" applyFont="1" applyProtection="1">
      <protection locked="0"/>
    </xf>
    <xf numFmtId="0" fontId="3" fillId="5" borderId="24" xfId="0" applyFont="1" applyFill="1" applyBorder="1" applyAlignment="1" applyProtection="1">
      <alignment horizontal="left"/>
    </xf>
    <xf numFmtId="0" fontId="11" fillId="5" borderId="19" xfId="0" applyFont="1" applyFill="1" applyBorder="1" applyAlignment="1" applyProtection="1">
      <alignment horizontal="center" wrapText="1"/>
    </xf>
    <xf numFmtId="0" fontId="12" fillId="0" borderId="21" xfId="0" applyFont="1" applyBorder="1" applyAlignment="1" applyProtection="1">
      <alignment horizontal="center"/>
    </xf>
    <xf numFmtId="0" fontId="12" fillId="0" borderId="22" xfId="0" applyFont="1" applyBorder="1" applyAlignment="1" applyProtection="1">
      <alignment horizontal="center"/>
    </xf>
    <xf numFmtId="0" fontId="11" fillId="0" borderId="27" xfId="0" applyFont="1" applyFill="1" applyBorder="1" applyAlignment="1" applyProtection="1">
      <alignment horizontal="center"/>
    </xf>
    <xf numFmtId="0" fontId="3" fillId="0" borderId="28" xfId="0" applyFont="1" applyFill="1" applyBorder="1" applyAlignment="1" applyProtection="1">
      <alignment horizontal="left"/>
    </xf>
    <xf numFmtId="0" fontId="12" fillId="0" borderId="16" xfId="0" applyFont="1" applyBorder="1" applyProtection="1">
      <protection locked="0"/>
    </xf>
    <xf numFmtId="0" fontId="12" fillId="0" borderId="16" xfId="0" applyFont="1" applyBorder="1" applyProtection="1"/>
    <xf numFmtId="0" fontId="12" fillId="0" borderId="29" xfId="0" applyFont="1" applyBorder="1" applyProtection="1"/>
    <xf numFmtId="0" fontId="3" fillId="5" borderId="0" xfId="0" applyFont="1" applyFill="1" applyBorder="1" applyAlignment="1" applyProtection="1">
      <alignment horizontal="left"/>
    </xf>
    <xf numFmtId="0" fontId="3" fillId="5" borderId="25" xfId="0" applyFont="1" applyFill="1" applyBorder="1" applyAlignment="1" applyProtection="1">
      <alignment horizontal="left"/>
    </xf>
    <xf numFmtId="0" fontId="11" fillId="5" borderId="2" xfId="0" applyFont="1" applyFill="1" applyBorder="1" applyProtection="1"/>
    <xf numFmtId="0" fontId="11" fillId="5" borderId="18" xfId="0" applyFont="1" applyFill="1" applyBorder="1" applyProtection="1"/>
    <xf numFmtId="0" fontId="3" fillId="0" borderId="20" xfId="0" applyFont="1" applyFill="1" applyBorder="1" applyAlignment="1" applyProtection="1">
      <alignment horizontal="left"/>
    </xf>
    <xf numFmtId="43" fontId="6" fillId="0" borderId="26" xfId="1" applyFont="1" applyFill="1" applyBorder="1" applyAlignment="1">
      <alignment horizontal="center" wrapText="1"/>
    </xf>
    <xf numFmtId="43" fontId="6" fillId="0" borderId="0" xfId="0" applyNumberFormat="1" applyFont="1"/>
    <xf numFmtId="0" fontId="3" fillId="0" borderId="0" xfId="0" applyFont="1"/>
    <xf numFmtId="0" fontId="12" fillId="0" borderId="0" xfId="0" applyFont="1" applyFill="1" applyBorder="1" applyAlignment="1" applyProtection="1"/>
    <xf numFmtId="0" fontId="11" fillId="0" borderId="30" xfId="0" applyFont="1" applyFill="1" applyBorder="1" applyAlignment="1" applyProtection="1">
      <alignment horizontal="right"/>
    </xf>
    <xf numFmtId="0" fontId="0" fillId="0" borderId="0" xfId="0"/>
    <xf numFmtId="0" fontId="18" fillId="0" borderId="0" xfId="0" applyFont="1"/>
    <xf numFmtId="0" fontId="18" fillId="0" borderId="0" xfId="0" applyFont="1" applyAlignment="1">
      <alignment horizontal="right"/>
    </xf>
    <xf numFmtId="164" fontId="11" fillId="0" borderId="32" xfId="0" applyNumberFormat="1" applyFont="1" applyBorder="1" applyAlignment="1">
      <alignment horizontal="right"/>
    </xf>
    <xf numFmtId="0" fontId="11" fillId="0" borderId="0" xfId="0" applyFont="1"/>
    <xf numFmtId="3" fontId="11" fillId="4" borderId="14" xfId="0" applyNumberFormat="1" applyFont="1" applyFill="1" applyBorder="1" applyAlignment="1" applyProtection="1">
      <alignment horizontal="center"/>
      <protection locked="0"/>
    </xf>
    <xf numFmtId="0" fontId="11" fillId="0" borderId="0" xfId="0" applyFont="1" applyAlignment="1">
      <alignment horizontal="right"/>
    </xf>
    <xf numFmtId="4" fontId="11" fillId="0" borderId="32" xfId="0" quotePrefix="1" applyNumberFormat="1" applyFont="1" applyBorder="1" applyAlignment="1">
      <alignment horizontal="right"/>
    </xf>
    <xf numFmtId="0" fontId="7" fillId="0" borderId="0" xfId="0" applyFont="1" applyAlignment="1">
      <alignment horizontal="left" indent="3"/>
    </xf>
    <xf numFmtId="0" fontId="6" fillId="0" borderId="0" xfId="0" applyFont="1" applyAlignment="1">
      <alignment horizontal="left" indent="3"/>
    </xf>
    <xf numFmtId="0" fontId="11" fillId="0" borderId="30" xfId="0" applyFont="1" applyBorder="1"/>
    <xf numFmtId="0" fontId="11" fillId="0" borderId="34" xfId="0" applyFont="1" applyBorder="1" applyAlignment="1">
      <alignment horizontal="right"/>
    </xf>
    <xf numFmtId="164" fontId="11" fillId="0" borderId="35" xfId="0" applyNumberFormat="1" applyFont="1" applyBorder="1" applyAlignment="1">
      <alignment horizontal="right"/>
    </xf>
    <xf numFmtId="0" fontId="7" fillId="0" borderId="0" xfId="0" applyFont="1" applyBorder="1" applyAlignment="1">
      <alignment horizontal="left" indent="3"/>
    </xf>
    <xf numFmtId="0" fontId="6" fillId="0" borderId="0" xfId="0" applyFont="1" applyBorder="1" applyAlignment="1">
      <alignment horizontal="left" indent="3"/>
    </xf>
    <xf numFmtId="0" fontId="11" fillId="0" borderId="0" xfId="0" applyFont="1" applyBorder="1"/>
    <xf numFmtId="0" fontId="11" fillId="0" borderId="0" xfId="0" applyFont="1" applyBorder="1" applyAlignment="1">
      <alignment horizontal="right"/>
    </xf>
    <xf numFmtId="0" fontId="3" fillId="0" borderId="0" xfId="0" applyFont="1" applyAlignment="1" applyProtection="1">
      <alignment horizontal="center"/>
    </xf>
    <xf numFmtId="0" fontId="3" fillId="0" borderId="0" xfId="0" applyFont="1" applyAlignment="1" applyProtection="1">
      <alignment horizontal="center"/>
      <protection locked="0"/>
    </xf>
    <xf numFmtId="0" fontId="3" fillId="0" borderId="0" xfId="0" applyFont="1" applyProtection="1">
      <protection locked="0"/>
    </xf>
    <xf numFmtId="0" fontId="11" fillId="0" borderId="6" xfId="0" applyFont="1" applyFill="1" applyBorder="1" applyAlignment="1" applyProtection="1">
      <alignment horizontal="center" wrapText="1"/>
    </xf>
    <xf numFmtId="0" fontId="0" fillId="0" borderId="6" xfId="0" applyBorder="1" applyAlignment="1" applyProtection="1">
      <alignment wrapText="1"/>
    </xf>
    <xf numFmtId="0" fontId="12" fillId="0" borderId="0" xfId="0" applyFont="1" applyFill="1" applyBorder="1" applyAlignment="1" applyProtection="1">
      <alignment horizontal="left" vertical="center" wrapText="1"/>
    </xf>
    <xf numFmtId="0" fontId="0" fillId="0" borderId="0" xfId="0" applyBorder="1" applyAlignment="1" applyProtection="1">
      <alignment vertical="center" wrapText="1"/>
    </xf>
    <xf numFmtId="0" fontId="0" fillId="0" borderId="25" xfId="0" applyBorder="1" applyAlignment="1" applyProtection="1">
      <alignment vertical="center" wrapText="1"/>
    </xf>
    <xf numFmtId="0" fontId="10" fillId="0" borderId="24" xfId="3" applyBorder="1" applyAlignment="1" applyProtection="1">
      <alignment vertical="top" wrapText="1"/>
      <protection locked="0"/>
    </xf>
    <xf numFmtId="0" fontId="10" fillId="0" borderId="0" xfId="3" applyBorder="1" applyAlignment="1" applyProtection="1">
      <alignment vertical="top" wrapText="1"/>
      <protection locked="0"/>
    </xf>
    <xf numFmtId="0" fontId="10" fillId="0" borderId="28" xfId="3" applyBorder="1" applyAlignment="1" applyProtection="1">
      <alignment vertical="top" wrapText="1"/>
      <protection locked="0"/>
    </xf>
    <xf numFmtId="0" fontId="10" fillId="0" borderId="16" xfId="3" applyBorder="1" applyAlignment="1" applyProtection="1">
      <alignment vertical="top" wrapText="1"/>
      <protection locked="0"/>
    </xf>
    <xf numFmtId="0" fontId="4" fillId="0" borderId="0" xfId="0" applyFont="1" applyAlignment="1" applyProtection="1">
      <alignment wrapText="1"/>
    </xf>
    <xf numFmtId="0" fontId="0" fillId="0" borderId="0" xfId="0" applyAlignment="1" applyProtection="1">
      <alignment wrapText="1"/>
    </xf>
    <xf numFmtId="0" fontId="18" fillId="0" borderId="16" xfId="0" applyFont="1" applyFill="1" applyBorder="1" applyAlignment="1" applyProtection="1">
      <alignment horizontal="left"/>
    </xf>
    <xf numFmtId="0" fontId="14" fillId="0" borderId="0" xfId="3" applyFont="1" applyFill="1" applyBorder="1" applyAlignment="1" applyProtection="1">
      <alignment horizontal="right" vertical="center"/>
      <protection locked="0"/>
    </xf>
    <xf numFmtId="0" fontId="11" fillId="0" borderId="0" xfId="0" applyFont="1" applyFill="1" applyBorder="1" applyAlignment="1" applyProtection="1">
      <alignment vertical="center"/>
      <protection locked="0"/>
    </xf>
    <xf numFmtId="0" fontId="16" fillId="0" borderId="0" xfId="0" applyFont="1" applyFill="1" applyBorder="1" applyAlignment="1" applyProtection="1">
      <alignment wrapText="1"/>
    </xf>
    <xf numFmtId="0" fontId="0" fillId="0" borderId="0" xfId="0" applyBorder="1" applyAlignment="1" applyProtection="1"/>
    <xf numFmtId="0" fontId="8" fillId="0" borderId="30" xfId="0" applyFont="1" applyFill="1" applyBorder="1" applyAlignment="1" applyProtection="1">
      <alignment horizontal="left" indent="3"/>
    </xf>
    <xf numFmtId="0" fontId="9" fillId="0" borderId="30" xfId="0" applyFont="1" applyFill="1" applyBorder="1" applyAlignment="1" applyProtection="1">
      <alignment horizontal="left" indent="3"/>
    </xf>
    <xf numFmtId="0" fontId="12" fillId="5" borderId="24" xfId="0" applyFont="1" applyFill="1" applyBorder="1" applyAlignment="1" applyProtection="1">
      <alignment horizontal="left" wrapText="1"/>
    </xf>
    <xf numFmtId="0" fontId="0" fillId="0" borderId="25" xfId="0" applyBorder="1" applyAlignment="1" applyProtection="1">
      <alignment wrapText="1"/>
    </xf>
    <xf numFmtId="0" fontId="0" fillId="0" borderId="24" xfId="0" applyBorder="1" applyAlignment="1" applyProtection="1">
      <alignment wrapText="1"/>
    </xf>
    <xf numFmtId="0" fontId="11" fillId="5" borderId="6" xfId="0" applyFont="1" applyFill="1" applyBorder="1" applyAlignment="1" applyProtection="1">
      <alignment horizontal="center" vertical="center" wrapText="1"/>
    </xf>
    <xf numFmtId="0" fontId="0" fillId="0" borderId="6" xfId="0" applyBorder="1" applyAlignment="1" applyProtection="1">
      <alignment horizontal="center" vertical="center" wrapText="1"/>
    </xf>
    <xf numFmtId="0" fontId="18" fillId="0" borderId="0" xfId="0" applyFont="1" applyFill="1" applyBorder="1" applyAlignment="1" applyProtection="1">
      <alignment horizontal="left" wrapText="1"/>
    </xf>
    <xf numFmtId="0" fontId="0" fillId="0" borderId="0" xfId="0" applyAlignment="1" applyProtection="1"/>
    <xf numFmtId="0" fontId="0" fillId="0" borderId="42" xfId="0" applyBorder="1" applyAlignment="1" applyProtection="1"/>
    <xf numFmtId="0" fontId="11" fillId="5" borderId="9" xfId="0" applyFont="1" applyFill="1" applyBorder="1" applyAlignment="1" applyProtection="1"/>
    <xf numFmtId="0" fontId="0" fillId="0" borderId="2" xfId="0" applyBorder="1" applyAlignment="1" applyProtection="1"/>
    <xf numFmtId="0" fontId="0" fillId="0" borderId="18" xfId="0" applyBorder="1" applyAlignment="1" applyProtection="1"/>
    <xf numFmtId="0" fontId="12" fillId="0" borderId="38" xfId="0" applyFont="1" applyFill="1" applyBorder="1" applyAlignment="1" applyProtection="1">
      <alignment horizontal="right"/>
    </xf>
    <xf numFmtId="0" fontId="12" fillId="0" borderId="43" xfId="0" applyFont="1" applyFill="1" applyBorder="1" applyAlignment="1" applyProtection="1">
      <alignment horizontal="right"/>
    </xf>
    <xf numFmtId="0" fontId="10" fillId="0" borderId="0" xfId="3" applyFill="1" applyBorder="1" applyAlignment="1" applyProtection="1">
      <alignment horizontal="right" vertical="center"/>
      <protection locked="0"/>
    </xf>
    <xf numFmtId="0" fontId="10" fillId="0" borderId="0" xfId="3" applyFill="1" applyBorder="1" applyAlignment="1" applyProtection="1">
      <alignment vertical="center"/>
      <protection locked="0"/>
    </xf>
    <xf numFmtId="0" fontId="18" fillId="0" borderId="0" xfId="0" applyFont="1" applyFill="1" applyBorder="1" applyAlignment="1" applyProtection="1">
      <alignment horizontal="left" vertical="center"/>
    </xf>
    <xf numFmtId="0" fontId="0" fillId="0" borderId="0" xfId="0" applyAlignment="1" applyProtection="1">
      <alignment vertical="center"/>
    </xf>
    <xf numFmtId="0" fontId="11" fillId="0" borderId="0" xfId="0" applyFont="1" applyAlignment="1" applyProtection="1">
      <alignment vertical="top" wrapText="1"/>
    </xf>
    <xf numFmtId="0" fontId="12" fillId="0" borderId="0" xfId="0" applyFont="1" applyFill="1" applyBorder="1" applyAlignment="1" applyProtection="1">
      <alignment horizontal="left" vertical="top" wrapText="1"/>
    </xf>
    <xf numFmtId="0" fontId="11" fillId="0" borderId="30" xfId="0" applyFont="1" applyFill="1" applyBorder="1" applyAlignment="1" applyProtection="1">
      <alignment horizontal="right"/>
    </xf>
    <xf numFmtId="0" fontId="0" fillId="0" borderId="30" xfId="0" applyBorder="1" applyAlignment="1" applyProtection="1"/>
    <xf numFmtId="0" fontId="0" fillId="0" borderId="47" xfId="0" applyBorder="1" applyAlignment="1" applyProtection="1"/>
    <xf numFmtId="0" fontId="0" fillId="0" borderId="48" xfId="0" applyBorder="1" applyAlignment="1" applyProtection="1"/>
    <xf numFmtId="0" fontId="16" fillId="0" borderId="0" xfId="0" applyFont="1" applyFill="1" applyBorder="1" applyAlignment="1" applyProtection="1">
      <alignment horizontal="left" vertical="top" wrapText="1"/>
    </xf>
    <xf numFmtId="0" fontId="12" fillId="0" borderId="0" xfId="0" applyFont="1" applyFill="1" applyBorder="1" applyAlignment="1" applyProtection="1">
      <alignment vertical="top" wrapText="1"/>
    </xf>
    <xf numFmtId="0" fontId="12" fillId="0" borderId="0" xfId="0" applyFont="1" applyFill="1" applyBorder="1" applyAlignment="1" applyProtection="1">
      <alignment vertical="center" wrapText="1"/>
    </xf>
    <xf numFmtId="0" fontId="18" fillId="0" borderId="0" xfId="0" applyFont="1" applyFill="1" applyBorder="1" applyAlignment="1" applyProtection="1">
      <alignment horizontal="left"/>
    </xf>
    <xf numFmtId="0" fontId="12" fillId="0" borderId="21" xfId="0" applyFont="1" applyFill="1" applyBorder="1" applyAlignment="1" applyProtection="1"/>
    <xf numFmtId="0" fontId="12" fillId="0" borderId="22" xfId="0" applyFont="1" applyFill="1" applyBorder="1" applyAlignment="1" applyProtection="1"/>
    <xf numFmtId="0" fontId="12" fillId="0" borderId="45" xfId="0" applyFont="1" applyFill="1" applyBorder="1" applyAlignment="1" applyProtection="1">
      <alignment horizontal="right"/>
    </xf>
    <xf numFmtId="0" fontId="12" fillId="0" borderId="46" xfId="0" applyFont="1" applyFill="1" applyBorder="1" applyAlignment="1" applyProtection="1">
      <alignment horizontal="right"/>
    </xf>
    <xf numFmtId="0" fontId="12" fillId="0" borderId="0" xfId="0" applyFont="1" applyFill="1" applyBorder="1" applyAlignment="1" applyProtection="1"/>
    <xf numFmtId="0" fontId="12" fillId="0" borderId="16" xfId="0" applyFont="1" applyFill="1" applyBorder="1" applyAlignment="1" applyProtection="1"/>
    <xf numFmtId="0" fontId="12" fillId="0" borderId="29" xfId="0" applyFont="1" applyFill="1" applyBorder="1" applyAlignment="1" applyProtection="1"/>
    <xf numFmtId="0" fontId="3" fillId="0" borderId="0" xfId="0" applyFont="1"/>
    <xf numFmtId="0" fontId="12" fillId="0" borderId="25" xfId="0" applyFont="1" applyFill="1" applyBorder="1" applyAlignment="1" applyProtection="1"/>
    <xf numFmtId="0" fontId="19" fillId="0" borderId="0" xfId="0" applyFont="1" applyFill="1" applyBorder="1" applyAlignment="1" applyProtection="1">
      <alignment vertical="top" wrapText="1"/>
    </xf>
    <xf numFmtId="0" fontId="8" fillId="0" borderId="30" xfId="0" applyFont="1" applyFill="1" applyBorder="1" applyAlignment="1" applyProtection="1">
      <alignment horizontal="left" wrapText="1"/>
    </xf>
    <xf numFmtId="0" fontId="8" fillId="0" borderId="34" xfId="0" applyFont="1" applyFill="1" applyBorder="1" applyAlignment="1" applyProtection="1">
      <alignment horizontal="left" wrapText="1"/>
    </xf>
    <xf numFmtId="0" fontId="16" fillId="0" borderId="0" xfId="0" applyFont="1" applyAlignment="1">
      <alignment horizontal="left" vertical="top" wrapText="1"/>
    </xf>
    <xf numFmtId="0" fontId="7" fillId="0" borderId="30" xfId="0" applyFont="1" applyBorder="1" applyAlignment="1">
      <alignment horizontal="left" indent="3"/>
    </xf>
    <xf numFmtId="0" fontId="6" fillId="0" borderId="30" xfId="0" applyFont="1" applyBorder="1" applyAlignment="1">
      <alignment horizontal="left" indent="3"/>
    </xf>
    <xf numFmtId="0" fontId="8" fillId="0" borderId="44" xfId="0" applyFont="1" applyFill="1" applyBorder="1" applyAlignment="1" applyProtection="1">
      <alignment horizontal="left" wrapText="1"/>
    </xf>
    <xf numFmtId="0" fontId="1" fillId="0" borderId="0" xfId="0" applyFont="1"/>
    <xf numFmtId="0" fontId="0" fillId="0" borderId="0" xfId="0"/>
  </cellXfs>
  <cellStyles count="4">
    <cellStyle name="Comma" xfId="1" builtinId="3"/>
    <cellStyle name="Currency" xfId="2" builtinId="4"/>
    <cellStyle name="Hyperlink" xfId="3" builtinId="8"/>
    <cellStyle name="Normal" xfId="0" builtinId="0"/>
  </cellStyles>
  <dxfs count="1">
    <dxf>
      <font>
        <color rgb="FFFF0000"/>
      </font>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png"/><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13</xdr:col>
      <xdr:colOff>809625</xdr:colOff>
      <xdr:row>45</xdr:row>
      <xdr:rowOff>19050</xdr:rowOff>
    </xdr:from>
    <xdr:to>
      <xdr:col>13</xdr:col>
      <xdr:colOff>1047750</xdr:colOff>
      <xdr:row>46</xdr:row>
      <xdr:rowOff>85725</xdr:rowOff>
    </xdr:to>
    <xdr:pic>
      <xdr:nvPicPr>
        <xdr:cNvPr id="5197" name="Picture 35" descr="help">
          <a:extLst>
            <a:ext uri="{FF2B5EF4-FFF2-40B4-BE49-F238E27FC236}">
              <a16:creationId xmlns:a16="http://schemas.microsoft.com/office/drawing/2014/main" id="{1B8A2AB8-E328-4AF5-81B7-1082789CFB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48675" y="9077325"/>
          <a:ext cx="2381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76200</xdr:colOff>
      <xdr:row>4</xdr:row>
      <xdr:rowOff>152400</xdr:rowOff>
    </xdr:from>
    <xdr:to>
      <xdr:col>17</xdr:col>
      <xdr:colOff>323850</xdr:colOff>
      <xdr:row>5</xdr:row>
      <xdr:rowOff>171450</xdr:rowOff>
    </xdr:to>
    <xdr:pic>
      <xdr:nvPicPr>
        <xdr:cNvPr id="5198" name="Picture 36" descr="help">
          <a:extLst>
            <a:ext uri="{FF2B5EF4-FFF2-40B4-BE49-F238E27FC236}">
              <a16:creationId xmlns:a16="http://schemas.microsoft.com/office/drawing/2014/main" id="{B984D1AC-00FF-4244-81DB-E17AB1ABBF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01450" y="1866900"/>
          <a:ext cx="2476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104775</xdr:colOff>
      <xdr:row>5</xdr:row>
      <xdr:rowOff>76200</xdr:rowOff>
    </xdr:from>
    <xdr:to>
      <xdr:col>2</xdr:col>
      <xdr:colOff>9525</xdr:colOff>
      <xdr:row>6</xdr:row>
      <xdr:rowOff>114300</xdr:rowOff>
    </xdr:to>
    <xdr:pic>
      <xdr:nvPicPr>
        <xdr:cNvPr id="5199" name="Picture 49" descr="checkbox">
          <a:extLst>
            <a:ext uri="{FF2B5EF4-FFF2-40B4-BE49-F238E27FC236}">
              <a16:creationId xmlns:a16="http://schemas.microsoft.com/office/drawing/2014/main" id="{588B6EAB-FBC6-42C5-AAC0-1BBCF415029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4775" y="1990725"/>
          <a:ext cx="2762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38</xdr:row>
      <xdr:rowOff>85725</xdr:rowOff>
    </xdr:from>
    <xdr:to>
      <xdr:col>2</xdr:col>
      <xdr:colOff>0</xdr:colOff>
      <xdr:row>38</xdr:row>
      <xdr:rowOff>333375</xdr:rowOff>
    </xdr:to>
    <xdr:pic>
      <xdr:nvPicPr>
        <xdr:cNvPr id="5200" name="Picture 52" descr="checkbox">
          <a:extLst>
            <a:ext uri="{FF2B5EF4-FFF2-40B4-BE49-F238E27FC236}">
              <a16:creationId xmlns:a16="http://schemas.microsoft.com/office/drawing/2014/main" id="{B136F9FA-4835-4ABD-8FC8-AA479077A43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7219950"/>
          <a:ext cx="2762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542925</xdr:colOff>
      <xdr:row>73</xdr:row>
      <xdr:rowOff>9525</xdr:rowOff>
    </xdr:from>
    <xdr:to>
      <xdr:col>3</xdr:col>
      <xdr:colOff>828675</xdr:colOff>
      <xdr:row>73</xdr:row>
      <xdr:rowOff>257175</xdr:rowOff>
    </xdr:to>
    <xdr:pic>
      <xdr:nvPicPr>
        <xdr:cNvPr id="5201" name="Picture 53" descr="checkbox">
          <a:extLst>
            <a:ext uri="{FF2B5EF4-FFF2-40B4-BE49-F238E27FC236}">
              <a16:creationId xmlns:a16="http://schemas.microsoft.com/office/drawing/2014/main" id="{07214A8F-C889-44F5-A2A3-EA05499C6B4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9175" y="13935075"/>
          <a:ext cx="2857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55245</xdr:colOff>
      <xdr:row>0</xdr:row>
      <xdr:rowOff>114300</xdr:rowOff>
    </xdr:from>
    <xdr:to>
      <xdr:col>19</xdr:col>
      <xdr:colOff>325122</xdr:colOff>
      <xdr:row>3</xdr:row>
      <xdr:rowOff>0</xdr:rowOff>
    </xdr:to>
    <xdr:sp macro="" textlink="">
      <xdr:nvSpPr>
        <xdr:cNvPr id="1084" name="Text Box 60">
          <a:extLst>
            <a:ext uri="{FF2B5EF4-FFF2-40B4-BE49-F238E27FC236}">
              <a16:creationId xmlns:a16="http://schemas.microsoft.com/office/drawing/2014/main" id="{8005B6A9-5064-4F69-945B-A3A12DE10573}"/>
            </a:ext>
          </a:extLst>
        </xdr:cNvPr>
        <xdr:cNvSpPr txBox="1">
          <a:spLocks noChangeArrowheads="1"/>
        </xdr:cNvSpPr>
      </xdr:nvSpPr>
      <xdr:spPr bwMode="auto">
        <a:xfrm>
          <a:off x="6953250" y="114300"/>
          <a:ext cx="6515100" cy="1323975"/>
        </a:xfrm>
        <a:prstGeom prst="rect">
          <a:avLst/>
        </a:prstGeom>
        <a:noFill/>
        <a:ln w="25400">
          <a:solidFill>
            <a:srgbClr val="000000"/>
          </a:solidFill>
          <a:miter lim="800000"/>
          <a:headEnd/>
          <a:tailEnd/>
        </a:ln>
      </xdr:spPr>
      <xdr:txBody>
        <a:bodyPr vertOverflow="clip" wrap="square" lIns="182880" tIns="182880" rIns="182880" bIns="182880" anchor="t" upright="1"/>
        <a:lstStyle/>
        <a:p>
          <a:pPr algn="l" rtl="0">
            <a:lnSpc>
              <a:spcPts val="800"/>
            </a:lnSpc>
            <a:defRPr sz="1000"/>
          </a:pPr>
          <a:r>
            <a:rPr lang="en-US" sz="1000" b="1" i="0" u="none" strike="noStrike" baseline="0">
              <a:solidFill>
                <a:srgbClr val="000000"/>
              </a:solidFill>
              <a:latin typeface="Arial"/>
              <a:cs typeface="Arial"/>
            </a:rPr>
            <a:t>Please note</a:t>
          </a:r>
          <a:r>
            <a:rPr lang="en-US" sz="1000" b="0" i="0" u="none" strike="noStrike" baseline="0">
              <a:solidFill>
                <a:srgbClr val="000000"/>
              </a:solidFill>
              <a:latin typeface="Arial"/>
              <a:cs typeface="Arial"/>
            </a:rPr>
            <a:t> that 50 - 75% of the total plan review and permit fees will be due at application intake (see Step #4 for Calculated Intake Fee). The remainder of the permit fees will be due when the permit is issued to you. </a:t>
          </a:r>
        </a:p>
        <a:p>
          <a:pPr algn="l" rtl="0">
            <a:lnSpc>
              <a:spcPts val="800"/>
            </a:lnSpc>
            <a:defRPr sz="1000"/>
          </a:pPr>
          <a:endParaRPr lang="en-US" sz="1000" b="0" i="0" u="none" strike="noStrike" baseline="0">
            <a:solidFill>
              <a:srgbClr val="000000"/>
            </a:solidFill>
            <a:latin typeface="Arial"/>
            <a:cs typeface="Arial"/>
          </a:endParaRPr>
        </a:p>
        <a:p>
          <a:pPr algn="l" rtl="0">
            <a:lnSpc>
              <a:spcPts val="800"/>
            </a:lnSpc>
            <a:defRPr sz="1000"/>
          </a:pPr>
          <a:r>
            <a:rPr lang="en-US" sz="1000" b="1" i="0" u="none" strike="noStrike" baseline="0">
              <a:solidFill>
                <a:srgbClr val="000000"/>
              </a:solidFill>
              <a:latin typeface="Arial"/>
              <a:cs typeface="Arial"/>
            </a:rPr>
            <a:t>Renovation-ONLY Projects:</a:t>
          </a:r>
          <a:r>
            <a:rPr lang="en-US" sz="1000" b="0" i="0" u="none" strike="noStrike" baseline="0">
              <a:solidFill>
                <a:srgbClr val="000000"/>
              </a:solidFill>
              <a:latin typeface="Arial"/>
              <a:cs typeface="Arial"/>
            </a:rPr>
            <a:t> Fees for renovation projects that do NOT involve adding new square footage can be calculated by starting with step #2. For example, tenant improvements, kitchen remodels, and interior alterations.</a:t>
          </a:r>
        </a:p>
        <a:p>
          <a:pPr algn="l" rtl="0">
            <a:lnSpc>
              <a:spcPts val="900"/>
            </a:lnSpc>
            <a:defRPr sz="1000"/>
          </a:pPr>
          <a:endParaRPr lang="en-US" sz="1000" b="0" i="0" u="none" strike="noStrike" baseline="0">
            <a:solidFill>
              <a:srgbClr val="000000"/>
            </a:solidFill>
            <a:latin typeface="Arial"/>
            <a:cs typeface="Arial"/>
          </a:endParaRPr>
        </a:p>
        <a:p>
          <a:pPr algn="l" rtl="0">
            <a:lnSpc>
              <a:spcPts val="700"/>
            </a:lnSpc>
            <a:defRPr sz="1000"/>
          </a:pPr>
          <a:r>
            <a:rPr lang="en-US" sz="1000" b="1" i="0" u="none" strike="noStrike" baseline="0">
              <a:solidFill>
                <a:srgbClr val="000000"/>
              </a:solidFill>
              <a:latin typeface="Arial"/>
              <a:cs typeface="Arial"/>
            </a:rPr>
            <a:t>Renovation-ONLY Projects:</a:t>
          </a:r>
          <a:r>
            <a:rPr lang="en-US" sz="1000" b="0" i="0" u="none" strike="noStrike" baseline="0">
              <a:solidFill>
                <a:srgbClr val="000000"/>
              </a:solidFill>
              <a:latin typeface="Arial"/>
              <a:cs typeface="Arial"/>
            </a:rPr>
            <a:t> Fees for renovation projects that do NOT involve adding new square footage can be calculated by starting with step #2. For example, tenant improvements, kitchen remodels, and interior alterations.</a:t>
          </a:r>
        </a:p>
      </xdr:txBody>
    </xdr:sp>
    <xdr:clientData fPrintsWithSheet="0"/>
  </xdr:twoCellAnchor>
  <xdr:twoCellAnchor editAs="oneCell">
    <xdr:from>
      <xdr:col>3</xdr:col>
      <xdr:colOff>323850</xdr:colOff>
      <xdr:row>64</xdr:row>
      <xdr:rowOff>133350</xdr:rowOff>
    </xdr:from>
    <xdr:to>
      <xdr:col>3</xdr:col>
      <xdr:colOff>600075</xdr:colOff>
      <xdr:row>65</xdr:row>
      <xdr:rowOff>257175</xdr:rowOff>
    </xdr:to>
    <xdr:pic>
      <xdr:nvPicPr>
        <xdr:cNvPr id="5203" name="Picture 63" descr="dollar">
          <a:extLst>
            <a:ext uri="{FF2B5EF4-FFF2-40B4-BE49-F238E27FC236}">
              <a16:creationId xmlns:a16="http://schemas.microsoft.com/office/drawing/2014/main" id="{62E20CA4-7189-4B58-A085-33C193D60CD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00100" y="11877675"/>
          <a:ext cx="2762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51</xdr:row>
      <xdr:rowOff>0</xdr:rowOff>
    </xdr:from>
    <xdr:to>
      <xdr:col>2</xdr:col>
      <xdr:colOff>19050</xdr:colOff>
      <xdr:row>52</xdr:row>
      <xdr:rowOff>95250</xdr:rowOff>
    </xdr:to>
    <xdr:pic>
      <xdr:nvPicPr>
        <xdr:cNvPr id="5204" name="Picture 50" descr="checkbox">
          <a:extLst>
            <a:ext uri="{FF2B5EF4-FFF2-40B4-BE49-F238E27FC236}">
              <a16:creationId xmlns:a16="http://schemas.microsoft.com/office/drawing/2014/main" id="{ABCF8A7C-5BD4-4353-BB30-9B19037182B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300" y="8458200"/>
          <a:ext cx="2762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55</xdr:row>
      <xdr:rowOff>219075</xdr:rowOff>
    </xdr:from>
    <xdr:to>
      <xdr:col>2</xdr:col>
      <xdr:colOff>19050</xdr:colOff>
      <xdr:row>56</xdr:row>
      <xdr:rowOff>257175</xdr:rowOff>
    </xdr:to>
    <xdr:pic>
      <xdr:nvPicPr>
        <xdr:cNvPr id="5205" name="Picture 50" descr="checkbox">
          <a:extLst>
            <a:ext uri="{FF2B5EF4-FFF2-40B4-BE49-F238E27FC236}">
              <a16:creationId xmlns:a16="http://schemas.microsoft.com/office/drawing/2014/main" id="{68483FAE-EC9D-47C0-B910-D16A1724E01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300" y="9591675"/>
          <a:ext cx="2762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43</xdr:row>
      <xdr:rowOff>0</xdr:rowOff>
    </xdr:from>
    <xdr:to>
      <xdr:col>2</xdr:col>
      <xdr:colOff>19050</xdr:colOff>
      <xdr:row>44</xdr:row>
      <xdr:rowOff>95250</xdr:rowOff>
    </xdr:to>
    <xdr:pic>
      <xdr:nvPicPr>
        <xdr:cNvPr id="11" name="Picture 50" descr="checkbox">
          <a:extLst>
            <a:ext uri="{FF2B5EF4-FFF2-40B4-BE49-F238E27FC236}">
              <a16:creationId xmlns:a16="http://schemas.microsoft.com/office/drawing/2014/main" id="{64F2626C-D341-4BF2-8E17-A6CE6FB00EC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300" y="8410575"/>
          <a:ext cx="2762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omments" Target="../comments1.xml"/><Relationship Id="rId2" Type="http://schemas.openxmlformats.org/officeDocument/2006/relationships/printerSettings" Target="../printerSettings/printerSettings1.bin"/><Relationship Id="rId1" Type="http://schemas.openxmlformats.org/officeDocument/2006/relationships/hyperlink" Target="http://www.seattle.gov/sdci/codes/codes-we-enforce-(a-z)/building-code" TargetMode="External"/><Relationship Id="rId6" Type="http://schemas.openxmlformats.org/officeDocument/2006/relationships/image" Target="../media/image1.png"/><Relationship Id="rId5" Type="http://schemas.openxmlformats.org/officeDocument/2006/relationships/vmlDrawing" Target="../drawings/vmlDrawing2.v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4"/>
    <pageSetUpPr autoPageBreaks="0"/>
  </sheetPr>
  <dimension ref="A1:AB99"/>
  <sheetViews>
    <sheetView tabSelected="1" topLeftCell="A62" workbookViewId="0">
      <selection activeCell="K51" sqref="K51"/>
    </sheetView>
  </sheetViews>
  <sheetFormatPr defaultColWidth="9.1796875" defaultRowHeight="10" x14ac:dyDescent="0.2"/>
  <cols>
    <col min="1" max="1" width="1.7265625" style="76" customWidth="1"/>
    <col min="2" max="2" width="3.81640625" style="76" bestFit="1" customWidth="1"/>
    <col min="3" max="3" width="1.54296875" style="77" customWidth="1"/>
    <col min="4" max="4" width="13.54296875" style="77" customWidth="1"/>
    <col min="5" max="5" width="14.7265625" style="77" customWidth="1"/>
    <col min="6" max="6" width="11.453125" style="78" customWidth="1"/>
    <col min="7" max="7" width="12" style="77" hidden="1" customWidth="1"/>
    <col min="8" max="8" width="12.81640625" style="77" customWidth="1"/>
    <col min="9" max="9" width="14.54296875" style="77" customWidth="1"/>
    <col min="10" max="10" width="1.81640625" style="77" customWidth="1"/>
    <col min="11" max="11" width="31.1796875" style="77" customWidth="1"/>
    <col min="12" max="12" width="5.453125" style="77" customWidth="1"/>
    <col min="13" max="13" width="1.81640625" style="76" customWidth="1"/>
    <col min="14" max="14" width="16.54296875" style="76" customWidth="1"/>
    <col min="15" max="15" width="13" style="76" customWidth="1"/>
    <col min="16" max="16" width="10.7265625" style="76" bestFit="1" customWidth="1"/>
    <col min="17" max="17" width="18" style="76" customWidth="1"/>
    <col min="18" max="18" width="15.7265625" style="76" customWidth="1"/>
    <col min="19" max="19" width="19.54296875" style="76" customWidth="1"/>
    <col min="20" max="20" width="7.26953125" style="76" customWidth="1"/>
    <col min="21" max="21" width="9.1796875" style="76"/>
    <col min="22" max="22" width="14" style="46" customWidth="1"/>
    <col min="23" max="25" width="9.1796875" style="46"/>
    <col min="26" max="16384" width="9.1796875" style="76"/>
  </cols>
  <sheetData>
    <row r="1" spans="2:27" ht="12" customHeight="1" x14ac:dyDescent="0.2">
      <c r="J1" s="47"/>
      <c r="K1" s="47"/>
      <c r="L1" s="47"/>
      <c r="M1" s="46"/>
      <c r="N1" s="46"/>
      <c r="O1" s="46"/>
      <c r="P1" s="46"/>
      <c r="Q1" s="46"/>
      <c r="R1" s="46"/>
      <c r="S1" s="46"/>
      <c r="T1" s="46"/>
      <c r="U1" s="46"/>
    </row>
    <row r="2" spans="2:27" s="80" customFormat="1" ht="17.25" customHeight="1" x14ac:dyDescent="0.35">
      <c r="B2" s="257" t="s">
        <v>165</v>
      </c>
      <c r="C2" s="258"/>
      <c r="D2" s="258"/>
      <c r="E2" s="258"/>
      <c r="F2" s="258"/>
      <c r="G2" s="258"/>
      <c r="H2" s="258"/>
      <c r="I2" s="258"/>
      <c r="J2" s="49"/>
      <c r="K2" s="49"/>
      <c r="L2" s="49"/>
      <c r="M2" s="50"/>
      <c r="N2" s="50"/>
      <c r="O2" s="50"/>
      <c r="P2" s="50"/>
      <c r="Q2" s="50"/>
      <c r="R2" s="50"/>
      <c r="S2" s="50"/>
      <c r="T2" s="50"/>
      <c r="U2" s="50"/>
      <c r="V2" s="50"/>
      <c r="W2" s="50"/>
      <c r="X2" s="50"/>
      <c r="Y2" s="50"/>
    </row>
    <row r="3" spans="2:27" s="80" customFormat="1" ht="96.75" customHeight="1" x14ac:dyDescent="0.25">
      <c r="B3" s="283" t="s">
        <v>156</v>
      </c>
      <c r="C3" s="258"/>
      <c r="D3" s="258"/>
      <c r="E3" s="258"/>
      <c r="F3" s="258"/>
      <c r="G3" s="258"/>
      <c r="H3" s="258"/>
      <c r="I3" s="258"/>
      <c r="J3" s="258"/>
      <c r="K3" s="258"/>
      <c r="L3" s="258"/>
      <c r="M3" s="79"/>
      <c r="S3" s="50"/>
      <c r="T3" s="50"/>
      <c r="U3" s="50"/>
      <c r="V3" s="50"/>
      <c r="W3" s="50"/>
      <c r="X3" s="50"/>
      <c r="Y3" s="50"/>
    </row>
    <row r="4" spans="2:27" ht="9" customHeight="1" x14ac:dyDescent="0.2">
      <c r="D4" s="76"/>
      <c r="K4" s="47"/>
      <c r="L4" s="47"/>
      <c r="M4" s="46"/>
      <c r="N4" s="46"/>
      <c r="O4" s="46"/>
      <c r="P4" s="46"/>
      <c r="Q4" s="46"/>
      <c r="R4" s="46"/>
      <c r="S4" s="46"/>
      <c r="T4" s="46"/>
      <c r="U4" s="46"/>
    </row>
    <row r="5" spans="2:27" s="80" customFormat="1" ht="15.75" customHeight="1" x14ac:dyDescent="0.25">
      <c r="B5" s="281" t="s">
        <v>133</v>
      </c>
      <c r="C5" s="282"/>
      <c r="D5" s="282"/>
      <c r="E5" s="282"/>
      <c r="F5" s="282"/>
      <c r="G5" s="282"/>
      <c r="H5" s="282"/>
      <c r="I5" s="51"/>
      <c r="J5" s="52"/>
      <c r="K5" s="52"/>
      <c r="L5" s="52"/>
      <c r="M5" s="83"/>
      <c r="N5" s="81" t="s">
        <v>119</v>
      </c>
      <c r="O5" s="84"/>
      <c r="P5" s="53"/>
      <c r="Q5" s="53"/>
      <c r="R5" s="260"/>
      <c r="S5" s="261"/>
      <c r="T5" s="261"/>
      <c r="U5" s="50"/>
      <c r="V5" s="50"/>
      <c r="W5" s="50"/>
      <c r="X5" s="50"/>
      <c r="Y5" s="50"/>
    </row>
    <row r="6" spans="2:27" s="80" customFormat="1" ht="15.75" customHeight="1" thickBot="1" x14ac:dyDescent="0.3">
      <c r="B6" s="85"/>
      <c r="C6" s="86"/>
      <c r="D6" s="87" t="s">
        <v>121</v>
      </c>
      <c r="E6" s="82"/>
      <c r="F6" s="88"/>
      <c r="G6" s="82"/>
      <c r="H6" s="89"/>
      <c r="I6" s="89"/>
      <c r="J6" s="83"/>
      <c r="K6" s="52"/>
      <c r="L6" s="52"/>
      <c r="M6" s="83"/>
      <c r="N6" s="90" t="s">
        <v>130</v>
      </c>
      <c r="O6" s="91"/>
      <c r="P6" s="92"/>
      <c r="Q6" s="92"/>
      <c r="R6" s="279"/>
      <c r="S6" s="280"/>
      <c r="T6" s="280"/>
      <c r="U6" s="50"/>
      <c r="V6" s="50" t="s">
        <v>152</v>
      </c>
      <c r="W6" s="50"/>
      <c r="X6" s="50"/>
      <c r="Y6" s="50"/>
    </row>
    <row r="7" spans="2:27" ht="25.5" customHeight="1" thickTop="1" thickBot="1" x14ac:dyDescent="0.3">
      <c r="D7" s="93" t="s">
        <v>18</v>
      </c>
      <c r="E7" s="93" t="s">
        <v>7</v>
      </c>
      <c r="F7" s="93" t="s">
        <v>118</v>
      </c>
      <c r="G7" s="94" t="s">
        <v>12</v>
      </c>
      <c r="H7" s="95" t="s">
        <v>117</v>
      </c>
      <c r="I7" s="96" t="s">
        <v>109</v>
      </c>
      <c r="K7" s="245"/>
      <c r="N7" s="97" t="s">
        <v>25</v>
      </c>
      <c r="O7" s="98" t="s">
        <v>134</v>
      </c>
      <c r="P7" s="99"/>
      <c r="Q7" s="99"/>
      <c r="R7" s="98" t="s">
        <v>108</v>
      </c>
      <c r="S7" s="99"/>
      <c r="T7" s="100"/>
      <c r="U7" s="46"/>
      <c r="V7" s="210" t="s">
        <v>151</v>
      </c>
      <c r="W7" s="98"/>
      <c r="X7" s="220"/>
      <c r="Y7" s="220"/>
      <c r="Z7" s="220"/>
      <c r="AA7" s="221"/>
    </row>
    <row r="8" spans="2:27" s="77" customFormat="1" ht="11" thickTop="1" x14ac:dyDescent="0.25">
      <c r="D8" s="35" t="s">
        <v>21</v>
      </c>
      <c r="E8" s="35" t="s">
        <v>17</v>
      </c>
      <c r="F8" s="41"/>
      <c r="G8" s="101">
        <f>HLOOKUP(E8,BVD!$C$3:$N$4,2,1)</f>
        <v>9</v>
      </c>
      <c r="H8" s="102">
        <f>IF(D8=0,0,(VLOOKUP(D8,BVD!$C$5:$N$33,3+G8)))</f>
        <v>142.23729</v>
      </c>
      <c r="I8" s="103">
        <f t="shared" ref="I8:I24" si="0">H8*F8</f>
        <v>0</v>
      </c>
      <c r="K8" s="245"/>
      <c r="N8" s="104" t="s">
        <v>26</v>
      </c>
      <c r="O8" s="105" t="s">
        <v>27</v>
      </c>
      <c r="P8" s="106"/>
      <c r="Q8" s="106"/>
      <c r="R8" s="105" t="s">
        <v>28</v>
      </c>
      <c r="S8" s="106"/>
      <c r="T8" s="107"/>
      <c r="U8" s="47"/>
      <c r="V8" s="104" t="s">
        <v>146</v>
      </c>
      <c r="W8" s="222" t="s">
        <v>153</v>
      </c>
      <c r="X8" s="106"/>
      <c r="Y8" s="106"/>
      <c r="Z8" s="211"/>
      <c r="AA8" s="212"/>
    </row>
    <row r="9" spans="2:27" ht="10.5" x14ac:dyDescent="0.25">
      <c r="D9" s="36" t="s">
        <v>23</v>
      </c>
      <c r="E9" s="36" t="s">
        <v>17</v>
      </c>
      <c r="F9" s="43"/>
      <c r="G9" s="108">
        <f>HLOOKUP(E9,BVD!$C$3:$N$4,2,1)</f>
        <v>9</v>
      </c>
      <c r="H9" s="102">
        <f>IF(D9=0,0,(VLOOKUP(D9,BVD!$C$5:$N$33,3+G9)))</f>
        <v>56.113329999999991</v>
      </c>
      <c r="I9" s="103">
        <f t="shared" si="0"/>
        <v>0</v>
      </c>
      <c r="K9" s="245"/>
      <c r="N9" s="109" t="s">
        <v>94</v>
      </c>
      <c r="O9" s="110" t="s">
        <v>30</v>
      </c>
      <c r="P9" s="111"/>
      <c r="Q9" s="111"/>
      <c r="R9" s="110" t="s">
        <v>28</v>
      </c>
      <c r="S9" s="111"/>
      <c r="T9" s="112"/>
      <c r="U9" s="46"/>
      <c r="V9" s="109" t="s">
        <v>147</v>
      </c>
      <c r="W9" s="209" t="s">
        <v>154</v>
      </c>
      <c r="X9" s="218"/>
      <c r="Y9" s="218"/>
      <c r="Z9" s="218"/>
      <c r="AA9" s="219"/>
    </row>
    <row r="10" spans="2:27" ht="11" thickBot="1" x14ac:dyDescent="0.3">
      <c r="D10" s="36"/>
      <c r="E10" s="36"/>
      <c r="F10" s="43"/>
      <c r="G10" s="108" t="e">
        <f>HLOOKUP(E10,BVD!$C$3:$N$4,2,1)</f>
        <v>#N/A</v>
      </c>
      <c r="H10" s="102">
        <f>IF(D10=0,0,(VLOOKUP(D10,BVD!$C$5:$N$33,3+G10)))</f>
        <v>0</v>
      </c>
      <c r="I10" s="103">
        <f t="shared" si="0"/>
        <v>0</v>
      </c>
      <c r="K10" s="245"/>
      <c r="N10" s="113" t="s">
        <v>31</v>
      </c>
      <c r="O10" s="114" t="s">
        <v>32</v>
      </c>
      <c r="P10" s="115"/>
      <c r="Q10" s="115"/>
      <c r="R10" s="114"/>
      <c r="S10" s="115"/>
      <c r="T10" s="116"/>
      <c r="U10" s="46"/>
      <c r="V10" s="213" t="s">
        <v>148</v>
      </c>
      <c r="W10" s="214" t="s">
        <v>155</v>
      </c>
      <c r="X10" s="215"/>
      <c r="Y10" s="215"/>
      <c r="Z10" s="216"/>
      <c r="AA10" s="217"/>
    </row>
    <row r="11" spans="2:27" ht="10.5" x14ac:dyDescent="0.25">
      <c r="D11" s="36"/>
      <c r="E11" s="36"/>
      <c r="F11" s="42"/>
      <c r="G11" s="108" t="e">
        <f>HLOOKUP(E11,BVD!$C$3:$N$4,2,1)</f>
        <v>#N/A</v>
      </c>
      <c r="H11" s="102">
        <f>IF(D11=0,0,(VLOOKUP(D11,BVD!$C$5:$N$33,3+G11)))</f>
        <v>0</v>
      </c>
      <c r="I11" s="103">
        <f t="shared" si="0"/>
        <v>0</v>
      </c>
      <c r="K11" s="245"/>
      <c r="N11" s="109" t="s">
        <v>96</v>
      </c>
      <c r="O11" s="110" t="s">
        <v>33</v>
      </c>
      <c r="P11" s="111"/>
      <c r="Q11" s="111"/>
      <c r="R11" s="110" t="s">
        <v>34</v>
      </c>
      <c r="S11" s="111"/>
      <c r="T11" s="112"/>
      <c r="U11" s="46"/>
    </row>
    <row r="12" spans="2:27" ht="10.5" x14ac:dyDescent="0.25">
      <c r="D12" s="36"/>
      <c r="E12" s="36"/>
      <c r="F12" s="42"/>
      <c r="G12" s="108" t="e">
        <f>HLOOKUP(E12,BVD!$C$3:$N$4,2,1)</f>
        <v>#N/A</v>
      </c>
      <c r="H12" s="102">
        <f>IF(D12=0,0,(VLOOKUP(D12,BVD!$C$5:$N$33,3+G12)))</f>
        <v>0</v>
      </c>
      <c r="I12" s="103">
        <f t="shared" si="0"/>
        <v>0</v>
      </c>
      <c r="K12" s="246"/>
      <c r="L12" s="47"/>
      <c r="N12" s="113" t="s">
        <v>35</v>
      </c>
      <c r="O12" s="114" t="s">
        <v>36</v>
      </c>
      <c r="P12" s="115"/>
      <c r="Q12" s="115"/>
      <c r="R12" s="114" t="s">
        <v>37</v>
      </c>
      <c r="S12" s="115"/>
      <c r="T12" s="116"/>
      <c r="U12" s="46"/>
    </row>
    <row r="13" spans="2:27" ht="10.5" x14ac:dyDescent="0.25">
      <c r="D13" s="36"/>
      <c r="E13" s="36"/>
      <c r="F13" s="42"/>
      <c r="G13" s="108" t="e">
        <f>HLOOKUP(E13,BVD!$C$3:$N$4,2,1)</f>
        <v>#N/A</v>
      </c>
      <c r="H13" s="102">
        <f>IF(D13=0,0,(VLOOKUP(D13,BVD!$C$5:$N$33,3+G13)))</f>
        <v>0</v>
      </c>
      <c r="I13" s="103">
        <f t="shared" si="0"/>
        <v>0</v>
      </c>
      <c r="K13" s="246"/>
      <c r="L13" s="47"/>
      <c r="N13" s="109" t="s">
        <v>97</v>
      </c>
      <c r="O13" s="110" t="s">
        <v>38</v>
      </c>
      <c r="P13" s="111"/>
      <c r="Q13" s="111"/>
      <c r="R13" s="110" t="s">
        <v>39</v>
      </c>
      <c r="S13" s="111"/>
      <c r="T13" s="112"/>
      <c r="U13" s="46"/>
    </row>
    <row r="14" spans="2:27" ht="10.5" x14ac:dyDescent="0.25">
      <c r="D14" s="36"/>
      <c r="E14" s="36"/>
      <c r="F14" s="42"/>
      <c r="G14" s="108" t="e">
        <f>HLOOKUP(E14,BVD!$C$3:$N$4,2,1)</f>
        <v>#N/A</v>
      </c>
      <c r="H14" s="102">
        <f>IF(D14=0,0,(VLOOKUP(D14,BVD!$C$5:$N$33,3+G14)))</f>
        <v>0</v>
      </c>
      <c r="I14" s="103">
        <f t="shared" si="0"/>
        <v>0</v>
      </c>
      <c r="K14" s="246"/>
      <c r="L14" s="47"/>
      <c r="N14" s="113" t="s">
        <v>40</v>
      </c>
      <c r="O14" s="114" t="s">
        <v>41</v>
      </c>
      <c r="P14" s="115"/>
      <c r="Q14" s="115"/>
      <c r="R14" s="114"/>
      <c r="S14" s="115"/>
      <c r="T14" s="116"/>
      <c r="U14" s="46"/>
    </row>
    <row r="15" spans="2:27" ht="10.5" x14ac:dyDescent="0.25">
      <c r="D15" s="36"/>
      <c r="E15" s="36"/>
      <c r="F15" s="42"/>
      <c r="G15" s="108" t="e">
        <f>HLOOKUP(E15,BVD!$C$3:$N$4,2,1)</f>
        <v>#N/A</v>
      </c>
      <c r="H15" s="102">
        <f>IF(D15=0,0,(VLOOKUP(D15,BVD!$C$5:$N$33,3+G15)))</f>
        <v>0</v>
      </c>
      <c r="I15" s="103">
        <f t="shared" si="0"/>
        <v>0</v>
      </c>
      <c r="K15" s="47"/>
      <c r="L15" s="47"/>
      <c r="N15" s="109" t="s">
        <v>6</v>
      </c>
      <c r="O15" s="110" t="s">
        <v>42</v>
      </c>
      <c r="P15" s="111"/>
      <c r="Q15" s="111"/>
      <c r="R15" s="110" t="s">
        <v>43</v>
      </c>
      <c r="S15" s="111"/>
      <c r="T15" s="112"/>
      <c r="U15" s="46"/>
    </row>
    <row r="16" spans="2:27" ht="10.5" x14ac:dyDescent="0.25">
      <c r="D16" s="36"/>
      <c r="E16" s="36"/>
      <c r="F16" s="42"/>
      <c r="G16" s="108" t="e">
        <f>HLOOKUP(E16,BVD!$C$3:$N$4,2,1)</f>
        <v>#N/A</v>
      </c>
      <c r="H16" s="102">
        <f>IF(D16=0,0,(VLOOKUP(D16,BVD!$C$5:$N$33,3+G16)))</f>
        <v>0</v>
      </c>
      <c r="I16" s="103">
        <f t="shared" si="0"/>
        <v>0</v>
      </c>
      <c r="K16" s="47"/>
      <c r="L16" s="47"/>
      <c r="N16" s="113" t="s">
        <v>44</v>
      </c>
      <c r="O16" s="114" t="s">
        <v>45</v>
      </c>
      <c r="P16" s="115"/>
      <c r="Q16" s="115"/>
      <c r="R16" s="114" t="s">
        <v>46</v>
      </c>
      <c r="S16" s="115"/>
      <c r="T16" s="116"/>
      <c r="U16" s="46"/>
    </row>
    <row r="17" spans="4:23" ht="10.5" x14ac:dyDescent="0.25">
      <c r="D17" s="36"/>
      <c r="E17" s="36"/>
      <c r="F17" s="42"/>
      <c r="G17" s="108" t="e">
        <f>HLOOKUP(E17,BVD!$C$3:$N$4,2,1)</f>
        <v>#N/A</v>
      </c>
      <c r="H17" s="102">
        <f>IF(D17=0,0,(VLOOKUP(D17,BVD!$C$5:$N$33,3+G17)))</f>
        <v>0</v>
      </c>
      <c r="I17" s="103">
        <f t="shared" si="0"/>
        <v>0</v>
      </c>
      <c r="K17" s="47"/>
      <c r="L17" s="47"/>
      <c r="N17" s="109" t="s">
        <v>47</v>
      </c>
      <c r="O17" s="110" t="s">
        <v>48</v>
      </c>
      <c r="P17" s="111"/>
      <c r="Q17" s="111"/>
      <c r="R17" s="110" t="s">
        <v>49</v>
      </c>
      <c r="S17" s="111"/>
      <c r="T17" s="112"/>
      <c r="U17" s="46"/>
    </row>
    <row r="18" spans="4:23" ht="10.5" x14ac:dyDescent="0.25">
      <c r="D18" s="36"/>
      <c r="E18" s="36"/>
      <c r="F18" s="42"/>
      <c r="G18" s="108" t="e">
        <f>HLOOKUP(E18,BVD!$C$3:$N$4,2,1)</f>
        <v>#N/A</v>
      </c>
      <c r="H18" s="102">
        <f>IF(D18=0,0,(VLOOKUP(D18,BVD!$C$5:$N$33,3+G18)))</f>
        <v>0</v>
      </c>
      <c r="I18" s="103">
        <f t="shared" si="0"/>
        <v>0</v>
      </c>
      <c r="K18" s="47"/>
      <c r="L18" s="47"/>
      <c r="N18" s="113" t="s">
        <v>50</v>
      </c>
      <c r="O18" s="114" t="s">
        <v>51</v>
      </c>
      <c r="P18" s="115"/>
      <c r="Q18" s="115"/>
      <c r="R18" s="114" t="s">
        <v>49</v>
      </c>
      <c r="S18" s="115"/>
      <c r="T18" s="116"/>
      <c r="U18" s="46"/>
    </row>
    <row r="19" spans="4:23" ht="10.5" x14ac:dyDescent="0.25">
      <c r="D19" s="36"/>
      <c r="E19" s="36"/>
      <c r="F19" s="42"/>
      <c r="G19" s="108" t="e">
        <f>HLOOKUP(E19,BVD!$C$3:$N$4,2,1)</f>
        <v>#N/A</v>
      </c>
      <c r="H19" s="102">
        <f>IF(D19=0,0,(VLOOKUP(D19,BVD!$C$5:$N$33,3+G19)))</f>
        <v>0</v>
      </c>
      <c r="I19" s="103">
        <f t="shared" si="0"/>
        <v>0</v>
      </c>
      <c r="K19" s="47"/>
      <c r="L19" s="47"/>
      <c r="N19" s="109" t="s">
        <v>52</v>
      </c>
      <c r="O19" s="110" t="s">
        <v>53</v>
      </c>
      <c r="P19" s="111"/>
      <c r="Q19" s="111"/>
      <c r="R19" s="110"/>
      <c r="S19" s="111"/>
      <c r="T19" s="112"/>
      <c r="U19" s="46"/>
    </row>
    <row r="20" spans="4:23" ht="10.5" x14ac:dyDescent="0.25">
      <c r="D20" s="36"/>
      <c r="E20" s="36"/>
      <c r="F20" s="42"/>
      <c r="G20" s="108" t="e">
        <f>HLOOKUP(E20,BVD!$C$3:$N$4,2,1)</f>
        <v>#N/A</v>
      </c>
      <c r="H20" s="102">
        <f>IF(D20=0,0,(VLOOKUP(D20,BVD!$C$5:$N$33,3+G20)))</f>
        <v>0</v>
      </c>
      <c r="I20" s="103">
        <f t="shared" si="0"/>
        <v>0</v>
      </c>
      <c r="K20" s="47"/>
      <c r="L20" s="47"/>
      <c r="N20" s="113" t="s">
        <v>54</v>
      </c>
      <c r="O20" s="114" t="s">
        <v>55</v>
      </c>
      <c r="P20" s="115"/>
      <c r="Q20" s="115"/>
      <c r="R20" s="114"/>
      <c r="S20" s="115"/>
      <c r="T20" s="116"/>
      <c r="U20" s="46"/>
    </row>
    <row r="21" spans="4:23" ht="10.5" x14ac:dyDescent="0.25">
      <c r="D21" s="36"/>
      <c r="E21" s="36"/>
      <c r="F21" s="42"/>
      <c r="G21" s="108" t="e">
        <f>HLOOKUP(E21,BVD!$C$3:$N$4,2,1)</f>
        <v>#N/A</v>
      </c>
      <c r="H21" s="102">
        <f>IF(D21=0,0,(VLOOKUP(D21,BVD!$C$5:$N$33,3+G21)))</f>
        <v>0</v>
      </c>
      <c r="I21" s="103">
        <f t="shared" si="0"/>
        <v>0</v>
      </c>
      <c r="K21" s="47"/>
      <c r="L21" s="47"/>
      <c r="N21" s="109" t="s">
        <v>56</v>
      </c>
      <c r="O21" s="110" t="s">
        <v>57</v>
      </c>
      <c r="P21" s="111"/>
      <c r="Q21" s="111"/>
      <c r="R21" s="110"/>
      <c r="S21" s="111"/>
      <c r="T21" s="112"/>
      <c r="U21" s="46"/>
    </row>
    <row r="22" spans="4:23" ht="10.5" x14ac:dyDescent="0.25">
      <c r="D22" s="36"/>
      <c r="E22" s="36"/>
      <c r="F22" s="42"/>
      <c r="G22" s="108" t="e">
        <f>HLOOKUP(E22,BVD!$C$3:$N$4,2,1)</f>
        <v>#N/A</v>
      </c>
      <c r="H22" s="102">
        <f>IF(D22=0,0,(VLOOKUP(D22,BVD!$C$5:$N$33,3+G22)))</f>
        <v>0</v>
      </c>
      <c r="I22" s="103">
        <f t="shared" si="0"/>
        <v>0</v>
      </c>
      <c r="K22" s="47"/>
      <c r="L22" s="47"/>
      <c r="N22" s="113" t="s">
        <v>58</v>
      </c>
      <c r="O22" s="114" t="s">
        <v>59</v>
      </c>
      <c r="P22" s="115"/>
      <c r="Q22" s="115"/>
      <c r="R22" s="114" t="s">
        <v>60</v>
      </c>
      <c r="S22" s="115"/>
      <c r="T22" s="116"/>
      <c r="U22" s="46"/>
    </row>
    <row r="23" spans="4:23" ht="10.5" x14ac:dyDescent="0.25">
      <c r="D23" s="36"/>
      <c r="E23" s="36"/>
      <c r="F23" s="42"/>
      <c r="G23" s="108" t="e">
        <f>HLOOKUP(E23,BVD!$C$3:$N$4,2,1)</f>
        <v>#N/A</v>
      </c>
      <c r="H23" s="102">
        <f>IF(D23=0,0,(VLOOKUP(D23,BVD!$C$5:$N$33,3+G23)))</f>
        <v>0</v>
      </c>
      <c r="I23" s="103">
        <f t="shared" si="0"/>
        <v>0</v>
      </c>
      <c r="K23" s="47"/>
      <c r="L23" s="47"/>
      <c r="N23" s="109" t="s">
        <v>61</v>
      </c>
      <c r="O23" s="110" t="s">
        <v>62</v>
      </c>
      <c r="P23" s="111"/>
      <c r="Q23" s="111"/>
      <c r="R23" s="110" t="s">
        <v>63</v>
      </c>
      <c r="S23" s="111"/>
      <c r="T23" s="112"/>
      <c r="U23" s="46"/>
    </row>
    <row r="24" spans="4:23" ht="10.5" x14ac:dyDescent="0.25">
      <c r="D24" s="36"/>
      <c r="E24" s="36"/>
      <c r="F24" s="42"/>
      <c r="G24" s="108" t="e">
        <f>HLOOKUP(E24,BVD!$C$3:$N$4,2,1)</f>
        <v>#N/A</v>
      </c>
      <c r="H24" s="102">
        <f>IF(D24=0,0,(VLOOKUP(D24,BVD!$C$5:$N$33,3+G24)))</f>
        <v>0</v>
      </c>
      <c r="I24" s="103">
        <f t="shared" si="0"/>
        <v>0</v>
      </c>
      <c r="K24" s="47"/>
      <c r="L24" s="47"/>
      <c r="N24" s="113" t="s">
        <v>98</v>
      </c>
      <c r="O24" s="114" t="s">
        <v>64</v>
      </c>
      <c r="P24" s="115"/>
      <c r="Q24" s="115"/>
      <c r="R24" s="114" t="s">
        <v>65</v>
      </c>
      <c r="S24" s="115"/>
      <c r="T24" s="116"/>
      <c r="U24" s="46"/>
      <c r="W24" s="208"/>
    </row>
    <row r="25" spans="4:23" ht="10.5" x14ac:dyDescent="0.25">
      <c r="D25" s="36"/>
      <c r="E25" s="36"/>
      <c r="F25" s="42"/>
      <c r="G25" s="108" t="e">
        <f>HLOOKUP(E25,BVD!$C$3:$N$4,2,1)</f>
        <v>#N/A</v>
      </c>
      <c r="H25" s="102">
        <f>IF(D25=0,0,(VLOOKUP(D25,BVD!$C$5:$N$33,3+G25)))</f>
        <v>0</v>
      </c>
      <c r="I25" s="103">
        <f t="shared" ref="I25:I35" si="1">H25*F25</f>
        <v>0</v>
      </c>
      <c r="K25" s="47"/>
      <c r="L25" s="47"/>
      <c r="N25" s="109" t="s">
        <v>66</v>
      </c>
      <c r="O25" s="110" t="s">
        <v>67</v>
      </c>
      <c r="P25" s="111"/>
      <c r="Q25" s="111"/>
      <c r="R25" s="110" t="s">
        <v>68</v>
      </c>
      <c r="S25" s="111"/>
      <c r="T25" s="112"/>
      <c r="U25" s="46"/>
      <c r="W25" s="208"/>
    </row>
    <row r="26" spans="4:23" ht="10.5" x14ac:dyDescent="0.25">
      <c r="D26" s="36"/>
      <c r="E26" s="36"/>
      <c r="F26" s="42"/>
      <c r="G26" s="108" t="e">
        <f>HLOOKUP(E26,BVD!$C$3:$N$4,2,1)</f>
        <v>#N/A</v>
      </c>
      <c r="H26" s="102">
        <f>IF(D26=0,0,(VLOOKUP(D26,BVD!$C$5:$N$33,3+G26)))</f>
        <v>0</v>
      </c>
      <c r="I26" s="103">
        <f t="shared" si="1"/>
        <v>0</v>
      </c>
      <c r="K26" s="47"/>
      <c r="L26" s="47"/>
      <c r="N26" s="113" t="s">
        <v>69</v>
      </c>
      <c r="O26" s="114" t="s">
        <v>70</v>
      </c>
      <c r="P26" s="115"/>
      <c r="Q26" s="115"/>
      <c r="R26" s="114"/>
      <c r="S26" s="115"/>
      <c r="T26" s="116"/>
      <c r="U26" s="46"/>
      <c r="W26" s="208"/>
    </row>
    <row r="27" spans="4:23" ht="10.5" x14ac:dyDescent="0.25">
      <c r="D27" s="36"/>
      <c r="E27" s="36"/>
      <c r="F27" s="42"/>
      <c r="G27" s="108" t="e">
        <f>HLOOKUP(E27,BVD!$C$3:$N$4,2,1)</f>
        <v>#N/A</v>
      </c>
      <c r="H27" s="102">
        <f>IF(D27=0,0,(VLOOKUP(D27,BVD!$C$5:$N$33,3+G27)))</f>
        <v>0</v>
      </c>
      <c r="I27" s="103">
        <f t="shared" si="1"/>
        <v>0</v>
      </c>
      <c r="K27" s="47"/>
      <c r="L27" s="47"/>
      <c r="N27" s="109" t="s">
        <v>71</v>
      </c>
      <c r="O27" s="110" t="s">
        <v>72</v>
      </c>
      <c r="P27" s="111"/>
      <c r="Q27" s="111"/>
      <c r="R27" s="110" t="s">
        <v>73</v>
      </c>
      <c r="S27" s="111"/>
      <c r="T27" s="112"/>
      <c r="U27" s="46"/>
    </row>
    <row r="28" spans="4:23" ht="10.5" x14ac:dyDescent="0.25">
      <c r="D28" s="36"/>
      <c r="E28" s="36"/>
      <c r="F28" s="42"/>
      <c r="G28" s="108" t="e">
        <f>HLOOKUP(E28,BVD!$C$3:$N$4,2,1)</f>
        <v>#N/A</v>
      </c>
      <c r="H28" s="102">
        <f>IF(D28=0,0,(VLOOKUP(D28,BVD!$C$5:$N$33,3+G28)))</f>
        <v>0</v>
      </c>
      <c r="I28" s="103">
        <f t="shared" si="1"/>
        <v>0</v>
      </c>
      <c r="K28" s="47"/>
      <c r="L28" s="47"/>
      <c r="N28" s="113" t="s">
        <v>19</v>
      </c>
      <c r="O28" s="114" t="s">
        <v>74</v>
      </c>
      <c r="P28" s="115"/>
      <c r="Q28" s="115"/>
      <c r="R28" s="114" t="s">
        <v>75</v>
      </c>
      <c r="S28" s="115"/>
      <c r="T28" s="116"/>
      <c r="U28" s="46"/>
    </row>
    <row r="29" spans="4:23" ht="11.25" customHeight="1" x14ac:dyDescent="0.25">
      <c r="D29" s="36"/>
      <c r="E29" s="36"/>
      <c r="F29" s="42"/>
      <c r="G29" s="108" t="e">
        <f>HLOOKUP(E29,BVD!$C$3:$N$4,2,1)</f>
        <v>#N/A</v>
      </c>
      <c r="H29" s="102">
        <f>IF(D29=0,0,(VLOOKUP(D29,BVD!$C$5:$N$33,3+G29)))</f>
        <v>0</v>
      </c>
      <c r="I29" s="103">
        <f t="shared" si="1"/>
        <v>0</v>
      </c>
      <c r="K29" s="47"/>
      <c r="L29" s="47"/>
      <c r="N29" s="109" t="s">
        <v>20</v>
      </c>
      <c r="O29" s="110" t="s">
        <v>76</v>
      </c>
      <c r="P29" s="111"/>
      <c r="Q29" s="111"/>
      <c r="R29" s="110" t="s">
        <v>77</v>
      </c>
      <c r="S29" s="111"/>
      <c r="T29" s="112"/>
      <c r="U29" s="46"/>
    </row>
    <row r="30" spans="4:23" ht="11.25" customHeight="1" x14ac:dyDescent="0.25">
      <c r="D30" s="36"/>
      <c r="E30" s="36"/>
      <c r="F30" s="42"/>
      <c r="G30" s="108" t="e">
        <f>HLOOKUP(E30,BVD!$C$3:$N$4,2,1)</f>
        <v>#N/A</v>
      </c>
      <c r="H30" s="102">
        <f>IF(D30=0,0,(VLOOKUP(D30,BVD!$C$5:$N$33,3+G30)))</f>
        <v>0</v>
      </c>
      <c r="I30" s="103">
        <f t="shared" si="1"/>
        <v>0</v>
      </c>
      <c r="K30" s="55"/>
      <c r="L30" s="55"/>
      <c r="N30" s="113" t="s">
        <v>21</v>
      </c>
      <c r="O30" s="114" t="s">
        <v>78</v>
      </c>
      <c r="P30" s="115"/>
      <c r="Q30" s="115"/>
      <c r="R30" s="114" t="s">
        <v>79</v>
      </c>
      <c r="S30" s="115"/>
      <c r="T30" s="116"/>
      <c r="U30" s="46"/>
    </row>
    <row r="31" spans="4:23" ht="11.25" customHeight="1" x14ac:dyDescent="0.25">
      <c r="D31" s="36"/>
      <c r="E31" s="36"/>
      <c r="F31" s="42"/>
      <c r="G31" s="108" t="e">
        <f>HLOOKUP(E31,BVD!$C$3:$N$4,2,1)</f>
        <v>#N/A</v>
      </c>
      <c r="H31" s="102">
        <f>IF(D31=0,0,(VLOOKUP(D31,BVD!$C$5:$N$33,3+G31)))</f>
        <v>0</v>
      </c>
      <c r="I31" s="103">
        <f t="shared" si="1"/>
        <v>0</v>
      </c>
      <c r="K31" s="55"/>
      <c r="L31" s="55"/>
      <c r="N31" s="109" t="s">
        <v>22</v>
      </c>
      <c r="O31" s="110" t="s">
        <v>80</v>
      </c>
      <c r="P31" s="111"/>
      <c r="Q31" s="111"/>
      <c r="R31" s="110"/>
      <c r="S31" s="111"/>
      <c r="T31" s="112"/>
      <c r="U31" s="46"/>
    </row>
    <row r="32" spans="4:23" ht="11.25" customHeight="1" x14ac:dyDescent="0.25">
      <c r="D32" s="36"/>
      <c r="E32" s="36"/>
      <c r="F32" s="42"/>
      <c r="G32" s="108" t="e">
        <f>HLOOKUP(E32,BVD!$C$3:$N$4,2,1)</f>
        <v>#N/A</v>
      </c>
      <c r="H32" s="102">
        <f>IF(D32=0,0,(VLOOKUP(D32,BVD!$C$5:$N$33,3+G32)))</f>
        <v>0</v>
      </c>
      <c r="I32" s="103">
        <f t="shared" si="1"/>
        <v>0</v>
      </c>
      <c r="K32" s="55"/>
      <c r="L32" s="55"/>
      <c r="N32" s="113" t="s">
        <v>81</v>
      </c>
      <c r="O32" s="114" t="s">
        <v>82</v>
      </c>
      <c r="P32" s="115"/>
      <c r="Q32" s="115"/>
      <c r="R32" s="114" t="s">
        <v>83</v>
      </c>
      <c r="S32" s="115"/>
      <c r="T32" s="116"/>
      <c r="U32" s="46"/>
    </row>
    <row r="33" spans="1:25" ht="11.25" customHeight="1" x14ac:dyDescent="0.25">
      <c r="D33" s="36"/>
      <c r="E33" s="36"/>
      <c r="F33" s="42"/>
      <c r="G33" s="108" t="e">
        <f>HLOOKUP(E33,BVD!$C$3:$N$4,2,1)</f>
        <v>#N/A</v>
      </c>
      <c r="H33" s="102">
        <f>IF(D33=0,0,(VLOOKUP(D33,BVD!$C$5:$N$33,3+G33)))</f>
        <v>0</v>
      </c>
      <c r="I33" s="103">
        <f t="shared" si="1"/>
        <v>0</v>
      </c>
      <c r="K33" s="55"/>
      <c r="L33" s="55"/>
      <c r="N33" s="109" t="s">
        <v>84</v>
      </c>
      <c r="O33" s="110" t="s">
        <v>85</v>
      </c>
      <c r="P33" s="111"/>
      <c r="Q33" s="111"/>
      <c r="R33" s="110" t="s">
        <v>86</v>
      </c>
      <c r="S33" s="111"/>
      <c r="T33" s="112"/>
      <c r="U33" s="46"/>
    </row>
    <row r="34" spans="1:25" ht="11.25" customHeight="1" x14ac:dyDescent="0.25">
      <c r="D34" s="36"/>
      <c r="E34" s="36"/>
      <c r="F34" s="42"/>
      <c r="G34" s="108" t="e">
        <f>HLOOKUP(E34,BVD!$C$3:$N$4,2,1)</f>
        <v>#N/A</v>
      </c>
      <c r="H34" s="102">
        <f>IF(D34=0,0,(VLOOKUP(D34,BVD!$C$5:$N$33,3+G34)))</f>
        <v>0</v>
      </c>
      <c r="I34" s="103">
        <f t="shared" si="1"/>
        <v>0</v>
      </c>
      <c r="K34" s="55"/>
      <c r="L34" s="55"/>
      <c r="N34" s="113" t="s">
        <v>23</v>
      </c>
      <c r="O34" s="114" t="s">
        <v>87</v>
      </c>
      <c r="P34" s="115"/>
      <c r="Q34" s="115"/>
      <c r="R34" s="114" t="s">
        <v>88</v>
      </c>
      <c r="S34" s="115"/>
      <c r="T34" s="116"/>
      <c r="U34" s="46"/>
    </row>
    <row r="35" spans="1:25" ht="12.75" customHeight="1" thickBot="1" x14ac:dyDescent="0.3">
      <c r="D35" s="37"/>
      <c r="E35" s="37"/>
      <c r="F35" s="44"/>
      <c r="G35" s="117" t="e">
        <f>HLOOKUP(E35,BVD!$C$3:$N$4,2,1)</f>
        <v>#N/A</v>
      </c>
      <c r="H35" s="102">
        <f>IF(D35=0,0,(VLOOKUP(D35,BVD!$C$5:$N$33,3+G35)))</f>
        <v>0</v>
      </c>
      <c r="I35" s="103">
        <f t="shared" si="1"/>
        <v>0</v>
      </c>
      <c r="K35" s="55"/>
      <c r="L35" s="55"/>
      <c r="N35" s="118" t="s">
        <v>95</v>
      </c>
      <c r="O35" s="119" t="s">
        <v>100</v>
      </c>
      <c r="P35" s="120"/>
      <c r="Q35" s="120"/>
      <c r="R35" s="119" t="s">
        <v>100</v>
      </c>
      <c r="S35" s="120"/>
      <c r="T35" s="121"/>
      <c r="U35" s="46"/>
    </row>
    <row r="36" spans="1:25" ht="21" customHeight="1" thickTop="1" x14ac:dyDescent="0.25">
      <c r="C36" s="76"/>
      <c r="D36" s="285" t="s">
        <v>114</v>
      </c>
      <c r="E36" s="286"/>
      <c r="F36" s="286"/>
      <c r="G36" s="287"/>
      <c r="H36" s="288"/>
      <c r="I36" s="122">
        <f>SUM(I8:I35)</f>
        <v>0</v>
      </c>
      <c r="J36" s="76"/>
      <c r="K36" s="56"/>
      <c r="L36" s="56"/>
      <c r="M36" s="46"/>
      <c r="N36" s="46"/>
      <c r="O36" s="46"/>
      <c r="P36" s="46"/>
      <c r="Q36" s="46"/>
      <c r="R36" s="46"/>
      <c r="S36" s="46"/>
      <c r="T36" s="46"/>
      <c r="U36" s="46"/>
    </row>
    <row r="37" spans="1:25" s="123" customFormat="1" ht="15" customHeight="1" thickBot="1" x14ac:dyDescent="0.3">
      <c r="E37" s="124"/>
      <c r="F37" s="124"/>
      <c r="G37" s="115"/>
      <c r="H37" s="125"/>
      <c r="I37" s="126"/>
      <c r="K37" s="56"/>
      <c r="L37" s="56"/>
      <c r="M37" s="57"/>
      <c r="N37" s="57"/>
      <c r="O37" s="57"/>
      <c r="P37" s="57"/>
      <c r="Q37" s="57"/>
      <c r="R37" s="57"/>
      <c r="S37" s="57"/>
      <c r="T37" s="57"/>
      <c r="U37" s="57"/>
      <c r="V37" s="57"/>
      <c r="W37" s="57"/>
      <c r="X37" s="57"/>
      <c r="Y37" s="57"/>
    </row>
    <row r="38" spans="1:25" s="123" customFormat="1" ht="15.75" customHeight="1" thickTop="1" thickBot="1" x14ac:dyDescent="0.4">
      <c r="B38" s="271" t="s">
        <v>142</v>
      </c>
      <c r="C38" s="272"/>
      <c r="D38" s="272"/>
      <c r="E38" s="272"/>
      <c r="F38" s="272"/>
      <c r="G38" s="272"/>
      <c r="H38" s="273"/>
      <c r="I38" s="40">
        <v>0</v>
      </c>
      <c r="K38" s="59"/>
      <c r="L38" s="60"/>
      <c r="M38" s="61"/>
      <c r="N38" s="57"/>
      <c r="O38" s="62"/>
      <c r="P38" s="62"/>
      <c r="Q38" s="62"/>
      <c r="R38" s="62"/>
      <c r="S38" s="62"/>
      <c r="T38" s="57"/>
      <c r="U38" s="57"/>
      <c r="V38" s="57"/>
      <c r="W38" s="57"/>
      <c r="X38" s="57"/>
      <c r="Y38" s="57"/>
    </row>
    <row r="39" spans="1:25" s="123" customFormat="1" ht="47.25" customHeight="1" thickTop="1" thickBot="1" x14ac:dyDescent="0.35">
      <c r="B39" s="128"/>
      <c r="C39" s="129"/>
      <c r="D39" s="262" t="s">
        <v>136</v>
      </c>
      <c r="E39" s="263"/>
      <c r="F39" s="263"/>
      <c r="G39" s="263"/>
      <c r="H39" s="263"/>
      <c r="I39" s="130"/>
      <c r="K39" s="60"/>
      <c r="L39" s="60"/>
      <c r="M39" s="127"/>
      <c r="N39" s="131" t="s">
        <v>122</v>
      </c>
      <c r="P39" s="57"/>
      <c r="Q39" s="57"/>
      <c r="R39" s="57"/>
      <c r="S39" s="57"/>
      <c r="T39" s="57"/>
      <c r="U39" s="57"/>
      <c r="V39" s="57"/>
      <c r="W39" s="57"/>
      <c r="X39" s="57"/>
      <c r="Y39" s="57"/>
    </row>
    <row r="40" spans="1:25" ht="13.5" thickBot="1" x14ac:dyDescent="0.3">
      <c r="I40" s="132"/>
      <c r="K40" s="60"/>
      <c r="L40" s="60"/>
      <c r="N40" s="97" t="s">
        <v>123</v>
      </c>
      <c r="O40" s="274" t="s">
        <v>124</v>
      </c>
      <c r="P40" s="275"/>
      <c r="Q40" s="275"/>
      <c r="R40" s="275"/>
      <c r="S40" s="275"/>
      <c r="T40" s="276"/>
      <c r="U40" s="46"/>
    </row>
    <row r="41" spans="1:25" s="133" customFormat="1" ht="11.5" x14ac:dyDescent="0.25">
      <c r="D41" s="264" t="s">
        <v>105</v>
      </c>
      <c r="E41" s="265"/>
      <c r="F41" s="265"/>
      <c r="G41" s="134"/>
      <c r="H41" s="135" t="s">
        <v>104</v>
      </c>
      <c r="I41" s="136">
        <f>I36+I38</f>
        <v>0</v>
      </c>
      <c r="K41" s="63"/>
      <c r="L41" s="63"/>
      <c r="N41" s="104" t="s">
        <v>125</v>
      </c>
      <c r="O41" s="105" t="s">
        <v>126</v>
      </c>
      <c r="P41" s="106"/>
      <c r="Q41" s="106"/>
      <c r="R41" s="105"/>
      <c r="S41" s="106"/>
      <c r="T41" s="107"/>
      <c r="U41" s="63"/>
      <c r="V41" s="63"/>
      <c r="W41" s="63"/>
      <c r="X41" s="63"/>
      <c r="Y41" s="63"/>
    </row>
    <row r="42" spans="1:25" s="137" customFormat="1" ht="15" customHeight="1" x14ac:dyDescent="0.25">
      <c r="A42" s="133"/>
      <c r="B42" s="133"/>
      <c r="C42" s="133"/>
      <c r="D42" s="203"/>
      <c r="E42" s="204"/>
      <c r="F42" s="204"/>
      <c r="G42" s="129"/>
      <c r="H42" s="125"/>
      <c r="I42" s="126"/>
      <c r="J42" s="133"/>
      <c r="K42" s="63"/>
      <c r="L42" s="63"/>
      <c r="N42" s="269" t="s">
        <v>127</v>
      </c>
      <c r="O42" s="266" t="s">
        <v>135</v>
      </c>
      <c r="P42" s="258"/>
      <c r="Q42" s="258"/>
      <c r="R42" s="258"/>
      <c r="S42" s="258"/>
      <c r="T42" s="267"/>
      <c r="U42" s="64"/>
      <c r="V42" s="64"/>
      <c r="W42" s="64"/>
      <c r="X42" s="64"/>
      <c r="Y42" s="64"/>
    </row>
    <row r="43" spans="1:25" s="137" customFormat="1" ht="16" thickBot="1" x14ac:dyDescent="0.4">
      <c r="A43" s="133"/>
      <c r="B43" s="229" t="s">
        <v>159</v>
      </c>
      <c r="C43" s="228"/>
      <c r="D43" s="228"/>
      <c r="E43" s="228"/>
      <c r="F43" s="228"/>
      <c r="G43" s="225"/>
      <c r="H43" s="230"/>
      <c r="I43" s="231"/>
      <c r="J43" s="133"/>
      <c r="K43" s="63"/>
      <c r="L43" s="63"/>
      <c r="M43" s="140"/>
      <c r="N43" s="270"/>
      <c r="O43" s="268"/>
      <c r="P43" s="258"/>
      <c r="Q43" s="258"/>
      <c r="R43" s="258"/>
      <c r="S43" s="258"/>
      <c r="T43" s="267"/>
      <c r="U43" s="64"/>
      <c r="V43" s="64"/>
      <c r="W43" s="64"/>
      <c r="X43" s="64"/>
      <c r="Y43" s="64"/>
    </row>
    <row r="44" spans="1:25" s="137" customFormat="1" ht="11.5" thickTop="1" thickBot="1" x14ac:dyDescent="0.3">
      <c r="A44" s="133"/>
      <c r="B44" s="232"/>
      <c r="C44" s="232"/>
      <c r="D44" s="305" t="s">
        <v>160</v>
      </c>
      <c r="E44" s="305"/>
      <c r="F44" s="305"/>
      <c r="G44" s="305"/>
      <c r="H44" s="305"/>
      <c r="I44" s="233"/>
      <c r="J44" s="133"/>
      <c r="K44" s="63"/>
      <c r="L44" s="63"/>
      <c r="M44" s="140"/>
      <c r="N44" s="248" t="s">
        <v>128</v>
      </c>
      <c r="O44" s="250" t="s">
        <v>129</v>
      </c>
      <c r="P44" s="251"/>
      <c r="Q44" s="251"/>
      <c r="R44" s="251"/>
      <c r="S44" s="251"/>
      <c r="T44" s="252"/>
      <c r="U44" s="64"/>
      <c r="V44" s="64"/>
      <c r="W44" s="64"/>
      <c r="X44" s="64"/>
      <c r="Y44" s="64"/>
    </row>
    <row r="45" spans="1:25" s="123" customFormat="1" ht="34.5" customHeight="1" thickTop="1" x14ac:dyDescent="0.25">
      <c r="A45" s="133"/>
      <c r="B45" s="232"/>
      <c r="C45" s="232"/>
      <c r="D45" s="305"/>
      <c r="E45" s="305"/>
      <c r="F45" s="305"/>
      <c r="G45" s="305"/>
      <c r="H45" s="305"/>
      <c r="I45" s="231"/>
      <c r="J45" s="133"/>
      <c r="K45" s="63"/>
      <c r="L45" s="63"/>
      <c r="M45" s="115"/>
      <c r="N45" s="249"/>
      <c r="O45" s="251"/>
      <c r="P45" s="251"/>
      <c r="Q45" s="251"/>
      <c r="R45" s="251"/>
      <c r="S45" s="251"/>
      <c r="T45" s="252"/>
      <c r="U45" s="57"/>
      <c r="V45" s="57"/>
      <c r="W45" s="57"/>
      <c r="X45" s="57"/>
      <c r="Y45" s="57"/>
    </row>
    <row r="46" spans="1:25" s="123" customFormat="1" ht="12.75" customHeight="1" x14ac:dyDescent="0.25">
      <c r="A46" s="133"/>
      <c r="B46" s="232"/>
      <c r="C46" s="232"/>
      <c r="D46" s="306" t="s">
        <v>161</v>
      </c>
      <c r="E46" s="307"/>
      <c r="F46" s="307"/>
      <c r="G46" s="232"/>
      <c r="H46" s="234"/>
      <c r="I46" s="235">
        <f>+IF(I44&gt;3,(I44-3)*0.005+1,1)</f>
        <v>1</v>
      </c>
      <c r="J46" s="133"/>
      <c r="K46" s="63"/>
      <c r="L46" s="63"/>
      <c r="N46" s="144"/>
      <c r="O46" s="253" t="s">
        <v>131</v>
      </c>
      <c r="P46" s="254"/>
      <c r="Q46" s="254"/>
      <c r="R46" s="254"/>
      <c r="S46" s="254"/>
      <c r="T46" s="116"/>
      <c r="U46" s="57"/>
      <c r="V46" s="57"/>
      <c r="W46" s="57"/>
      <c r="X46" s="57"/>
      <c r="Y46" s="57"/>
    </row>
    <row r="47" spans="1:25" s="123" customFormat="1" ht="12" customHeight="1" thickBot="1" x14ac:dyDescent="0.3">
      <c r="A47" s="133"/>
      <c r="B47" s="232"/>
      <c r="C47" s="232"/>
      <c r="D47" s="236"/>
      <c r="E47" s="237"/>
      <c r="F47" s="237"/>
      <c r="G47" s="232"/>
      <c r="H47" s="234"/>
      <c r="I47" s="235"/>
      <c r="J47" s="133"/>
      <c r="K47" s="63"/>
      <c r="L47" s="63"/>
      <c r="N47" s="145"/>
      <c r="O47" s="255"/>
      <c r="P47" s="256"/>
      <c r="Q47" s="256"/>
      <c r="R47" s="256"/>
      <c r="S47" s="256"/>
      <c r="T47" s="146"/>
      <c r="U47" s="57"/>
      <c r="V47" s="57"/>
      <c r="W47" s="57"/>
      <c r="X47" s="57"/>
      <c r="Y47" s="57"/>
    </row>
    <row r="48" spans="1:25" s="115" customFormat="1" ht="13" x14ac:dyDescent="0.3">
      <c r="A48" s="133"/>
      <c r="B48" s="232"/>
      <c r="C48" s="232"/>
      <c r="D48" s="306" t="s">
        <v>105</v>
      </c>
      <c r="E48" s="307"/>
      <c r="F48" s="307"/>
      <c r="G48" s="238"/>
      <c r="H48" s="239" t="s">
        <v>104</v>
      </c>
      <c r="I48" s="240">
        <f>(I36*I46)+I38</f>
        <v>0</v>
      </c>
      <c r="J48" s="133"/>
      <c r="K48" s="63"/>
      <c r="L48" s="63"/>
      <c r="M48" s="54"/>
      <c r="N48" s="54"/>
      <c r="O48" s="67"/>
      <c r="P48" s="67"/>
      <c r="Q48" s="67"/>
      <c r="R48" s="67"/>
      <c r="S48" s="67"/>
      <c r="T48" s="54"/>
      <c r="U48" s="54"/>
      <c r="V48" s="54"/>
      <c r="W48" s="54"/>
      <c r="X48" s="54"/>
      <c r="Y48" s="54"/>
    </row>
    <row r="49" spans="1:28" s="115" customFormat="1" ht="13" x14ac:dyDescent="0.3">
      <c r="A49" s="133"/>
      <c r="B49" s="232"/>
      <c r="C49" s="232"/>
      <c r="D49" s="241"/>
      <c r="E49" s="242"/>
      <c r="F49" s="242"/>
      <c r="G49" s="243"/>
      <c r="H49" s="244"/>
      <c r="I49" s="231"/>
      <c r="J49" s="133"/>
      <c r="K49" s="63"/>
      <c r="L49" s="63"/>
      <c r="M49" s="54"/>
      <c r="N49" s="54"/>
      <c r="O49" s="67"/>
      <c r="P49" s="67"/>
      <c r="Q49" s="67"/>
      <c r="R49" s="67"/>
      <c r="S49" s="67"/>
      <c r="T49" s="54"/>
      <c r="U49" s="54"/>
      <c r="V49" s="54"/>
      <c r="W49" s="54"/>
      <c r="X49" s="54"/>
      <c r="Y49" s="54"/>
    </row>
    <row r="50" spans="1:28" s="123" customFormat="1" ht="11.5" x14ac:dyDescent="0.25">
      <c r="A50" s="137"/>
      <c r="B50" s="133"/>
      <c r="C50" s="133"/>
      <c r="D50" s="203"/>
      <c r="E50" s="204"/>
      <c r="F50" s="204"/>
      <c r="G50" s="129"/>
      <c r="H50" s="125"/>
      <c r="I50" s="126"/>
      <c r="J50" s="133"/>
      <c r="K50" s="63"/>
      <c r="L50" s="63"/>
      <c r="M50" s="54"/>
      <c r="N50" s="54"/>
      <c r="O50" s="54"/>
      <c r="P50" s="54"/>
      <c r="Q50" s="54"/>
      <c r="R50" s="57"/>
      <c r="S50" s="57"/>
      <c r="T50" s="57"/>
      <c r="U50" s="57"/>
      <c r="V50" s="57"/>
      <c r="W50" s="57"/>
      <c r="X50" s="57"/>
      <c r="Y50" s="57"/>
    </row>
    <row r="51" spans="1:28" s="123" customFormat="1" ht="16" thickBot="1" x14ac:dyDescent="0.4">
      <c r="A51" s="137"/>
      <c r="B51" s="181" t="s">
        <v>162</v>
      </c>
      <c r="C51" s="175"/>
      <c r="D51" s="175"/>
      <c r="E51" s="175"/>
      <c r="F51" s="175"/>
      <c r="G51" s="115"/>
      <c r="H51" s="139"/>
      <c r="I51" s="126"/>
      <c r="J51" s="133"/>
      <c r="K51" s="63"/>
      <c r="L51" s="63"/>
      <c r="M51" s="68"/>
      <c r="N51" s="54"/>
      <c r="O51" s="54"/>
      <c r="P51" s="54"/>
      <c r="Q51" s="54"/>
      <c r="R51" s="57"/>
      <c r="S51" s="57"/>
      <c r="T51" s="57"/>
      <c r="U51" s="57"/>
      <c r="V51" s="57"/>
      <c r="W51" s="57"/>
      <c r="X51" s="57"/>
      <c r="Y51" s="57"/>
    </row>
    <row r="52" spans="1:28" s="123" customFormat="1" ht="11.5" thickTop="1" thickBot="1" x14ac:dyDescent="0.3">
      <c r="A52" s="137"/>
      <c r="B52" s="133"/>
      <c r="C52" s="133"/>
      <c r="D52" s="289" t="s">
        <v>150</v>
      </c>
      <c r="E52" s="289"/>
      <c r="F52" s="289"/>
      <c r="G52" s="289"/>
      <c r="H52" s="289"/>
      <c r="I52" s="206" t="s">
        <v>147</v>
      </c>
      <c r="J52" s="133"/>
      <c r="K52" s="63"/>
      <c r="L52" s="63"/>
      <c r="M52" s="68"/>
      <c r="N52" s="54"/>
      <c r="O52" s="69"/>
      <c r="P52" s="54"/>
      <c r="Q52" s="54"/>
      <c r="R52" s="57"/>
      <c r="S52" s="57"/>
      <c r="T52" s="57"/>
      <c r="U52" s="57"/>
      <c r="V52" s="57"/>
      <c r="W52" s="57"/>
      <c r="X52" s="57"/>
      <c r="Y52" s="57"/>
    </row>
    <row r="53" spans="1:28" s="123" customFormat="1" ht="30" customHeight="1" thickTop="1" x14ac:dyDescent="0.25">
      <c r="B53" s="133"/>
      <c r="C53" s="133"/>
      <c r="D53" s="289"/>
      <c r="E53" s="289"/>
      <c r="F53" s="289"/>
      <c r="G53" s="289"/>
      <c r="H53" s="289"/>
      <c r="I53" s="126"/>
      <c r="J53" s="133"/>
      <c r="K53" s="63"/>
      <c r="L53" s="63"/>
      <c r="M53" s="68"/>
      <c r="N53" s="54"/>
      <c r="O53" s="54"/>
      <c r="P53" s="54"/>
      <c r="Q53" s="54"/>
      <c r="R53" s="57"/>
      <c r="S53" s="57"/>
      <c r="T53" s="57"/>
      <c r="U53" s="57"/>
      <c r="V53" s="57"/>
      <c r="W53" s="57"/>
      <c r="X53" s="57"/>
      <c r="Y53" s="57"/>
    </row>
    <row r="54" spans="1:28" s="123" customFormat="1" ht="12" customHeight="1" x14ac:dyDescent="0.25">
      <c r="B54" s="133"/>
      <c r="C54" s="133"/>
      <c r="D54" s="203"/>
      <c r="E54" s="204"/>
      <c r="F54" s="204"/>
      <c r="G54" s="129"/>
      <c r="H54" s="125"/>
      <c r="I54" s="126"/>
      <c r="J54" s="133"/>
      <c r="K54" s="63"/>
      <c r="L54" s="63"/>
      <c r="M54" s="54"/>
      <c r="N54" s="54"/>
      <c r="O54" s="54"/>
      <c r="P54" s="54"/>
      <c r="Q54" s="54"/>
      <c r="R54" s="57"/>
      <c r="S54" s="57"/>
      <c r="T54" s="57"/>
      <c r="U54" s="57"/>
      <c r="V54" s="57"/>
      <c r="W54" s="57"/>
      <c r="X54" s="57"/>
      <c r="Y54" s="57"/>
    </row>
    <row r="55" spans="1:28" s="123" customFormat="1" ht="11.25" customHeight="1" thickBot="1" x14ac:dyDescent="0.25">
      <c r="B55" s="137"/>
      <c r="C55" s="137"/>
      <c r="D55" s="137"/>
      <c r="E55" s="137"/>
      <c r="F55" s="137"/>
      <c r="G55" s="137"/>
      <c r="H55" s="138"/>
      <c r="I55" s="132"/>
      <c r="J55" s="137"/>
      <c r="K55" s="64"/>
      <c r="L55" s="64"/>
      <c r="M55" s="68"/>
      <c r="N55" s="54"/>
      <c r="O55" s="54"/>
      <c r="P55" s="54"/>
      <c r="Q55" s="54"/>
      <c r="R55" s="57"/>
      <c r="S55" s="57"/>
      <c r="T55" s="57"/>
      <c r="U55" s="57"/>
      <c r="V55" s="57"/>
      <c r="W55" s="57"/>
      <c r="X55" s="57"/>
      <c r="Y55" s="57"/>
    </row>
    <row r="56" spans="1:28" s="123" customFormat="1" ht="16.5" thickTop="1" thickBot="1" x14ac:dyDescent="0.4">
      <c r="A56" s="115"/>
      <c r="B56" s="181" t="s">
        <v>163</v>
      </c>
      <c r="C56" s="175"/>
      <c r="D56" s="175"/>
      <c r="E56" s="175"/>
      <c r="F56" s="175"/>
      <c r="G56" s="115"/>
      <c r="H56" s="139"/>
      <c r="I56" s="39">
        <v>0</v>
      </c>
      <c r="J56" s="137"/>
      <c r="K56" s="205" t="str">
        <f>+IF(AND(I52="Commercial",I56&lt;&gt;0),"Error","")</f>
        <v/>
      </c>
      <c r="L56" s="66"/>
      <c r="M56" s="54"/>
      <c r="N56" s="68"/>
      <c r="O56" s="68"/>
      <c r="P56" s="54"/>
      <c r="Q56" s="54"/>
      <c r="R56" s="57"/>
      <c r="S56" s="57"/>
      <c r="T56" s="57"/>
      <c r="U56" s="57"/>
      <c r="V56" s="57"/>
      <c r="W56" s="57"/>
      <c r="X56" s="57"/>
      <c r="Y56" s="57"/>
    </row>
    <row r="57" spans="1:28" s="123" customFormat="1" ht="24" customHeight="1" thickTop="1" x14ac:dyDescent="0.3">
      <c r="B57" s="141"/>
      <c r="C57" s="133"/>
      <c r="D57" s="289" t="s">
        <v>120</v>
      </c>
      <c r="E57" s="289"/>
      <c r="F57" s="289"/>
      <c r="G57" s="289"/>
      <c r="H57" s="289"/>
      <c r="I57" s="142"/>
      <c r="J57" s="137"/>
      <c r="K57" s="207" t="str">
        <f>+IF(AND(I52="Commercial",I56&lt;&gt;0),"Note: For State Surcharge purposes commercial buildings do not have residential units. If your building has both a commercial portion and residential units, please set the building type in Step 3 as Mixed-Use.","")</f>
        <v/>
      </c>
      <c r="L57" s="66"/>
      <c r="M57" s="54"/>
      <c r="N57" s="68"/>
      <c r="O57" s="68"/>
      <c r="P57" s="54"/>
      <c r="Q57" s="54"/>
      <c r="R57" s="57"/>
      <c r="S57" s="57"/>
      <c r="T57" s="57"/>
      <c r="U57" s="57"/>
      <c r="V57" s="57"/>
      <c r="W57" s="57"/>
      <c r="X57" s="57"/>
      <c r="Y57" s="57"/>
    </row>
    <row r="58" spans="1:28" s="123" customFormat="1" ht="11.25" customHeight="1" x14ac:dyDescent="0.2">
      <c r="I58" s="143"/>
      <c r="K58" s="57"/>
      <c r="L58" s="57"/>
      <c r="M58" s="69"/>
      <c r="N58" s="54"/>
      <c r="O58" s="54"/>
      <c r="P58" s="54"/>
      <c r="Q58" s="54"/>
      <c r="R58" s="57"/>
      <c r="S58" s="57"/>
      <c r="T58" s="57"/>
      <c r="U58" s="57"/>
      <c r="V58" s="57"/>
      <c r="W58" s="57"/>
      <c r="X58" s="57"/>
      <c r="Y58" s="57"/>
    </row>
    <row r="59" spans="1:28" s="123" customFormat="1" x14ac:dyDescent="0.2">
      <c r="B59" s="115"/>
      <c r="C59" s="115"/>
      <c r="D59" s="115"/>
      <c r="E59" s="115"/>
      <c r="F59" s="115"/>
      <c r="G59" s="115"/>
      <c r="H59" s="115"/>
      <c r="I59" s="143"/>
      <c r="J59" s="115"/>
      <c r="K59" s="54"/>
      <c r="L59" s="54"/>
      <c r="M59" s="54"/>
      <c r="N59" s="54"/>
      <c r="O59" s="54"/>
      <c r="P59" s="54"/>
      <c r="Q59" s="54"/>
      <c r="R59" s="57"/>
      <c r="S59" s="57"/>
      <c r="T59" s="57"/>
      <c r="U59" s="57"/>
      <c r="V59" s="57"/>
      <c r="W59" s="57"/>
      <c r="X59" s="57"/>
      <c r="Y59" s="57"/>
    </row>
    <row r="60" spans="1:28" ht="15.5" x14ac:dyDescent="0.35">
      <c r="A60" s="123"/>
      <c r="B60" s="292" t="s">
        <v>164</v>
      </c>
      <c r="C60" s="292"/>
      <c r="D60" s="292"/>
      <c r="E60" s="292"/>
      <c r="F60" s="292"/>
      <c r="G60" s="115"/>
      <c r="H60" s="115"/>
      <c r="I60" s="143"/>
      <c r="J60" s="124"/>
      <c r="K60" s="124"/>
      <c r="L60" s="124"/>
      <c r="M60" s="70"/>
      <c r="N60" s="46"/>
      <c r="O60" s="46"/>
      <c r="P60" s="46"/>
      <c r="Q60" s="46"/>
      <c r="R60" s="65"/>
      <c r="S60" s="65"/>
      <c r="T60" s="71"/>
      <c r="U60" s="71"/>
      <c r="V60" s="71"/>
      <c r="W60" s="71"/>
      <c r="X60" s="71"/>
      <c r="Y60" s="71"/>
      <c r="Z60" s="167"/>
      <c r="AA60" s="167"/>
      <c r="AB60" s="167"/>
    </row>
    <row r="61" spans="1:28" ht="10.5" x14ac:dyDescent="0.25">
      <c r="A61" s="123"/>
      <c r="B61" s="123"/>
      <c r="C61" s="115"/>
      <c r="D61" s="147" t="s">
        <v>112</v>
      </c>
      <c r="E61" s="148"/>
      <c r="F61" s="149"/>
      <c r="G61" s="150"/>
      <c r="H61" s="227" t="s">
        <v>104</v>
      </c>
      <c r="I61" s="180">
        <f>+I48</f>
        <v>0</v>
      </c>
      <c r="J61" s="115"/>
      <c r="K61" s="284" t="s">
        <v>113</v>
      </c>
      <c r="L61" s="284"/>
      <c r="M61" s="54"/>
      <c r="N61" s="46"/>
      <c r="O61" s="46"/>
      <c r="P61" s="46"/>
      <c r="Q61" s="46"/>
      <c r="R61" s="58"/>
      <c r="S61" s="58"/>
      <c r="T61" s="58"/>
      <c r="U61" s="58"/>
      <c r="V61" s="58"/>
      <c r="W61" s="58"/>
      <c r="X61" s="58"/>
      <c r="Y61" s="58"/>
      <c r="Z61" s="124"/>
      <c r="AA61" s="124"/>
      <c r="AB61" s="124"/>
    </row>
    <row r="62" spans="1:28" ht="10.5" x14ac:dyDescent="0.25">
      <c r="A62" s="123"/>
      <c r="B62" s="115"/>
      <c r="C62" s="115"/>
      <c r="D62" s="151"/>
      <c r="E62" s="115"/>
      <c r="F62" s="115"/>
      <c r="G62" s="115"/>
      <c r="H62" s="152"/>
      <c r="I62" s="153"/>
      <c r="J62" s="115"/>
      <c r="K62" s="115"/>
      <c r="L62" s="115"/>
      <c r="M62" s="68"/>
      <c r="N62" s="46"/>
      <c r="O62" s="46"/>
      <c r="P62" s="46"/>
      <c r="Q62" s="46"/>
      <c r="R62" s="65"/>
      <c r="S62" s="64"/>
      <c r="T62" s="71"/>
      <c r="U62" s="71"/>
      <c r="V62" s="71"/>
      <c r="W62" s="71"/>
      <c r="X62" s="71"/>
      <c r="Y62" s="71"/>
      <c r="Z62" s="167"/>
      <c r="AA62" s="167"/>
      <c r="AB62" s="167"/>
    </row>
    <row r="63" spans="1:28" ht="10.5" x14ac:dyDescent="0.25">
      <c r="A63" s="123"/>
      <c r="B63" s="115"/>
      <c r="C63" s="115"/>
      <c r="D63" s="147" t="s">
        <v>137</v>
      </c>
      <c r="E63" s="150"/>
      <c r="F63" s="150"/>
      <c r="G63" s="150"/>
      <c r="H63" s="227" t="s">
        <v>104</v>
      </c>
      <c r="I63" s="154">
        <f>IF(I61=0,0,IF((MINA('Table D-1'!I7:I57)&lt;'Table D-1'!$D$7),'Table D-1'!$D$7,MINA('Table D-1'!I7:I57)))</f>
        <v>0</v>
      </c>
      <c r="J63" s="115"/>
      <c r="K63" s="300" t="s">
        <v>149</v>
      </c>
      <c r="L63" s="300"/>
      <c r="M63" s="68"/>
      <c r="N63" s="46"/>
      <c r="O63" s="46"/>
      <c r="P63" s="46"/>
      <c r="Q63" s="46"/>
      <c r="R63" s="65"/>
      <c r="S63" s="72"/>
      <c r="T63" s="73"/>
      <c r="U63" s="73"/>
      <c r="V63" s="73"/>
      <c r="W63" s="73"/>
      <c r="X63" s="73"/>
      <c r="Y63" s="73"/>
      <c r="Z63" s="173"/>
      <c r="AA63" s="173"/>
      <c r="AB63" s="173"/>
    </row>
    <row r="64" spans="1:28" ht="10.5" thickBot="1" x14ac:dyDescent="0.25">
      <c r="A64" s="123"/>
      <c r="B64" s="115"/>
      <c r="C64" s="115"/>
      <c r="D64" s="151"/>
      <c r="E64" s="115"/>
      <c r="F64" s="115"/>
      <c r="G64" s="115"/>
      <c r="H64" s="115"/>
      <c r="I64" s="155"/>
      <c r="J64" s="115"/>
      <c r="K64" s="115"/>
      <c r="L64" s="115"/>
      <c r="M64" s="54"/>
      <c r="N64" s="46"/>
      <c r="O64" s="46"/>
      <c r="P64" s="46"/>
      <c r="Q64" s="46"/>
      <c r="R64" s="65"/>
      <c r="S64" s="72"/>
      <c r="T64" s="73"/>
      <c r="U64" s="73"/>
      <c r="V64" s="73"/>
      <c r="W64" s="73"/>
      <c r="X64" s="73"/>
      <c r="Y64" s="73"/>
      <c r="Z64" s="173"/>
      <c r="AA64" s="173"/>
      <c r="AB64" s="173"/>
    </row>
    <row r="65" spans="1:28" ht="12.75" customHeight="1" x14ac:dyDescent="0.25">
      <c r="A65" s="123"/>
      <c r="B65" s="123"/>
      <c r="C65" s="115"/>
      <c r="D65" s="182"/>
      <c r="E65" s="183"/>
      <c r="F65" s="277" t="s">
        <v>110</v>
      </c>
      <c r="G65" s="277"/>
      <c r="H65" s="278"/>
      <c r="I65" s="184">
        <f>1*I63</f>
        <v>0</v>
      </c>
      <c r="J65" s="185"/>
      <c r="K65" s="293" t="s">
        <v>138</v>
      </c>
      <c r="L65" s="294"/>
      <c r="M65" s="54"/>
      <c r="N65" s="46"/>
      <c r="O65" s="46"/>
      <c r="P65" s="46"/>
      <c r="Q65" s="46"/>
      <c r="R65" s="65"/>
      <c r="S65" s="72"/>
      <c r="T65" s="73"/>
      <c r="U65" s="73"/>
      <c r="V65" s="73"/>
      <c r="W65" s="73"/>
      <c r="X65" s="73"/>
      <c r="Y65" s="73"/>
      <c r="Z65" s="173"/>
      <c r="AA65" s="173"/>
      <c r="AB65" s="173"/>
    </row>
    <row r="66" spans="1:28" ht="28.5" customHeight="1" x14ac:dyDescent="0.2">
      <c r="A66" s="123"/>
      <c r="B66" s="123"/>
      <c r="C66" s="115"/>
      <c r="D66" s="186"/>
      <c r="E66" s="115"/>
      <c r="F66" s="295" t="s">
        <v>111</v>
      </c>
      <c r="G66" s="295"/>
      <c r="H66" s="296"/>
      <c r="I66" s="158">
        <f>IF(I63=0,0,IF((0.5*I63)&lt;'Table D-1'!$D$7,'Table D-1'!$D$7,(0.5*I63)))</f>
        <v>0</v>
      </c>
      <c r="J66" s="115"/>
      <c r="K66" s="297" t="s">
        <v>139</v>
      </c>
      <c r="L66" s="301"/>
      <c r="M66" s="46"/>
      <c r="N66" s="46"/>
      <c r="O66" s="46"/>
      <c r="P66" s="46"/>
      <c r="Q66" s="46"/>
      <c r="R66" s="65"/>
      <c r="S66" s="72"/>
      <c r="T66" s="73"/>
      <c r="U66" s="73"/>
      <c r="V66" s="73"/>
      <c r="W66" s="73"/>
      <c r="X66" s="73"/>
      <c r="Y66" s="73"/>
      <c r="Z66" s="173"/>
      <c r="AA66" s="173"/>
      <c r="AB66" s="173"/>
    </row>
    <row r="67" spans="1:28" ht="16" thickBot="1" x14ac:dyDescent="0.4">
      <c r="A67" s="123"/>
      <c r="B67" s="123"/>
      <c r="C67" s="115"/>
      <c r="D67" s="187"/>
      <c r="E67" s="259" t="s">
        <v>116</v>
      </c>
      <c r="F67" s="259"/>
      <c r="G67" s="188"/>
      <c r="H67" s="189" t="s">
        <v>104</v>
      </c>
      <c r="I67" s="190">
        <f>SUM(I65:I66)</f>
        <v>0</v>
      </c>
      <c r="J67" s="191"/>
      <c r="K67" s="298" t="s">
        <v>99</v>
      </c>
      <c r="L67" s="299"/>
      <c r="M67" s="46"/>
      <c r="N67" s="46"/>
      <c r="O67" s="46"/>
      <c r="P67" s="46"/>
      <c r="Q67" s="46"/>
      <c r="R67" s="65"/>
      <c r="S67" s="72"/>
      <c r="T67" s="73"/>
      <c r="U67" s="73"/>
      <c r="V67" s="73"/>
      <c r="W67" s="73"/>
      <c r="X67" s="73"/>
      <c r="Y67" s="73"/>
      <c r="Z67" s="173"/>
      <c r="AA67" s="173"/>
      <c r="AB67" s="173"/>
    </row>
    <row r="68" spans="1:28" ht="12.75" customHeight="1" x14ac:dyDescent="0.25">
      <c r="B68" s="123"/>
      <c r="C68" s="115"/>
      <c r="D68" s="115"/>
      <c r="E68" s="115"/>
      <c r="F68" s="115"/>
      <c r="G68" s="115"/>
      <c r="H68" s="159"/>
      <c r="I68" s="160"/>
      <c r="J68" s="115"/>
      <c r="K68" s="115"/>
      <c r="L68" s="115"/>
      <c r="M68" s="46"/>
      <c r="N68" s="46"/>
      <c r="O68" s="46"/>
      <c r="P68" s="46"/>
      <c r="Q68" s="46"/>
      <c r="R68" s="65"/>
      <c r="S68" s="72"/>
      <c r="T68" s="73"/>
      <c r="U68" s="73"/>
      <c r="V68" s="73"/>
      <c r="W68" s="73"/>
      <c r="X68" s="73"/>
      <c r="Y68" s="73"/>
      <c r="Z68" s="173"/>
      <c r="AA68" s="173"/>
      <c r="AB68" s="173"/>
    </row>
    <row r="69" spans="1:28" ht="12.5" x14ac:dyDescent="0.25">
      <c r="B69" s="123"/>
      <c r="C69" s="115"/>
      <c r="D69" s="115"/>
      <c r="E69" s="177" t="s">
        <v>101</v>
      </c>
      <c r="F69" s="178"/>
      <c r="G69" s="157"/>
      <c r="H69" s="176" t="s">
        <v>141</v>
      </c>
      <c r="I69" s="179">
        <f>ROUNDDOWN((I63-I66),2)</f>
        <v>0</v>
      </c>
      <c r="J69" s="115"/>
      <c r="K69" s="297" t="s">
        <v>139</v>
      </c>
      <c r="L69" s="297"/>
      <c r="M69" s="46"/>
      <c r="N69" s="46"/>
      <c r="O69" s="46"/>
      <c r="P69" s="46"/>
      <c r="Q69" s="46"/>
      <c r="R69" s="65"/>
      <c r="S69" s="72"/>
      <c r="T69" s="73"/>
      <c r="U69" s="73"/>
      <c r="V69" s="73"/>
      <c r="W69" s="73"/>
      <c r="X69" s="73"/>
      <c r="Y69" s="73"/>
      <c r="Z69" s="173"/>
      <c r="AA69" s="173"/>
      <c r="AB69" s="173"/>
    </row>
    <row r="70" spans="1:28" x14ac:dyDescent="0.2">
      <c r="B70" s="123"/>
      <c r="C70" s="115"/>
      <c r="D70" s="115"/>
      <c r="E70" s="115"/>
      <c r="F70" s="295" t="s">
        <v>106</v>
      </c>
      <c r="G70" s="295"/>
      <c r="H70" s="296"/>
      <c r="I70" s="158">
        <f>IF(I61=0,0,VLOOKUP($I$52,BVD!$R$5:$S$7,2,FALSE)+IF(I56=0,0,(I56-1)*2))</f>
        <v>0</v>
      </c>
      <c r="J70" s="115"/>
      <c r="K70" s="115"/>
      <c r="L70" s="115"/>
      <c r="M70" s="46"/>
      <c r="N70" s="247"/>
      <c r="O70" s="46"/>
      <c r="P70" s="46"/>
      <c r="Q70" s="46"/>
      <c r="R70" s="65"/>
      <c r="S70" s="72"/>
      <c r="T70" s="73"/>
      <c r="U70" s="73"/>
      <c r="V70" s="73"/>
      <c r="W70" s="73"/>
      <c r="X70" s="73"/>
      <c r="Y70" s="73"/>
      <c r="Z70" s="173"/>
      <c r="AA70" s="173"/>
      <c r="AB70" s="173"/>
    </row>
    <row r="71" spans="1:28" x14ac:dyDescent="0.2">
      <c r="B71" s="123"/>
      <c r="C71" s="115"/>
      <c r="D71" s="115"/>
      <c r="E71" s="115"/>
      <c r="F71" s="115"/>
      <c r="G71" s="115"/>
      <c r="H71" s="161"/>
      <c r="I71" s="162"/>
      <c r="J71" s="115"/>
      <c r="K71" s="290" t="s">
        <v>132</v>
      </c>
      <c r="L71" s="290"/>
      <c r="M71" s="46"/>
      <c r="N71" s="46"/>
      <c r="O71" s="46"/>
      <c r="P71" s="46"/>
      <c r="Q71" s="46"/>
      <c r="R71" s="65"/>
      <c r="S71" s="72"/>
      <c r="T71" s="73"/>
      <c r="U71" s="73"/>
      <c r="V71" s="73"/>
      <c r="W71" s="73"/>
      <c r="X71" s="73"/>
      <c r="Y71" s="73"/>
      <c r="Z71" s="173"/>
      <c r="AA71" s="173"/>
      <c r="AB71" s="173"/>
    </row>
    <row r="72" spans="1:28" ht="34.5" x14ac:dyDescent="0.25">
      <c r="B72" s="123"/>
      <c r="C72" s="115"/>
      <c r="D72" s="115"/>
      <c r="E72" s="163" t="s">
        <v>115</v>
      </c>
      <c r="F72" s="164"/>
      <c r="G72" s="164"/>
      <c r="H72" s="156" t="s">
        <v>104</v>
      </c>
      <c r="I72" s="165">
        <f>SUM(I69:I70)</f>
        <v>0</v>
      </c>
      <c r="J72" s="115"/>
      <c r="K72" s="290"/>
      <c r="L72" s="290"/>
      <c r="M72" s="46"/>
      <c r="N72" s="46"/>
      <c r="O72" s="46"/>
      <c r="P72" s="46"/>
      <c r="Q72" s="46"/>
      <c r="R72" s="65"/>
      <c r="S72" s="72"/>
      <c r="T72" s="73"/>
      <c r="U72" s="73"/>
      <c r="V72" s="73"/>
      <c r="W72" s="73"/>
      <c r="X72" s="73"/>
      <c r="Y72" s="73"/>
      <c r="Z72" s="173"/>
      <c r="AA72" s="173"/>
      <c r="AB72" s="173"/>
    </row>
    <row r="73" spans="1:28" ht="12" thickBot="1" x14ac:dyDescent="0.3">
      <c r="A73" s="46"/>
      <c r="B73" s="123"/>
      <c r="C73" s="115"/>
      <c r="D73" s="115"/>
      <c r="E73" s="115"/>
      <c r="F73" s="166"/>
      <c r="G73" s="166"/>
      <c r="H73" s="166"/>
      <c r="I73" s="143"/>
      <c r="J73" s="115"/>
      <c r="K73" s="290"/>
      <c r="L73" s="290"/>
      <c r="M73" s="46"/>
      <c r="N73" s="46"/>
      <c r="O73" s="46"/>
      <c r="P73" s="46"/>
      <c r="Q73" s="46"/>
      <c r="R73" s="65"/>
      <c r="S73" s="72"/>
      <c r="T73" s="73"/>
      <c r="U73" s="73"/>
      <c r="V73" s="73"/>
      <c r="W73" s="73"/>
      <c r="X73" s="73"/>
      <c r="Y73" s="73"/>
      <c r="Z73" s="173"/>
      <c r="AA73" s="173"/>
      <c r="AB73" s="173"/>
    </row>
    <row r="74" spans="1:28" ht="27.75" customHeight="1" thickTop="1" thickBot="1" x14ac:dyDescent="0.3">
      <c r="A74" s="46"/>
      <c r="B74" s="123"/>
      <c r="C74" s="115"/>
      <c r="D74" s="115"/>
      <c r="E74" s="303" t="s">
        <v>143</v>
      </c>
      <c r="F74" s="303"/>
      <c r="G74" s="303"/>
      <c r="H74" s="308"/>
      <c r="I74" s="45">
        <v>0</v>
      </c>
      <c r="J74" s="115"/>
      <c r="K74" s="291" t="s">
        <v>140</v>
      </c>
      <c r="L74" s="291"/>
      <c r="M74" s="46"/>
      <c r="N74" s="46"/>
      <c r="O74" s="46"/>
      <c r="P74" s="46"/>
      <c r="Q74" s="46"/>
      <c r="R74" s="65"/>
      <c r="S74" s="72"/>
      <c r="T74" s="73"/>
      <c r="U74" s="73"/>
      <c r="V74" s="73"/>
      <c r="W74" s="73"/>
      <c r="X74" s="73"/>
      <c r="Y74" s="73"/>
      <c r="Z74" s="173"/>
      <c r="AA74" s="173"/>
      <c r="AB74" s="138"/>
    </row>
    <row r="75" spans="1:28" ht="11" thickTop="1" x14ac:dyDescent="0.25">
      <c r="A75" s="46"/>
      <c r="B75" s="123"/>
      <c r="C75" s="115"/>
      <c r="D75" s="115"/>
      <c r="E75" s="115"/>
      <c r="F75" s="115"/>
      <c r="G75" s="115"/>
      <c r="H75" s="125"/>
      <c r="I75" s="168"/>
      <c r="J75" s="115"/>
      <c r="K75" s="291"/>
      <c r="L75" s="291"/>
      <c r="M75" s="46"/>
      <c r="N75" s="46"/>
      <c r="O75" s="46"/>
      <c r="P75" s="46"/>
      <c r="Q75" s="46"/>
      <c r="R75" s="65"/>
      <c r="S75" s="72"/>
      <c r="T75" s="73"/>
      <c r="U75" s="73"/>
      <c r="V75" s="73"/>
      <c r="W75" s="73"/>
      <c r="X75" s="73"/>
      <c r="Y75" s="73"/>
      <c r="Z75" s="173"/>
      <c r="AA75" s="173"/>
      <c r="AB75" s="173"/>
    </row>
    <row r="76" spans="1:28" ht="11.5" x14ac:dyDescent="0.25">
      <c r="A76" s="46"/>
      <c r="B76" s="123"/>
      <c r="C76" s="115"/>
      <c r="D76" s="115"/>
      <c r="E76" s="303" t="s">
        <v>103</v>
      </c>
      <c r="F76" s="303"/>
      <c r="G76" s="303"/>
      <c r="H76" s="304"/>
      <c r="I76" s="165">
        <f>I67+I72+I74</f>
        <v>0</v>
      </c>
      <c r="J76" s="115"/>
      <c r="K76" s="226" t="s">
        <v>102</v>
      </c>
      <c r="L76" s="226"/>
      <c r="M76" s="46"/>
      <c r="N76" s="46"/>
      <c r="O76" s="46"/>
      <c r="P76" s="46"/>
      <c r="Q76" s="46"/>
      <c r="R76" s="65"/>
      <c r="S76" s="72"/>
      <c r="T76" s="73"/>
      <c r="U76" s="73"/>
      <c r="V76" s="73"/>
      <c r="W76" s="73"/>
      <c r="X76" s="73"/>
      <c r="Y76" s="73"/>
      <c r="Z76" s="173"/>
      <c r="AA76" s="173"/>
      <c r="AB76" s="173"/>
    </row>
    <row r="77" spans="1:28" ht="11.5" x14ac:dyDescent="0.25">
      <c r="A77" s="46"/>
      <c r="B77" s="123"/>
      <c r="C77" s="115"/>
      <c r="D77" s="115"/>
      <c r="E77" s="169"/>
      <c r="F77" s="170"/>
      <c r="G77" s="170"/>
      <c r="H77" s="170"/>
      <c r="I77" s="171"/>
      <c r="J77" s="54"/>
      <c r="K77" s="68"/>
      <c r="L77" s="68"/>
      <c r="M77" s="46"/>
      <c r="N77" s="46"/>
      <c r="O77" s="46"/>
      <c r="P77" s="46"/>
      <c r="Q77" s="46"/>
      <c r="R77" s="65"/>
      <c r="S77" s="72"/>
      <c r="T77" s="73"/>
      <c r="U77" s="73"/>
      <c r="V77" s="73"/>
      <c r="W77" s="73"/>
      <c r="X77" s="73"/>
      <c r="Y77" s="73"/>
      <c r="Z77" s="173"/>
      <c r="AA77" s="173"/>
      <c r="AB77" s="173"/>
    </row>
    <row r="78" spans="1:28" ht="37.5" customHeight="1" x14ac:dyDescent="0.2">
      <c r="A78" s="46"/>
      <c r="B78" s="123"/>
      <c r="C78" s="115"/>
      <c r="D78" s="302" t="s">
        <v>145</v>
      </c>
      <c r="E78" s="302"/>
      <c r="F78" s="302"/>
      <c r="G78" s="302"/>
      <c r="H78" s="302"/>
      <c r="I78" s="302"/>
      <c r="J78" s="54"/>
      <c r="K78" s="54"/>
      <c r="L78" s="54"/>
      <c r="M78" s="46"/>
      <c r="N78" s="46"/>
      <c r="O78" s="46"/>
      <c r="P78" s="46"/>
      <c r="Q78" s="46"/>
      <c r="R78" s="65"/>
      <c r="S78" s="72"/>
      <c r="T78" s="73"/>
      <c r="U78" s="73"/>
      <c r="V78" s="73"/>
      <c r="W78" s="73"/>
      <c r="X78" s="73"/>
      <c r="Y78" s="65"/>
      <c r="Z78" s="173"/>
      <c r="AA78" s="173"/>
      <c r="AB78" s="138"/>
    </row>
    <row r="79" spans="1:28" x14ac:dyDescent="0.2">
      <c r="A79" s="46"/>
      <c r="B79" s="57"/>
      <c r="C79" s="54"/>
      <c r="D79" s="74"/>
      <c r="E79" s="74"/>
      <c r="F79" s="74"/>
      <c r="G79" s="74"/>
      <c r="H79" s="74"/>
      <c r="I79" s="74"/>
      <c r="J79" s="54"/>
      <c r="K79" s="54"/>
      <c r="L79" s="54"/>
      <c r="M79" s="46"/>
      <c r="N79" s="46"/>
      <c r="O79" s="46"/>
      <c r="P79" s="46"/>
      <c r="Q79" s="46"/>
      <c r="R79" s="65"/>
      <c r="S79" s="72"/>
      <c r="T79" s="73"/>
      <c r="U79" s="73"/>
      <c r="V79" s="73"/>
      <c r="W79" s="73"/>
      <c r="X79" s="73"/>
      <c r="Y79" s="65"/>
      <c r="Z79" s="173"/>
      <c r="AA79" s="173"/>
      <c r="AB79" s="138"/>
    </row>
    <row r="80" spans="1:28" x14ac:dyDescent="0.2">
      <c r="A80" s="46"/>
      <c r="B80" s="46"/>
      <c r="C80" s="47"/>
      <c r="D80" s="74"/>
      <c r="E80" s="74"/>
      <c r="F80" s="74"/>
      <c r="G80" s="74"/>
      <c r="H80" s="74"/>
      <c r="I80" s="74"/>
      <c r="J80" s="47"/>
      <c r="K80" s="47"/>
      <c r="L80" s="47"/>
      <c r="M80" s="46"/>
      <c r="N80" s="46"/>
      <c r="O80" s="46"/>
      <c r="P80" s="46"/>
      <c r="Q80" s="46"/>
      <c r="R80" s="65"/>
      <c r="S80" s="72"/>
      <c r="T80" s="73"/>
      <c r="U80" s="73"/>
      <c r="V80" s="73"/>
      <c r="W80" s="73"/>
      <c r="X80" s="73"/>
      <c r="Y80" s="73"/>
      <c r="Z80" s="173"/>
      <c r="AA80" s="173"/>
      <c r="AB80" s="173"/>
    </row>
    <row r="81" spans="1:28" x14ac:dyDescent="0.2">
      <c r="A81" s="46"/>
      <c r="B81" s="46"/>
      <c r="C81" s="47"/>
      <c r="D81" s="75"/>
      <c r="E81" s="75"/>
      <c r="F81" s="75"/>
      <c r="G81" s="75"/>
      <c r="H81" s="75"/>
      <c r="I81" s="75"/>
      <c r="J81" s="47"/>
      <c r="K81" s="47"/>
      <c r="L81" s="47"/>
      <c r="M81" s="46"/>
      <c r="N81" s="46"/>
      <c r="O81" s="46"/>
      <c r="P81" s="46"/>
      <c r="Q81" s="46"/>
      <c r="R81" s="65"/>
      <c r="S81" s="72"/>
      <c r="T81" s="73"/>
      <c r="U81" s="73"/>
      <c r="V81" s="73"/>
      <c r="W81" s="73"/>
      <c r="X81" s="73"/>
      <c r="Y81" s="73"/>
      <c r="Z81" s="173"/>
      <c r="AA81" s="173"/>
      <c r="AB81" s="173"/>
    </row>
    <row r="82" spans="1:28" x14ac:dyDescent="0.2">
      <c r="A82" s="46"/>
      <c r="B82" s="46"/>
      <c r="C82" s="47"/>
      <c r="D82" s="75"/>
      <c r="E82" s="75"/>
      <c r="F82" s="75"/>
      <c r="G82" s="75"/>
      <c r="H82" s="75"/>
      <c r="I82" s="75"/>
      <c r="J82" s="47"/>
      <c r="K82" s="47"/>
      <c r="L82" s="47"/>
      <c r="M82" s="46"/>
      <c r="N82" s="46"/>
      <c r="O82" s="46"/>
      <c r="P82" s="46"/>
      <c r="Q82" s="46"/>
      <c r="R82" s="65"/>
      <c r="S82" s="72"/>
      <c r="T82" s="73"/>
      <c r="U82" s="73"/>
      <c r="V82" s="73"/>
      <c r="W82" s="73"/>
      <c r="X82" s="73"/>
      <c r="Y82" s="73"/>
      <c r="Z82" s="173"/>
      <c r="AA82" s="173"/>
      <c r="AB82" s="173"/>
    </row>
    <row r="83" spans="1:28" x14ac:dyDescent="0.2">
      <c r="A83" s="46"/>
      <c r="B83" s="46"/>
      <c r="C83" s="47"/>
      <c r="D83" s="47"/>
      <c r="E83" s="47"/>
      <c r="F83" s="48"/>
      <c r="G83" s="47"/>
      <c r="H83" s="47"/>
      <c r="I83" s="47"/>
      <c r="J83" s="47"/>
      <c r="K83" s="47"/>
      <c r="L83" s="47"/>
      <c r="M83" s="46"/>
      <c r="N83" s="46"/>
      <c r="O83" s="46"/>
      <c r="P83" s="46"/>
      <c r="Q83" s="46"/>
      <c r="R83" s="65"/>
      <c r="S83" s="72"/>
      <c r="T83" s="73"/>
      <c r="U83" s="73"/>
      <c r="V83" s="73"/>
      <c r="W83" s="73"/>
      <c r="X83" s="73"/>
      <c r="Y83" s="73"/>
      <c r="Z83" s="173"/>
      <c r="AA83" s="173"/>
      <c r="AB83" s="173"/>
    </row>
    <row r="84" spans="1:28" x14ac:dyDescent="0.2">
      <c r="A84" s="46"/>
      <c r="B84" s="46"/>
      <c r="C84" s="47"/>
      <c r="D84" s="47"/>
      <c r="E84" s="47"/>
      <c r="F84" s="48"/>
      <c r="G84" s="47"/>
      <c r="H84" s="47"/>
      <c r="I84" s="47"/>
      <c r="J84" s="47"/>
      <c r="K84" s="47"/>
      <c r="L84" s="47"/>
      <c r="M84" s="46"/>
      <c r="N84" s="46"/>
      <c r="O84" s="46"/>
      <c r="P84" s="46"/>
      <c r="Q84" s="46"/>
      <c r="R84" s="65"/>
      <c r="S84" s="72"/>
      <c r="T84" s="73"/>
      <c r="U84" s="73"/>
      <c r="V84" s="73"/>
      <c r="W84" s="73"/>
      <c r="X84" s="73"/>
      <c r="Y84" s="73"/>
      <c r="Z84" s="173"/>
      <c r="AA84" s="173"/>
      <c r="AB84" s="173"/>
    </row>
    <row r="85" spans="1:28" x14ac:dyDescent="0.2">
      <c r="A85" s="46"/>
      <c r="B85" s="46"/>
      <c r="C85" s="47"/>
      <c r="D85" s="47"/>
      <c r="E85" s="47"/>
      <c r="F85" s="48"/>
      <c r="G85" s="47"/>
      <c r="H85" s="47"/>
      <c r="I85" s="47"/>
      <c r="J85" s="47"/>
      <c r="K85" s="47"/>
      <c r="L85" s="47"/>
      <c r="M85" s="46"/>
      <c r="N85" s="46"/>
      <c r="O85" s="46"/>
      <c r="P85" s="46"/>
      <c r="Q85" s="46"/>
      <c r="R85" s="65"/>
      <c r="S85" s="72"/>
      <c r="T85" s="73"/>
      <c r="U85" s="73"/>
      <c r="V85" s="73"/>
      <c r="W85" s="73"/>
      <c r="X85" s="73"/>
      <c r="Y85" s="73"/>
      <c r="Z85" s="173"/>
      <c r="AA85" s="173"/>
      <c r="AB85" s="173"/>
    </row>
    <row r="86" spans="1:28" x14ac:dyDescent="0.2">
      <c r="A86" s="46"/>
      <c r="B86" s="46"/>
      <c r="C86" s="47"/>
      <c r="D86" s="47"/>
      <c r="E86" s="47"/>
      <c r="F86" s="48"/>
      <c r="G86" s="47"/>
      <c r="H86" s="47"/>
      <c r="I86" s="47"/>
      <c r="J86" s="47"/>
      <c r="K86" s="47"/>
      <c r="L86" s="47"/>
      <c r="R86" s="138"/>
      <c r="S86" s="172"/>
      <c r="T86" s="173"/>
      <c r="U86" s="173"/>
      <c r="V86" s="73"/>
      <c r="W86" s="73"/>
      <c r="X86" s="73"/>
      <c r="Y86" s="73"/>
      <c r="Z86" s="173"/>
      <c r="AA86" s="173"/>
      <c r="AB86" s="173"/>
    </row>
    <row r="87" spans="1:28" x14ac:dyDescent="0.2">
      <c r="A87" s="46"/>
      <c r="B87" s="46"/>
      <c r="C87" s="47"/>
      <c r="D87" s="47"/>
      <c r="E87" s="47"/>
      <c r="F87" s="48"/>
      <c r="G87" s="47"/>
      <c r="H87" s="47"/>
      <c r="I87" s="47"/>
      <c r="J87" s="47"/>
      <c r="K87" s="47"/>
      <c r="L87" s="47"/>
      <c r="R87" s="138"/>
      <c r="S87" s="172"/>
      <c r="T87" s="173"/>
      <c r="U87" s="173"/>
      <c r="V87" s="73"/>
      <c r="W87" s="73"/>
      <c r="X87" s="73"/>
      <c r="Y87" s="73"/>
      <c r="Z87" s="173"/>
      <c r="AA87" s="173"/>
      <c r="AB87" s="173"/>
    </row>
    <row r="88" spans="1:28" x14ac:dyDescent="0.2">
      <c r="A88" s="46"/>
      <c r="B88" s="46"/>
      <c r="C88" s="47"/>
      <c r="D88" s="47"/>
      <c r="E88" s="47"/>
      <c r="F88" s="48"/>
      <c r="G88" s="47"/>
      <c r="H88" s="47"/>
      <c r="I88" s="47"/>
      <c r="J88" s="47"/>
      <c r="K88" s="47"/>
      <c r="L88" s="47"/>
      <c r="R88" s="138"/>
      <c r="S88" s="172"/>
      <c r="T88" s="173"/>
      <c r="U88" s="173"/>
      <c r="V88" s="73"/>
      <c r="W88" s="73"/>
      <c r="X88" s="73"/>
      <c r="Y88" s="73"/>
      <c r="Z88" s="173"/>
      <c r="AA88" s="173"/>
      <c r="AB88" s="173"/>
    </row>
    <row r="89" spans="1:28" x14ac:dyDescent="0.2">
      <c r="A89" s="46"/>
      <c r="B89" s="46"/>
      <c r="C89" s="47"/>
      <c r="D89" s="47"/>
      <c r="E89" s="47"/>
      <c r="F89" s="48"/>
      <c r="G89" s="47"/>
      <c r="H89" s="47"/>
      <c r="I89" s="47"/>
      <c r="J89" s="47"/>
      <c r="K89" s="47"/>
      <c r="L89" s="47"/>
      <c r="R89" s="138"/>
      <c r="S89" s="172"/>
      <c r="T89" s="173"/>
      <c r="U89" s="173"/>
      <c r="V89" s="73"/>
      <c r="W89" s="73"/>
      <c r="X89" s="73"/>
      <c r="Y89" s="73"/>
      <c r="Z89" s="173"/>
      <c r="AA89" s="173"/>
      <c r="AB89" s="173"/>
    </row>
    <row r="90" spans="1:28" x14ac:dyDescent="0.2">
      <c r="A90" s="46"/>
      <c r="B90" s="46"/>
      <c r="C90" s="47"/>
      <c r="D90" s="47"/>
      <c r="E90" s="47"/>
      <c r="F90" s="48"/>
      <c r="G90" s="47"/>
      <c r="H90" s="47"/>
      <c r="I90" s="47"/>
      <c r="J90" s="47"/>
      <c r="K90" s="47"/>
      <c r="L90" s="47"/>
      <c r="R90" s="138"/>
      <c r="S90" s="172"/>
      <c r="T90" s="173"/>
      <c r="U90" s="173"/>
      <c r="V90" s="73"/>
      <c r="W90" s="73"/>
      <c r="X90" s="73"/>
      <c r="Y90" s="73"/>
      <c r="Z90" s="173"/>
      <c r="AA90" s="173"/>
      <c r="AB90" s="173"/>
    </row>
    <row r="91" spans="1:28" x14ac:dyDescent="0.2">
      <c r="A91" s="46"/>
      <c r="B91" s="46"/>
      <c r="C91" s="47"/>
      <c r="D91" s="47"/>
      <c r="E91" s="47"/>
      <c r="F91" s="48"/>
      <c r="G91" s="47"/>
      <c r="H91" s="47"/>
      <c r="I91" s="47"/>
      <c r="J91" s="47"/>
      <c r="K91" s="47"/>
      <c r="L91" s="47"/>
      <c r="S91" s="174"/>
      <c r="T91" s="77"/>
      <c r="U91" s="77"/>
      <c r="V91" s="47"/>
      <c r="W91" s="47"/>
      <c r="X91" s="47"/>
      <c r="Y91" s="47"/>
      <c r="Z91" s="77"/>
      <c r="AA91" s="77"/>
      <c r="AB91" s="77"/>
    </row>
    <row r="92" spans="1:28" x14ac:dyDescent="0.2">
      <c r="A92" s="46"/>
      <c r="B92" s="46"/>
      <c r="C92" s="47"/>
      <c r="D92" s="47"/>
      <c r="E92" s="47"/>
      <c r="F92" s="48"/>
      <c r="G92" s="47"/>
      <c r="H92" s="47"/>
      <c r="I92" s="47"/>
      <c r="J92" s="47"/>
      <c r="K92" s="47"/>
      <c r="L92" s="47"/>
      <c r="S92" s="174"/>
      <c r="T92" s="77"/>
      <c r="U92" s="77"/>
      <c r="V92" s="47"/>
      <c r="W92" s="47"/>
      <c r="X92" s="47"/>
      <c r="Y92" s="47"/>
      <c r="Z92" s="77"/>
      <c r="AA92" s="77"/>
      <c r="AB92" s="77"/>
    </row>
    <row r="93" spans="1:28" x14ac:dyDescent="0.2">
      <c r="A93" s="46"/>
      <c r="B93" s="46"/>
      <c r="C93" s="47"/>
      <c r="D93" s="47"/>
      <c r="E93" s="47"/>
      <c r="F93" s="48"/>
      <c r="G93" s="47"/>
      <c r="H93" s="47"/>
      <c r="I93" s="47"/>
      <c r="J93" s="47"/>
      <c r="K93" s="47"/>
      <c r="L93" s="47"/>
      <c r="S93" s="174"/>
      <c r="T93" s="77"/>
      <c r="U93" s="77"/>
      <c r="V93" s="47"/>
      <c r="W93" s="47"/>
      <c r="X93" s="47"/>
      <c r="Y93" s="47"/>
      <c r="Z93" s="77"/>
      <c r="AA93" s="77"/>
      <c r="AB93" s="77"/>
    </row>
    <row r="94" spans="1:28" x14ac:dyDescent="0.2">
      <c r="B94" s="46"/>
      <c r="C94" s="47"/>
      <c r="D94" s="47"/>
      <c r="E94" s="47"/>
      <c r="F94" s="48"/>
      <c r="G94" s="47"/>
      <c r="H94" s="47"/>
      <c r="I94" s="47"/>
      <c r="J94" s="47"/>
      <c r="K94" s="47"/>
      <c r="L94" s="47"/>
      <c r="S94" s="174"/>
      <c r="T94" s="77"/>
      <c r="U94" s="77"/>
      <c r="V94" s="47"/>
      <c r="W94" s="47"/>
      <c r="X94" s="47"/>
      <c r="Y94" s="47"/>
      <c r="Z94" s="77"/>
      <c r="AA94" s="77"/>
      <c r="AB94" s="77"/>
    </row>
    <row r="95" spans="1:28" x14ac:dyDescent="0.2">
      <c r="B95" s="46"/>
      <c r="C95" s="47"/>
      <c r="D95" s="47"/>
      <c r="E95" s="47"/>
      <c r="F95" s="48"/>
      <c r="G95" s="47"/>
      <c r="H95" s="47"/>
      <c r="I95" s="47"/>
      <c r="J95" s="47"/>
      <c r="K95" s="47"/>
      <c r="L95" s="47"/>
    </row>
    <row r="96" spans="1:28" x14ac:dyDescent="0.2">
      <c r="B96" s="46"/>
      <c r="C96" s="47"/>
      <c r="D96" s="47"/>
      <c r="E96" s="47"/>
      <c r="F96" s="48"/>
      <c r="G96" s="47"/>
      <c r="H96" s="47"/>
      <c r="I96" s="47"/>
      <c r="J96" s="47"/>
      <c r="K96" s="47"/>
      <c r="L96" s="47"/>
    </row>
    <row r="97" spans="2:12" x14ac:dyDescent="0.2">
      <c r="B97" s="46"/>
      <c r="C97" s="47"/>
      <c r="D97" s="47"/>
      <c r="E97" s="47"/>
      <c r="F97" s="48"/>
      <c r="G97" s="47"/>
      <c r="H97" s="47"/>
      <c r="I97" s="47"/>
      <c r="J97" s="47"/>
      <c r="K97" s="47"/>
      <c r="L97" s="47"/>
    </row>
    <row r="98" spans="2:12" x14ac:dyDescent="0.2">
      <c r="B98" s="46"/>
      <c r="C98" s="47"/>
      <c r="D98" s="47"/>
      <c r="E98" s="47"/>
      <c r="F98" s="48"/>
      <c r="G98" s="47"/>
      <c r="H98" s="47"/>
      <c r="I98" s="47"/>
      <c r="J98" s="47"/>
      <c r="K98" s="47"/>
      <c r="L98" s="47"/>
    </row>
    <row r="99" spans="2:12" x14ac:dyDescent="0.2">
      <c r="B99" s="46"/>
      <c r="C99" s="47"/>
      <c r="D99" s="47"/>
      <c r="E99" s="47"/>
      <c r="F99" s="48"/>
      <c r="G99" s="47"/>
      <c r="H99" s="47"/>
      <c r="I99" s="47"/>
      <c r="J99" s="47"/>
      <c r="K99" s="47"/>
      <c r="L99" s="47"/>
    </row>
  </sheetData>
  <sheetProtection selectLockedCells="1"/>
  <mergeCells count="36">
    <mergeCell ref="D78:I78"/>
    <mergeCell ref="E76:H76"/>
    <mergeCell ref="D44:H45"/>
    <mergeCell ref="D46:F46"/>
    <mergeCell ref="D48:F48"/>
    <mergeCell ref="F70:H70"/>
    <mergeCell ref="E74:H74"/>
    <mergeCell ref="K61:L61"/>
    <mergeCell ref="D36:H36"/>
    <mergeCell ref="D52:H53"/>
    <mergeCell ref="K71:L73"/>
    <mergeCell ref="K74:L75"/>
    <mergeCell ref="B60:F60"/>
    <mergeCell ref="D57:H57"/>
    <mergeCell ref="K65:L65"/>
    <mergeCell ref="F66:H66"/>
    <mergeCell ref="K69:L69"/>
    <mergeCell ref="K67:L67"/>
    <mergeCell ref="K63:L63"/>
    <mergeCell ref="K66:L66"/>
    <mergeCell ref="N44:N45"/>
    <mergeCell ref="O44:T45"/>
    <mergeCell ref="O46:S47"/>
    <mergeCell ref="B2:I2"/>
    <mergeCell ref="E67:F67"/>
    <mergeCell ref="R5:T5"/>
    <mergeCell ref="D39:H39"/>
    <mergeCell ref="D41:F41"/>
    <mergeCell ref="O42:T43"/>
    <mergeCell ref="N42:N43"/>
    <mergeCell ref="B38:H38"/>
    <mergeCell ref="O40:T40"/>
    <mergeCell ref="F65:H65"/>
    <mergeCell ref="R6:T6"/>
    <mergeCell ref="B5:H5"/>
    <mergeCell ref="B3:L3"/>
  </mergeCells>
  <phoneticPr fontId="3" type="noConversion"/>
  <conditionalFormatting sqref="I56">
    <cfRule type="expression" dxfId="0" priority="1" stopIfTrue="1">
      <formula>"and($I$44=""Commercial"",$I$48&lt;&gt;0)"</formula>
    </cfRule>
  </conditionalFormatting>
  <dataValidations count="4">
    <dataValidation type="list" showInputMessage="1" showErrorMessage="1" promptTitle="Construction Type Per SBC" sqref="E8:E35" xr:uid="{00000000-0002-0000-0000-000000000000}">
      <formula1>ConstType</formula1>
    </dataValidation>
    <dataValidation type="list" showInputMessage="1" showErrorMessage="1" promptTitle="Occupancy Per SBC" sqref="D8:D35" xr:uid="{00000000-0002-0000-0000-000001000000}">
      <formula1>OccupancyGroup</formula1>
    </dataValidation>
    <dataValidation type="custom" allowBlank="1" showInputMessage="1" showErrorMessage="1" error="Note: For State Surcharge purposes commercial buildings do not have residential units. If your building has both a commercial portion and residential units, please set the building type in Step 3 as Mixed-Use." sqref="I56" xr:uid="{00000000-0002-0000-0000-000002000000}">
      <formula1>K56&lt;&gt;"Error"</formula1>
    </dataValidation>
    <dataValidation type="list" allowBlank="1" showInputMessage="1" showErrorMessage="1" sqref="I52" xr:uid="{00000000-0002-0000-0000-000003000000}">
      <formula1>$V$8:$V$10</formula1>
    </dataValidation>
  </dataValidations>
  <hyperlinks>
    <hyperlink ref="O46:S47" r:id="rId1" display="http://www.seattle.gov/sdci/codes/codes-we-enforce-(a-z)/building-code" xr:uid="{00000000-0004-0000-0000-000000000000}"/>
  </hyperlinks>
  <printOptions horizontalCentered="1" verticalCentered="1"/>
  <pageMargins left="0" right="0" top="0.5" bottom="0.3" header="0" footer="0"/>
  <pageSetup orientation="portrait" r:id="rId2"/>
  <headerFooter alignWithMargins="0">
    <oddHeader>&amp;L&amp;G &amp;"Arial,Bold"City of Seattle - Department of Planning and Development</oddHeader>
    <oddFooter>&amp;L&amp;8&amp;F&amp;C&amp;8&amp;P of &amp;N&amp;R&amp;8&amp;D</oddFooter>
  </headerFooter>
  <drawing r:id="rId3"/>
  <legacyDrawing r:id="rId4"/>
  <legacyDrawingHF r:id="rId5"/>
  <pictur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J57"/>
  <sheetViews>
    <sheetView workbookViewId="0">
      <selection activeCell="L39" sqref="L39"/>
    </sheetView>
  </sheetViews>
  <sheetFormatPr defaultColWidth="9.1796875" defaultRowHeight="11.5" x14ac:dyDescent="0.25"/>
  <cols>
    <col min="1" max="1" width="2" style="10" customWidth="1"/>
    <col min="2" max="2" width="2" style="10" bestFit="1" customWidth="1"/>
    <col min="3" max="3" width="16" style="10" bestFit="1" customWidth="1"/>
    <col min="4" max="4" width="12.81640625" style="10" bestFit="1" customWidth="1"/>
    <col min="5" max="5" width="7.7265625" style="10" customWidth="1"/>
    <col min="6" max="6" width="10.26953125" style="10" bestFit="1" customWidth="1"/>
    <col min="7" max="7" width="3.26953125" style="10" customWidth="1"/>
    <col min="8" max="9" width="18.7265625" style="10" customWidth="1"/>
    <col min="10" max="10" width="11" style="10" bestFit="1" customWidth="1"/>
    <col min="11" max="16384" width="9.1796875" style="10"/>
  </cols>
  <sheetData>
    <row r="1" spans="2:9" ht="29.25" customHeight="1" x14ac:dyDescent="0.25">
      <c r="C1" s="309" t="s">
        <v>157</v>
      </c>
      <c r="D1" s="310"/>
      <c r="E1" s="310"/>
      <c r="F1" s="310"/>
      <c r="G1" s="310"/>
      <c r="H1" s="310"/>
      <c r="I1" s="38"/>
    </row>
    <row r="3" spans="2:9" ht="23" x14ac:dyDescent="0.25">
      <c r="B3" s="21"/>
      <c r="C3" s="22"/>
      <c r="D3" s="23" t="s">
        <v>1</v>
      </c>
      <c r="E3" s="23" t="s">
        <v>5</v>
      </c>
      <c r="F3" s="23" t="s">
        <v>5</v>
      </c>
      <c r="G3" s="24"/>
      <c r="H3" s="193" t="s">
        <v>0</v>
      </c>
      <c r="I3" s="193" t="s">
        <v>158</v>
      </c>
    </row>
    <row r="4" spans="2:9" x14ac:dyDescent="0.25">
      <c r="B4" s="21"/>
      <c r="C4" s="22"/>
      <c r="D4" s="23"/>
      <c r="E4" s="23"/>
      <c r="F4" s="23"/>
      <c r="G4" s="24"/>
      <c r="H4" s="193"/>
      <c r="I4" s="193"/>
    </row>
    <row r="5" spans="2:9" x14ac:dyDescent="0.25">
      <c r="B5" s="21"/>
      <c r="C5" s="25">
        <v>1</v>
      </c>
      <c r="D5" s="26"/>
      <c r="E5" s="23"/>
      <c r="F5" s="23"/>
      <c r="G5" s="24"/>
      <c r="H5" s="193"/>
      <c r="I5" s="193"/>
    </row>
    <row r="6" spans="2:9" x14ac:dyDescent="0.25">
      <c r="B6" s="21"/>
      <c r="C6" s="25">
        <v>1</v>
      </c>
      <c r="D6" s="26"/>
      <c r="E6" s="27">
        <v>100</v>
      </c>
      <c r="F6" s="28">
        <v>1000</v>
      </c>
      <c r="G6" s="24"/>
      <c r="H6" s="193"/>
      <c r="I6" s="193"/>
    </row>
    <row r="7" spans="2:9" x14ac:dyDescent="0.25">
      <c r="B7" s="21" t="s">
        <v>2</v>
      </c>
      <c r="C7" s="25">
        <v>1000</v>
      </c>
      <c r="D7" s="29">
        <v>231</v>
      </c>
      <c r="E7" s="30">
        <v>0</v>
      </c>
      <c r="F7" s="23"/>
      <c r="G7" s="24"/>
      <c r="H7" s="194">
        <f>CEILING('Fee Estimator'!$I$61,100)</f>
        <v>0</v>
      </c>
      <c r="I7" s="194">
        <f>IF(H7&lt;C7,(D7+(((H7-C5)/$E$6)*E7)),H7)</f>
        <v>231</v>
      </c>
    </row>
    <row r="8" spans="2:9" x14ac:dyDescent="0.25">
      <c r="B8" s="21" t="s">
        <v>3</v>
      </c>
      <c r="C8" s="25">
        <v>1000</v>
      </c>
      <c r="D8" s="29">
        <v>231</v>
      </c>
      <c r="E8" s="32">
        <v>0</v>
      </c>
      <c r="F8" s="23"/>
      <c r="G8" s="24"/>
      <c r="H8" s="194">
        <f>CEILING('Fee Estimator'!$I$61,100)</f>
        <v>0</v>
      </c>
      <c r="I8" s="194">
        <f>IF(H8=C8,(D8+(((H8-C6)/$E$6)*E8)),H8)</f>
        <v>0</v>
      </c>
    </row>
    <row r="9" spans="2:9" x14ac:dyDescent="0.25">
      <c r="B9" s="21" t="s">
        <v>2</v>
      </c>
      <c r="C9" s="25">
        <v>25000</v>
      </c>
      <c r="D9" s="29">
        <v>231</v>
      </c>
      <c r="E9" s="30">
        <v>1.25</v>
      </c>
      <c r="F9" s="33"/>
      <c r="G9" s="21"/>
      <c r="H9" s="194">
        <f>CEILING('Fee Estimator'!$I$61,100)</f>
        <v>0</v>
      </c>
      <c r="I9" s="194">
        <f>IF(H9&lt;C9,(D9+(((H9-C7)/$E$6)*E9)),H9)</f>
        <v>218.5</v>
      </c>
    </row>
    <row r="10" spans="2:9" x14ac:dyDescent="0.25">
      <c r="B10" s="21" t="s">
        <v>3</v>
      </c>
      <c r="C10" s="25">
        <v>25000</v>
      </c>
      <c r="D10" s="29">
        <v>231</v>
      </c>
      <c r="E10" s="32">
        <v>1.25</v>
      </c>
      <c r="F10" s="34"/>
      <c r="G10" s="24"/>
      <c r="H10" s="194">
        <f>CEILING('Fee Estimator'!$I$61,100)</f>
        <v>0</v>
      </c>
      <c r="I10" s="194">
        <f>IF(H10=C10,(D10+(((H10-C8)/$E$6)*E10)),H10)</f>
        <v>0</v>
      </c>
    </row>
    <row r="11" spans="2:9" x14ac:dyDescent="0.25">
      <c r="B11" s="21" t="s">
        <v>2</v>
      </c>
      <c r="C11" s="25">
        <v>50000</v>
      </c>
      <c r="D11" s="31">
        <v>531</v>
      </c>
      <c r="E11" s="32">
        <v>1.2</v>
      </c>
      <c r="F11" s="34"/>
      <c r="G11" s="24"/>
      <c r="H11" s="194">
        <f>CEILING('Fee Estimator'!$I$61,100)</f>
        <v>0</v>
      </c>
      <c r="I11" s="194">
        <f>IF(H11&lt;C11,(D11+(((H11-C9)/$E$6)*E11)),H11)</f>
        <v>231</v>
      </c>
    </row>
    <row r="12" spans="2:9" x14ac:dyDescent="0.25">
      <c r="B12" s="21" t="s">
        <v>3</v>
      </c>
      <c r="C12" s="25">
        <v>50000</v>
      </c>
      <c r="D12" s="31">
        <v>531</v>
      </c>
      <c r="E12" s="32">
        <v>1.2</v>
      </c>
      <c r="F12" s="34"/>
      <c r="G12" s="24"/>
      <c r="H12" s="194">
        <f>CEILING('Fee Estimator'!$I$61,100)</f>
        <v>0</v>
      </c>
      <c r="I12" s="194">
        <f>IF(H12=C12,(D12+(((H12-C10)/$E$6)*E12)),H12)</f>
        <v>0</v>
      </c>
    </row>
    <row r="13" spans="2:9" x14ac:dyDescent="0.25">
      <c r="B13" s="21" t="s">
        <v>2</v>
      </c>
      <c r="C13" s="25">
        <v>75000</v>
      </c>
      <c r="D13" s="31">
        <v>831</v>
      </c>
      <c r="E13" s="32">
        <v>1.1499999999999999</v>
      </c>
      <c r="F13" s="34"/>
      <c r="G13" s="24"/>
      <c r="H13" s="194">
        <f>CEILING('Fee Estimator'!$I$61,100)</f>
        <v>0</v>
      </c>
      <c r="I13" s="194">
        <f>IF(H13&lt;C13,(D13+(((H13-C11)/$E$6)*E13)),H13)</f>
        <v>256</v>
      </c>
    </row>
    <row r="14" spans="2:9" x14ac:dyDescent="0.25">
      <c r="B14" s="21" t="s">
        <v>3</v>
      </c>
      <c r="C14" s="25">
        <v>75000</v>
      </c>
      <c r="D14" s="31">
        <v>831</v>
      </c>
      <c r="E14" s="32">
        <v>1.1499999999999999</v>
      </c>
      <c r="F14" s="34"/>
      <c r="G14" s="24"/>
      <c r="H14" s="194">
        <f>CEILING('Fee Estimator'!$I$61,100)</f>
        <v>0</v>
      </c>
      <c r="I14" s="194">
        <f>IF(H14=C14,(D14+(((H14-C12)/$E$6)*E14)),H14)</f>
        <v>0</v>
      </c>
    </row>
    <row r="15" spans="2:9" x14ac:dyDescent="0.25">
      <c r="B15" s="21" t="s">
        <v>2</v>
      </c>
      <c r="C15" s="25">
        <v>100000</v>
      </c>
      <c r="D15" s="31">
        <v>1118.5</v>
      </c>
      <c r="E15" s="32">
        <v>1.1000000000000001</v>
      </c>
      <c r="F15" s="34"/>
      <c r="G15" s="24"/>
      <c r="H15" s="194">
        <f>CEILING('Fee Estimator'!$I$61,100)</f>
        <v>0</v>
      </c>
      <c r="I15" s="194">
        <f>IF(H15&lt;C15,(D15+(((H15-C13)/$E$6)*E15)),H15)</f>
        <v>293.49999999999989</v>
      </c>
    </row>
    <row r="16" spans="2:9" x14ac:dyDescent="0.25">
      <c r="B16" s="21" t="s">
        <v>3</v>
      </c>
      <c r="C16" s="25">
        <f>100000</f>
        <v>100000</v>
      </c>
      <c r="D16" s="31">
        <v>1118.5</v>
      </c>
      <c r="E16" s="32">
        <v>1.1000000000000001</v>
      </c>
      <c r="F16" s="34"/>
      <c r="G16" s="24"/>
      <c r="H16" s="194">
        <f>CEILING('Fee Estimator'!$I$61,100)</f>
        <v>0</v>
      </c>
      <c r="I16" s="194">
        <f>IF(H16=C16,(D16+(((H16-C14)/$E$6)*E16)),H16)</f>
        <v>0</v>
      </c>
    </row>
    <row r="17" spans="2:10" x14ac:dyDescent="0.25">
      <c r="B17" s="195" t="s">
        <v>2</v>
      </c>
      <c r="C17" s="196">
        <v>175000</v>
      </c>
      <c r="D17" s="223">
        <v>1393.5</v>
      </c>
      <c r="E17" s="197"/>
      <c r="F17" s="198">
        <v>5.5</v>
      </c>
      <c r="G17" s="195"/>
      <c r="H17" s="199">
        <f>CEILING('Fee Estimator'!$I$61,1000)</f>
        <v>0</v>
      </c>
      <c r="I17" s="199">
        <f>IF(H17&lt;C17,(D17+(((H17-C15)/$F$6)*F17)),H17)</f>
        <v>843.5</v>
      </c>
      <c r="J17" s="224"/>
    </row>
    <row r="18" spans="2:10" x14ac:dyDescent="0.25">
      <c r="B18" s="21" t="s">
        <v>3</v>
      </c>
      <c r="C18" s="25">
        <v>175000</v>
      </c>
      <c r="D18" s="31">
        <v>1393.5</v>
      </c>
      <c r="E18" s="33"/>
      <c r="F18" s="30">
        <v>5.5</v>
      </c>
      <c r="G18" s="21"/>
      <c r="H18" s="194">
        <f>CEILING('Fee Estimator'!$I$61,1000)</f>
        <v>0</v>
      </c>
      <c r="I18" s="194">
        <f>IF(H18=C18,(D18+(((H18-C16)/$F$6)*F18)),H18)</f>
        <v>0</v>
      </c>
      <c r="J18" s="224"/>
    </row>
    <row r="19" spans="2:10" x14ac:dyDescent="0.25">
      <c r="B19" s="21" t="s">
        <v>2</v>
      </c>
      <c r="C19" s="25">
        <v>250000</v>
      </c>
      <c r="D19" s="29">
        <v>1806</v>
      </c>
      <c r="E19" s="33"/>
      <c r="F19" s="30">
        <v>5.5</v>
      </c>
      <c r="G19" s="21"/>
      <c r="H19" s="194">
        <f>CEILING('Fee Estimator'!$I$61,1000)</f>
        <v>0</v>
      </c>
      <c r="I19" s="194">
        <f>IF(H19&lt;C19,(D19+(((H19-C17)/$F$6)*F19)),H19)</f>
        <v>843.5</v>
      </c>
      <c r="J19" s="224"/>
    </row>
    <row r="20" spans="2:10" x14ac:dyDescent="0.25">
      <c r="B20" s="21" t="s">
        <v>3</v>
      </c>
      <c r="C20" s="25">
        <v>250000</v>
      </c>
      <c r="D20" s="29">
        <v>1806</v>
      </c>
      <c r="E20" s="33"/>
      <c r="F20" s="30">
        <v>5.5</v>
      </c>
      <c r="G20" s="21"/>
      <c r="H20" s="194">
        <f>CEILING('Fee Estimator'!$I$61,1000)</f>
        <v>0</v>
      </c>
      <c r="I20" s="194">
        <f>IF(H20=C20,(D20+(((H20-C18)/$F$6)*F20)),H20)</f>
        <v>0</v>
      </c>
      <c r="J20" s="224"/>
    </row>
    <row r="21" spans="2:10" x14ac:dyDescent="0.25">
      <c r="B21" s="21" t="s">
        <v>2</v>
      </c>
      <c r="C21" s="25">
        <v>500000</v>
      </c>
      <c r="D21" s="29">
        <v>2218.5</v>
      </c>
      <c r="E21" s="33"/>
      <c r="F21" s="30">
        <v>5.25</v>
      </c>
      <c r="G21" s="21"/>
      <c r="H21" s="194">
        <f>CEILING('Fee Estimator'!$I$61,1000)</f>
        <v>0</v>
      </c>
      <c r="I21" s="194">
        <f>IF(H21&lt;C21,(D21+(((H21-C19)/$F$6)*F21)),H21)</f>
        <v>906</v>
      </c>
      <c r="J21" s="224"/>
    </row>
    <row r="22" spans="2:10" x14ac:dyDescent="0.25">
      <c r="B22" s="21" t="s">
        <v>3</v>
      </c>
      <c r="C22" s="25">
        <v>500000</v>
      </c>
      <c r="D22" s="29">
        <v>2218.5</v>
      </c>
      <c r="E22" s="33"/>
      <c r="F22" s="30">
        <v>5.25</v>
      </c>
      <c r="G22" s="21"/>
      <c r="H22" s="194">
        <f>CEILING('Fee Estimator'!$I$61,1000)</f>
        <v>0</v>
      </c>
      <c r="I22" s="194">
        <f>IF(H22=C22,(D22+(((H22-C20)/$F$6)*F22)),H22)</f>
        <v>0</v>
      </c>
      <c r="J22" s="224"/>
    </row>
    <row r="23" spans="2:10" x14ac:dyDescent="0.25">
      <c r="B23" s="21" t="s">
        <v>2</v>
      </c>
      <c r="C23" s="25">
        <v>750000</v>
      </c>
      <c r="D23" s="29">
        <v>3531</v>
      </c>
      <c r="E23" s="33"/>
      <c r="F23" s="30">
        <v>5</v>
      </c>
      <c r="G23" s="21"/>
      <c r="H23" s="194">
        <f>CEILING('Fee Estimator'!$I$61,1000)</f>
        <v>0</v>
      </c>
      <c r="I23" s="194">
        <f>IF(H23&lt;C23,(D23+(((H23-C21)/$F$6)*F23)),H23)</f>
        <v>1031</v>
      </c>
      <c r="J23" s="224"/>
    </row>
    <row r="24" spans="2:10" x14ac:dyDescent="0.25">
      <c r="B24" s="21" t="s">
        <v>3</v>
      </c>
      <c r="C24" s="25">
        <v>750000</v>
      </c>
      <c r="D24" s="29">
        <v>3531</v>
      </c>
      <c r="E24" s="33"/>
      <c r="F24" s="30">
        <v>5</v>
      </c>
      <c r="G24" s="21"/>
      <c r="H24" s="194">
        <f>CEILING('Fee Estimator'!$I$61,1000)</f>
        <v>0</v>
      </c>
      <c r="I24" s="194">
        <f>IF(H24=C24,(D24+(((H24-C22)/$F$6)*F24)),H24)</f>
        <v>0</v>
      </c>
      <c r="J24" s="224"/>
    </row>
    <row r="25" spans="2:10" x14ac:dyDescent="0.25">
      <c r="B25" s="21" t="s">
        <v>2</v>
      </c>
      <c r="C25" s="25">
        <v>1000000</v>
      </c>
      <c r="D25" s="29">
        <v>4781</v>
      </c>
      <c r="E25" s="33"/>
      <c r="F25" s="30">
        <v>5</v>
      </c>
      <c r="G25" s="21"/>
      <c r="H25" s="194">
        <f>CEILING('Fee Estimator'!$I$61,1000)</f>
        <v>0</v>
      </c>
      <c r="I25" s="194">
        <f>IF(H25&lt;C25,(D25+(((H25-C23)/$F$6)*F25)),H25)</f>
        <v>1031</v>
      </c>
      <c r="J25" s="224"/>
    </row>
    <row r="26" spans="2:10" x14ac:dyDescent="0.25">
      <c r="B26" s="21" t="s">
        <v>3</v>
      </c>
      <c r="C26" s="25">
        <v>1000000</v>
      </c>
      <c r="D26" s="29">
        <v>4781</v>
      </c>
      <c r="E26" s="33"/>
      <c r="F26" s="30">
        <v>5</v>
      </c>
      <c r="G26" s="21"/>
      <c r="H26" s="194">
        <f>CEILING('Fee Estimator'!$I$61,1000)</f>
        <v>0</v>
      </c>
      <c r="I26" s="194">
        <f>IF(H26=C26,(D26+(((H26-C24)/$F$6)*F26)),H26)</f>
        <v>0</v>
      </c>
      <c r="J26" s="224"/>
    </row>
    <row r="27" spans="2:10" x14ac:dyDescent="0.25">
      <c r="B27" s="21" t="s">
        <v>2</v>
      </c>
      <c r="C27" s="25">
        <v>1500000</v>
      </c>
      <c r="D27" s="29">
        <v>6031</v>
      </c>
      <c r="E27" s="33"/>
      <c r="F27" s="30">
        <v>4.75</v>
      </c>
      <c r="G27" s="21"/>
      <c r="H27" s="194">
        <f>CEILING('Fee Estimator'!$I$61,1000)</f>
        <v>0</v>
      </c>
      <c r="I27" s="194">
        <f>IF(H27&lt;C27,(D27+(((H27-C25)/$F$6)*F27)),H27)</f>
        <v>1281</v>
      </c>
      <c r="J27" s="224"/>
    </row>
    <row r="28" spans="2:10" x14ac:dyDescent="0.25">
      <c r="B28" s="21" t="s">
        <v>3</v>
      </c>
      <c r="C28" s="25">
        <v>1500000</v>
      </c>
      <c r="D28" s="29">
        <v>6031</v>
      </c>
      <c r="E28" s="33"/>
      <c r="F28" s="30">
        <v>4.75</v>
      </c>
      <c r="G28" s="21"/>
      <c r="H28" s="194">
        <f>CEILING('Fee Estimator'!$I$61,1000)</f>
        <v>0</v>
      </c>
      <c r="I28" s="194">
        <f>IF(H28=C28,(D28+(((H28-C26)/$F$6)*F28)),H28)</f>
        <v>0</v>
      </c>
      <c r="J28" s="224"/>
    </row>
    <row r="29" spans="2:10" x14ac:dyDescent="0.25">
      <c r="B29" s="21" t="s">
        <v>2</v>
      </c>
      <c r="C29" s="25">
        <v>2000000</v>
      </c>
      <c r="D29" s="29">
        <v>8406</v>
      </c>
      <c r="E29" s="33"/>
      <c r="F29" s="30">
        <v>4.75</v>
      </c>
      <c r="G29" s="21"/>
      <c r="H29" s="194">
        <f>CEILING('Fee Estimator'!$I$61,1000)</f>
        <v>0</v>
      </c>
      <c r="I29" s="194">
        <f>IF(H29&lt;C29,(D29+(((H29-C27)/$F$6)*F29)),H29)</f>
        <v>1281</v>
      </c>
      <c r="J29" s="224"/>
    </row>
    <row r="30" spans="2:10" x14ac:dyDescent="0.25">
      <c r="B30" s="21" t="s">
        <v>3</v>
      </c>
      <c r="C30" s="25">
        <v>2000000</v>
      </c>
      <c r="D30" s="29">
        <v>8406</v>
      </c>
      <c r="E30" s="33"/>
      <c r="F30" s="30">
        <v>4.75</v>
      </c>
      <c r="G30" s="21"/>
      <c r="H30" s="194">
        <f>CEILING('Fee Estimator'!$I$61,1000)</f>
        <v>0</v>
      </c>
      <c r="I30" s="194">
        <f>IF(H30=C30,(D30+(((H30-C28)/$F$6)*F30)),H30)</f>
        <v>0</v>
      </c>
      <c r="J30" s="224"/>
    </row>
    <row r="31" spans="2:10" x14ac:dyDescent="0.25">
      <c r="B31" s="21" t="s">
        <v>2</v>
      </c>
      <c r="C31" s="25">
        <v>2500000</v>
      </c>
      <c r="D31" s="29">
        <v>10781</v>
      </c>
      <c r="E31" s="33"/>
      <c r="F31" s="30">
        <v>4.25</v>
      </c>
      <c r="G31" s="21"/>
      <c r="H31" s="194">
        <f>CEILING('Fee Estimator'!$I$61,1000)</f>
        <v>0</v>
      </c>
      <c r="I31" s="194">
        <f>IF(H31&lt;C31,(D31+(((H31-C29)/$F$6)*F31)),H31)</f>
        <v>2281</v>
      </c>
      <c r="J31" s="224"/>
    </row>
    <row r="32" spans="2:10" x14ac:dyDescent="0.25">
      <c r="B32" s="21" t="s">
        <v>3</v>
      </c>
      <c r="C32" s="25">
        <v>2500000</v>
      </c>
      <c r="D32" s="29">
        <v>10781</v>
      </c>
      <c r="E32" s="33"/>
      <c r="F32" s="30">
        <v>4.25</v>
      </c>
      <c r="G32" s="21"/>
      <c r="H32" s="194">
        <f>CEILING('Fee Estimator'!$I$61,1000)</f>
        <v>0</v>
      </c>
      <c r="I32" s="194">
        <f>IF(H32=C32,(D32+(((H32-C30)/$F$6)*F32)),H32)</f>
        <v>0</v>
      </c>
      <c r="J32" s="224"/>
    </row>
    <row r="33" spans="2:10" x14ac:dyDescent="0.25">
      <c r="B33" s="21" t="s">
        <v>2</v>
      </c>
      <c r="C33" s="25">
        <v>3000000</v>
      </c>
      <c r="D33" s="29">
        <v>12906</v>
      </c>
      <c r="E33" s="33"/>
      <c r="F33" s="30">
        <v>4.25</v>
      </c>
      <c r="G33" s="21"/>
      <c r="H33" s="194">
        <f>CEILING('Fee Estimator'!$I$61,1000)</f>
        <v>0</v>
      </c>
      <c r="I33" s="194">
        <f>IF(H33&lt;C33,(D33+(((H33-C31)/$F$6)*F33)),H33)</f>
        <v>2281</v>
      </c>
      <c r="J33" s="224"/>
    </row>
    <row r="34" spans="2:10" x14ac:dyDescent="0.25">
      <c r="B34" s="21" t="s">
        <v>3</v>
      </c>
      <c r="C34" s="25">
        <v>3000000</v>
      </c>
      <c r="D34" s="29">
        <v>12906</v>
      </c>
      <c r="E34" s="33"/>
      <c r="F34" s="30">
        <v>4.25</v>
      </c>
      <c r="G34" s="21"/>
      <c r="H34" s="194">
        <f>CEILING('Fee Estimator'!$I$61,1000)</f>
        <v>0</v>
      </c>
      <c r="I34" s="194">
        <f>IF(H34=C34,(D34+(((H34-C32)/$F$6)*F34)),H34)</f>
        <v>0</v>
      </c>
      <c r="J34" s="224"/>
    </row>
    <row r="35" spans="2:10" x14ac:dyDescent="0.25">
      <c r="B35" s="21" t="s">
        <v>2</v>
      </c>
      <c r="C35" s="25">
        <v>3500000</v>
      </c>
      <c r="D35" s="29">
        <v>15031</v>
      </c>
      <c r="E35" s="33"/>
      <c r="F35" s="30">
        <v>4</v>
      </c>
      <c r="G35" s="21"/>
      <c r="H35" s="194">
        <f>CEILING('Fee Estimator'!$I$61,1000)</f>
        <v>0</v>
      </c>
      <c r="I35" s="194">
        <f>IF(H35&lt;C35,(D35+(((H35-C33)/$F$6)*F35)),H35)</f>
        <v>3031</v>
      </c>
      <c r="J35" s="224"/>
    </row>
    <row r="36" spans="2:10" x14ac:dyDescent="0.25">
      <c r="B36" s="21" t="s">
        <v>3</v>
      </c>
      <c r="C36" s="25">
        <v>3500000</v>
      </c>
      <c r="D36" s="29">
        <v>15031</v>
      </c>
      <c r="E36" s="33"/>
      <c r="F36" s="30">
        <v>4</v>
      </c>
      <c r="G36" s="21"/>
      <c r="H36" s="194">
        <f>CEILING('Fee Estimator'!$I$61,1000)</f>
        <v>0</v>
      </c>
      <c r="I36" s="194">
        <f>IF(H36=C36,(D36+(((H36-C34)/$F$6)*F36)),H36)</f>
        <v>0</v>
      </c>
      <c r="J36" s="224"/>
    </row>
    <row r="37" spans="2:10" x14ac:dyDescent="0.25">
      <c r="B37" s="21" t="s">
        <v>2</v>
      </c>
      <c r="C37" s="25">
        <v>4000000</v>
      </c>
      <c r="D37" s="29">
        <v>17031</v>
      </c>
      <c r="E37" s="33"/>
      <c r="F37" s="30">
        <v>4</v>
      </c>
      <c r="G37" s="21"/>
      <c r="H37" s="194">
        <f>CEILING('Fee Estimator'!$I$61,1000)</f>
        <v>0</v>
      </c>
      <c r="I37" s="194">
        <f>IF(H37&lt;C37,(D37+(((H37-C35)/$F$6)*F37)),H37)</f>
        <v>3031</v>
      </c>
      <c r="J37" s="224"/>
    </row>
    <row r="38" spans="2:10" x14ac:dyDescent="0.25">
      <c r="B38" s="21" t="s">
        <v>3</v>
      </c>
      <c r="C38" s="25">
        <v>4000000</v>
      </c>
      <c r="D38" s="29">
        <v>17031</v>
      </c>
      <c r="E38" s="33"/>
      <c r="F38" s="30">
        <v>4</v>
      </c>
      <c r="G38" s="21"/>
      <c r="H38" s="194">
        <f>CEILING('Fee Estimator'!$I$61,1000)</f>
        <v>0</v>
      </c>
      <c r="I38" s="194">
        <f>IF(H38=C38,(D38+(((H38-C36)/$F$6)*F38)),H38)</f>
        <v>0</v>
      </c>
      <c r="J38" s="224"/>
    </row>
    <row r="39" spans="2:10" x14ac:dyDescent="0.25">
      <c r="B39" s="21" t="s">
        <v>2</v>
      </c>
      <c r="C39" s="25">
        <v>4500000</v>
      </c>
      <c r="D39" s="29">
        <v>19031</v>
      </c>
      <c r="E39" s="33"/>
      <c r="F39" s="30">
        <v>3.5</v>
      </c>
      <c r="G39" s="21"/>
      <c r="H39" s="194">
        <f>CEILING('Fee Estimator'!$I$61,1000)</f>
        <v>0</v>
      </c>
      <c r="I39" s="194">
        <f>IF(H39&lt;C39,(D39+(((H39-C37)/$F$6)*F39)),H39)</f>
        <v>5031</v>
      </c>
      <c r="J39" s="224"/>
    </row>
    <row r="40" spans="2:10" x14ac:dyDescent="0.25">
      <c r="B40" s="21" t="s">
        <v>3</v>
      </c>
      <c r="C40" s="25">
        <v>4500000</v>
      </c>
      <c r="D40" s="29">
        <v>19031</v>
      </c>
      <c r="E40" s="33"/>
      <c r="F40" s="30">
        <v>3.5</v>
      </c>
      <c r="G40" s="21"/>
      <c r="H40" s="194">
        <f>CEILING('Fee Estimator'!$I$61,1000)</f>
        <v>0</v>
      </c>
      <c r="I40" s="194">
        <f>IF(H40=C40,(D40+(((H40-C38)/$F$6)*F40)),H40)</f>
        <v>0</v>
      </c>
      <c r="J40" s="224"/>
    </row>
    <row r="41" spans="2:10" x14ac:dyDescent="0.25">
      <c r="B41" s="21" t="s">
        <v>2</v>
      </c>
      <c r="C41" s="25">
        <v>5000000</v>
      </c>
      <c r="D41" s="29">
        <v>20781</v>
      </c>
      <c r="E41" s="33"/>
      <c r="F41" s="30">
        <v>3.5</v>
      </c>
      <c r="G41" s="21"/>
      <c r="H41" s="194">
        <f>CEILING('Fee Estimator'!$I$61,1000)</f>
        <v>0</v>
      </c>
      <c r="I41" s="194">
        <f>IF(H41&lt;C41,(D41+(((H41-C39)/$F$6)*F41)),H41)</f>
        <v>5031</v>
      </c>
      <c r="J41" s="224"/>
    </row>
    <row r="42" spans="2:10" x14ac:dyDescent="0.25">
      <c r="B42" s="21" t="s">
        <v>3</v>
      </c>
      <c r="C42" s="25">
        <v>5000000</v>
      </c>
      <c r="D42" s="29">
        <v>20781</v>
      </c>
      <c r="E42" s="33"/>
      <c r="F42" s="30">
        <v>3.5</v>
      </c>
      <c r="G42" s="21"/>
      <c r="H42" s="194">
        <f>CEILING('Fee Estimator'!$I$61,1000)</f>
        <v>0</v>
      </c>
      <c r="I42" s="194">
        <f>IF(H42=C42,(D42+(((H42-C40)/$F$6)*F42)),H42)</f>
        <v>0</v>
      </c>
      <c r="J42" s="224"/>
    </row>
    <row r="43" spans="2:10" x14ac:dyDescent="0.25">
      <c r="B43" s="21" t="s">
        <v>2</v>
      </c>
      <c r="C43" s="25">
        <v>10000000</v>
      </c>
      <c r="D43" s="29">
        <v>22531</v>
      </c>
      <c r="E43" s="33"/>
      <c r="F43" s="30">
        <v>3</v>
      </c>
      <c r="G43" s="21"/>
      <c r="H43" s="194">
        <f>CEILING('Fee Estimator'!$I$61,1000)</f>
        <v>0</v>
      </c>
      <c r="I43" s="194">
        <f>IF(H43&lt;C43,(D43+(((H43-C41)/$F$6)*F43)),H43)</f>
        <v>7531</v>
      </c>
      <c r="J43" s="224"/>
    </row>
    <row r="44" spans="2:10" x14ac:dyDescent="0.25">
      <c r="B44" s="21" t="s">
        <v>3</v>
      </c>
      <c r="C44" s="25">
        <v>10000000</v>
      </c>
      <c r="D44" s="29">
        <v>22531</v>
      </c>
      <c r="E44" s="33"/>
      <c r="F44" s="30">
        <v>3</v>
      </c>
      <c r="G44" s="21"/>
      <c r="H44" s="194">
        <f>CEILING('Fee Estimator'!$I$61,1000)</f>
        <v>0</v>
      </c>
      <c r="I44" s="194">
        <f>IF(H44=C44,(D44+(((H44-C42)/$F$6)*F44)),H44)</f>
        <v>0</v>
      </c>
      <c r="J44" s="224"/>
    </row>
    <row r="45" spans="2:10" x14ac:dyDescent="0.25">
      <c r="B45" s="21" t="s">
        <v>2</v>
      </c>
      <c r="C45" s="25">
        <v>25000000</v>
      </c>
      <c r="D45" s="29">
        <v>37531</v>
      </c>
      <c r="E45" s="33"/>
      <c r="F45" s="30">
        <v>3</v>
      </c>
      <c r="G45" s="21"/>
      <c r="H45" s="194">
        <f>CEILING('Fee Estimator'!$I$61,1000)</f>
        <v>0</v>
      </c>
      <c r="I45" s="194">
        <f>IF(H45&lt;C45,(D45+(((H45-C43)/$F$6)*F45)),H45)</f>
        <v>7531</v>
      </c>
      <c r="J45" s="224"/>
    </row>
    <row r="46" spans="2:10" x14ac:dyDescent="0.25">
      <c r="B46" s="21" t="s">
        <v>3</v>
      </c>
      <c r="C46" s="25">
        <v>25000000</v>
      </c>
      <c r="D46" s="29">
        <v>37531</v>
      </c>
      <c r="E46" s="33"/>
      <c r="F46" s="30">
        <v>3</v>
      </c>
      <c r="G46" s="21"/>
      <c r="H46" s="194">
        <f>CEILING('Fee Estimator'!$I$61,1000)</f>
        <v>0</v>
      </c>
      <c r="I46" s="194">
        <f>IF(H46=C46,(D46+(((H46-C44)/$F$6)*F46)),H46)</f>
        <v>0</v>
      </c>
      <c r="J46" s="224"/>
    </row>
    <row r="47" spans="2:10" x14ac:dyDescent="0.25">
      <c r="B47" s="21" t="s">
        <v>2</v>
      </c>
      <c r="C47" s="25">
        <v>50000000</v>
      </c>
      <c r="D47" s="29">
        <v>82531</v>
      </c>
      <c r="E47" s="33"/>
      <c r="F47" s="30">
        <v>3</v>
      </c>
      <c r="G47" s="21"/>
      <c r="H47" s="194">
        <f>CEILING('Fee Estimator'!$I$61,1000)</f>
        <v>0</v>
      </c>
      <c r="I47" s="194">
        <f>IF(H47&lt;C47,(D47+(((H47-C45)/$F$6)*F47)),H47)</f>
        <v>7531</v>
      </c>
      <c r="J47" s="224"/>
    </row>
    <row r="48" spans="2:10" x14ac:dyDescent="0.25">
      <c r="B48" s="21" t="s">
        <v>3</v>
      </c>
      <c r="C48" s="25">
        <v>50000000</v>
      </c>
      <c r="D48" s="29">
        <v>82531</v>
      </c>
      <c r="E48" s="33"/>
      <c r="F48" s="30">
        <v>3</v>
      </c>
      <c r="G48" s="21"/>
      <c r="H48" s="194">
        <f>CEILING('Fee Estimator'!$I$61,1000)</f>
        <v>0</v>
      </c>
      <c r="I48" s="194">
        <f>IF(H48=C48,(D48+(((H48-C46)/$F$6)*F48)),H48)</f>
        <v>0</v>
      </c>
      <c r="J48" s="224"/>
    </row>
    <row r="49" spans="2:10" x14ac:dyDescent="0.25">
      <c r="B49" s="21" t="s">
        <v>2</v>
      </c>
      <c r="C49" s="25">
        <v>75000000</v>
      </c>
      <c r="D49" s="29">
        <v>157531</v>
      </c>
      <c r="E49" s="33"/>
      <c r="F49" s="30">
        <v>2.5</v>
      </c>
      <c r="G49" s="21"/>
      <c r="H49" s="194">
        <f>CEILING('Fee Estimator'!$I$61,1000)</f>
        <v>0</v>
      </c>
      <c r="I49" s="194">
        <f>IF(H49&lt;C49,(D49+(((H49-C47)/$F$6)*F49)),H49)</f>
        <v>32531</v>
      </c>
      <c r="J49" s="224"/>
    </row>
    <row r="50" spans="2:10" x14ac:dyDescent="0.25">
      <c r="B50" s="21" t="s">
        <v>3</v>
      </c>
      <c r="C50" s="25">
        <v>75000000</v>
      </c>
      <c r="D50" s="29">
        <v>157531</v>
      </c>
      <c r="E50" s="33"/>
      <c r="F50" s="30">
        <v>2.5</v>
      </c>
      <c r="G50" s="21"/>
      <c r="H50" s="194">
        <f>CEILING('Fee Estimator'!$I$61,1000)</f>
        <v>0</v>
      </c>
      <c r="I50" s="194">
        <f>IF(H50=C50,(D50+(((H50-C48)/$F$6)*F50)),H50)</f>
        <v>0</v>
      </c>
      <c r="J50" s="224"/>
    </row>
    <row r="51" spans="2:10" x14ac:dyDescent="0.25">
      <c r="B51" s="21" t="s">
        <v>2</v>
      </c>
      <c r="C51" s="25">
        <v>100000000</v>
      </c>
      <c r="D51" s="29">
        <v>220031</v>
      </c>
      <c r="E51" s="33"/>
      <c r="F51" s="30">
        <v>2.5</v>
      </c>
      <c r="G51" s="21"/>
      <c r="H51" s="194">
        <f>CEILING('Fee Estimator'!$I$61,1000)</f>
        <v>0</v>
      </c>
      <c r="I51" s="194">
        <f>IF(H51&lt;C51,(D51+(((H51-C49)/$F$6)*F51)),H51)</f>
        <v>32531</v>
      </c>
      <c r="J51" s="224"/>
    </row>
    <row r="52" spans="2:10" x14ac:dyDescent="0.25">
      <c r="B52" s="21" t="s">
        <v>3</v>
      </c>
      <c r="C52" s="25">
        <v>100000000</v>
      </c>
      <c r="D52" s="29">
        <v>220031</v>
      </c>
      <c r="E52" s="33"/>
      <c r="F52" s="30">
        <v>2.5</v>
      </c>
      <c r="G52" s="21"/>
      <c r="H52" s="194">
        <f>CEILING('Fee Estimator'!$I$61,1000)</f>
        <v>0</v>
      </c>
      <c r="I52" s="194">
        <f>IF(H52=C52,(D52+(((H52-C50)/$F$6)*F52)),H52)</f>
        <v>0</v>
      </c>
      <c r="J52" s="224"/>
    </row>
    <row r="53" spans="2:10" x14ac:dyDescent="0.25">
      <c r="B53" s="21" t="s">
        <v>2</v>
      </c>
      <c r="C53" s="25">
        <v>150000000</v>
      </c>
      <c r="D53" s="29">
        <v>282531</v>
      </c>
      <c r="E53" s="33"/>
      <c r="F53" s="30">
        <v>2</v>
      </c>
      <c r="G53" s="21"/>
      <c r="H53" s="194">
        <f>CEILING('Fee Estimator'!$I$61,1000)</f>
        <v>0</v>
      </c>
      <c r="I53" s="194">
        <f>IF(H53&lt;C53,(D53+(((H53-C51)/$F$6)*F53)),H53)</f>
        <v>82531</v>
      </c>
      <c r="J53" s="224"/>
    </row>
    <row r="54" spans="2:10" x14ac:dyDescent="0.25">
      <c r="B54" s="21" t="s">
        <v>3</v>
      </c>
      <c r="C54" s="25">
        <v>150000000</v>
      </c>
      <c r="D54" s="29">
        <v>282531</v>
      </c>
      <c r="E54" s="33"/>
      <c r="F54" s="30">
        <v>2</v>
      </c>
      <c r="G54" s="21"/>
      <c r="H54" s="194">
        <f>CEILING('Fee Estimator'!$I$61,1000)</f>
        <v>0</v>
      </c>
      <c r="I54" s="194">
        <f>IF(H54=C54,(D54+(((H54-C52)/$F$6)*F54)),H54)</f>
        <v>0</v>
      </c>
      <c r="J54" s="224"/>
    </row>
    <row r="55" spans="2:10" x14ac:dyDescent="0.25">
      <c r="B55" s="21" t="s">
        <v>2</v>
      </c>
      <c r="C55" s="25">
        <v>200000000</v>
      </c>
      <c r="D55" s="29">
        <v>382531</v>
      </c>
      <c r="E55" s="33"/>
      <c r="F55" s="30">
        <v>2</v>
      </c>
      <c r="G55" s="21"/>
      <c r="H55" s="194">
        <f>CEILING('Fee Estimator'!$I$61,1000)</f>
        <v>0</v>
      </c>
      <c r="I55" s="194">
        <f>IF(H55&lt;C55,(D55+(((H55-C53)/$F$6)*F55)),H55)</f>
        <v>82531</v>
      </c>
      <c r="J55" s="224"/>
    </row>
    <row r="56" spans="2:10" x14ac:dyDescent="0.25">
      <c r="B56" s="21" t="s">
        <v>3</v>
      </c>
      <c r="C56" s="25">
        <v>200000000</v>
      </c>
      <c r="D56" s="29">
        <v>382531</v>
      </c>
      <c r="E56" s="33"/>
      <c r="F56" s="30">
        <v>2</v>
      </c>
      <c r="G56" s="21"/>
      <c r="H56" s="194">
        <f>CEILING('Fee Estimator'!$I$61,1000)</f>
        <v>0</v>
      </c>
      <c r="I56" s="194">
        <f>IF(H56=C56,(D56+(((H56-C54)/$F$6)*F56)),H56)</f>
        <v>0</v>
      </c>
      <c r="J56" s="224"/>
    </row>
    <row r="57" spans="2:10" x14ac:dyDescent="0.25">
      <c r="B57" s="21" t="s">
        <v>4</v>
      </c>
      <c r="C57" s="25">
        <v>200000000</v>
      </c>
      <c r="D57" s="29">
        <v>482531</v>
      </c>
      <c r="E57" s="33"/>
      <c r="F57" s="30">
        <v>1.75</v>
      </c>
      <c r="G57" s="21"/>
      <c r="H57" s="194">
        <f>CEILING('Fee Estimator'!$I$61,1000)</f>
        <v>0</v>
      </c>
      <c r="I57" s="194">
        <f>IF(H57&gt;C57,(D57+(((H57-C55)/$F$6)*F57)),H57)</f>
        <v>0</v>
      </c>
      <c r="J57" s="224"/>
    </row>
  </sheetData>
  <sheetProtection selectLockedCells="1" selectUnlockedCells="1"/>
  <mergeCells count="1">
    <mergeCell ref="C1:H1"/>
  </mergeCells>
  <phoneticPr fontId="3"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C1:S37"/>
  <sheetViews>
    <sheetView topLeftCell="D1" workbookViewId="0">
      <selection activeCell="G9" sqref="G9"/>
    </sheetView>
  </sheetViews>
  <sheetFormatPr defaultRowHeight="12.5" x14ac:dyDescent="0.25"/>
  <cols>
    <col min="4" max="4" width="28.7265625" customWidth="1"/>
    <col min="5" max="5" width="19.54296875" customWidth="1"/>
    <col min="10" max="10" width="9.453125" bestFit="1" customWidth="1"/>
  </cols>
  <sheetData>
    <row r="1" spans="3:19" ht="27" customHeight="1" x14ac:dyDescent="0.4">
      <c r="C1" s="3">
        <v>2021</v>
      </c>
      <c r="D1" s="3" t="s">
        <v>107</v>
      </c>
      <c r="F1" s="309" t="s">
        <v>166</v>
      </c>
      <c r="G1" s="310"/>
      <c r="H1" s="310"/>
      <c r="I1" s="310"/>
      <c r="J1" s="310"/>
      <c r="K1" s="310"/>
      <c r="L1" s="310"/>
      <c r="M1" s="310"/>
      <c r="N1" s="310"/>
    </row>
    <row r="2" spans="3:19" ht="13" thickBot="1" x14ac:dyDescent="0.3"/>
    <row r="3" spans="3:19" ht="13" thickBot="1" x14ac:dyDescent="0.3">
      <c r="C3" s="4"/>
      <c r="D3" s="5"/>
      <c r="E3" s="5"/>
      <c r="F3" s="6" t="s">
        <v>8</v>
      </c>
      <c r="G3" s="7" t="s">
        <v>9</v>
      </c>
      <c r="H3" s="7" t="s">
        <v>10</v>
      </c>
      <c r="I3" s="7" t="s">
        <v>11</v>
      </c>
      <c r="J3" s="7" t="s">
        <v>13</v>
      </c>
      <c r="K3" s="7" t="s">
        <v>14</v>
      </c>
      <c r="L3" s="7" t="s">
        <v>15</v>
      </c>
      <c r="M3" s="7" t="s">
        <v>16</v>
      </c>
      <c r="N3" s="8" t="s">
        <v>17</v>
      </c>
    </row>
    <row r="4" spans="3:19" ht="13" thickBot="1" x14ac:dyDescent="0.3">
      <c r="C4" s="15">
        <v>0</v>
      </c>
      <c r="D4" s="16"/>
      <c r="E4" s="16"/>
      <c r="F4" s="17">
        <v>1</v>
      </c>
      <c r="G4" s="18">
        <v>2</v>
      </c>
      <c r="H4" s="18">
        <v>3</v>
      </c>
      <c r="I4" s="18">
        <v>4</v>
      </c>
      <c r="J4" s="18">
        <v>5</v>
      </c>
      <c r="K4" s="18">
        <v>6</v>
      </c>
      <c r="L4" s="18">
        <v>7</v>
      </c>
      <c r="M4" s="18">
        <v>8</v>
      </c>
      <c r="N4" s="19">
        <v>9</v>
      </c>
    </row>
    <row r="5" spans="3:19" ht="13.5" thickBot="1" x14ac:dyDescent="0.35">
      <c r="C5" s="9"/>
      <c r="D5" s="10" t="s">
        <v>25</v>
      </c>
      <c r="E5" s="11" t="s">
        <v>24</v>
      </c>
      <c r="F5" s="192" t="s">
        <v>8</v>
      </c>
      <c r="G5" s="12" t="s">
        <v>9</v>
      </c>
      <c r="H5" s="12" t="s">
        <v>10</v>
      </c>
      <c r="I5" s="12" t="s">
        <v>11</v>
      </c>
      <c r="J5" s="12" t="s">
        <v>13</v>
      </c>
      <c r="K5" s="12" t="s">
        <v>14</v>
      </c>
      <c r="L5" s="12" t="s">
        <v>15</v>
      </c>
      <c r="M5" s="12" t="s">
        <v>16</v>
      </c>
      <c r="N5" s="13" t="s">
        <v>17</v>
      </c>
      <c r="R5" s="202" t="s">
        <v>146</v>
      </c>
      <c r="S5">
        <v>6.5</v>
      </c>
    </row>
    <row r="6" spans="3:19" ht="13.5" thickBot="1" x14ac:dyDescent="0.35">
      <c r="C6" s="4" t="s">
        <v>26</v>
      </c>
      <c r="D6" s="14" t="s">
        <v>27</v>
      </c>
      <c r="E6" s="14" t="s">
        <v>28</v>
      </c>
      <c r="F6" s="200">
        <v>287.94941999999998</v>
      </c>
      <c r="G6" s="200">
        <v>278.20087000000001</v>
      </c>
      <c r="H6" s="200">
        <v>270.97679999999997</v>
      </c>
      <c r="I6" s="200">
        <v>260.01108999999997</v>
      </c>
      <c r="J6" s="200">
        <v>244.16546999999991</v>
      </c>
      <c r="K6" s="200">
        <v>237.11044999999993</v>
      </c>
      <c r="L6" s="200">
        <v>251.66001999999997</v>
      </c>
      <c r="M6" s="200">
        <v>227.06887999999998</v>
      </c>
      <c r="N6" s="200">
        <v>218.87558999999993</v>
      </c>
      <c r="R6" s="202" t="s">
        <v>147</v>
      </c>
      <c r="S6">
        <v>25</v>
      </c>
    </row>
    <row r="7" spans="3:19" ht="13.5" thickBot="1" x14ac:dyDescent="0.35">
      <c r="C7" s="4" t="s">
        <v>94</v>
      </c>
      <c r="D7" s="14" t="s">
        <v>30</v>
      </c>
      <c r="E7" s="14" t="s">
        <v>28</v>
      </c>
      <c r="F7" s="200">
        <v>263.83161999999999</v>
      </c>
      <c r="G7" s="200">
        <v>254.08306999999994</v>
      </c>
      <c r="H7" s="200">
        <v>246.85899999999998</v>
      </c>
      <c r="I7" s="200">
        <v>235.89328999999998</v>
      </c>
      <c r="J7" s="200">
        <v>220.04766999999995</v>
      </c>
      <c r="K7" s="200">
        <v>212.99264999999997</v>
      </c>
      <c r="L7" s="200">
        <v>227.54222000000001</v>
      </c>
      <c r="M7" s="200">
        <v>202.95107999999993</v>
      </c>
      <c r="N7" s="200">
        <v>194.75778999999997</v>
      </c>
      <c r="R7" s="202" t="s">
        <v>148</v>
      </c>
      <c r="S7">
        <v>31.5</v>
      </c>
    </row>
    <row r="8" spans="3:19" ht="13.5" thickBot="1" x14ac:dyDescent="0.35">
      <c r="C8" s="4" t="s">
        <v>31</v>
      </c>
      <c r="D8" s="14" t="s">
        <v>32</v>
      </c>
      <c r="E8" s="14"/>
      <c r="F8" s="200">
        <v>225.54846499999996</v>
      </c>
      <c r="G8" s="200">
        <v>218.83131499999996</v>
      </c>
      <c r="H8" s="200">
        <v>213.457595</v>
      </c>
      <c r="I8" s="200">
        <v>204.7253</v>
      </c>
      <c r="J8" s="200">
        <v>192.98736500000001</v>
      </c>
      <c r="K8" s="200">
        <v>187.68195499999996</v>
      </c>
      <c r="L8" s="200">
        <v>197.45028499999998</v>
      </c>
      <c r="M8" s="200">
        <v>174.66889999999998</v>
      </c>
      <c r="N8" s="200">
        <v>168.71454499999996</v>
      </c>
    </row>
    <row r="9" spans="3:19" ht="24" thickBot="1" x14ac:dyDescent="0.35">
      <c r="C9" s="4" t="s">
        <v>96</v>
      </c>
      <c r="D9" s="14" t="s">
        <v>33</v>
      </c>
      <c r="E9" s="14" t="s">
        <v>34</v>
      </c>
      <c r="F9" s="200">
        <v>224.39846499999999</v>
      </c>
      <c r="G9" s="200">
        <v>217.68131499999996</v>
      </c>
      <c r="H9" s="200">
        <v>211.15759500000001</v>
      </c>
      <c r="I9" s="200">
        <v>203.5753</v>
      </c>
      <c r="J9" s="200">
        <v>190.68736500000003</v>
      </c>
      <c r="K9" s="200">
        <v>186.53195499999998</v>
      </c>
      <c r="L9" s="200">
        <v>196.30028499999997</v>
      </c>
      <c r="M9" s="200">
        <v>172.36889999999997</v>
      </c>
      <c r="N9" s="200">
        <v>167.56454499999995</v>
      </c>
    </row>
    <row r="10" spans="3:19" ht="13.5" thickBot="1" x14ac:dyDescent="0.35">
      <c r="C10" s="4" t="s">
        <v>35</v>
      </c>
      <c r="D10" s="14" t="s">
        <v>36</v>
      </c>
      <c r="E10" s="14" t="s">
        <v>37</v>
      </c>
      <c r="F10" s="200">
        <v>266.85151999999994</v>
      </c>
      <c r="G10" s="200">
        <v>257.10296999999991</v>
      </c>
      <c r="H10" s="200">
        <v>249.87889999999996</v>
      </c>
      <c r="I10" s="200">
        <v>238.91318999999993</v>
      </c>
      <c r="J10" s="200">
        <v>223.49582999999996</v>
      </c>
      <c r="K10" s="200">
        <v>217.56780999999995</v>
      </c>
      <c r="L10" s="200">
        <v>230.56211999999999</v>
      </c>
      <c r="M10" s="200">
        <v>206.39923999999991</v>
      </c>
      <c r="N10" s="200">
        <v>198.20594999999992</v>
      </c>
    </row>
    <row r="11" spans="3:19" ht="24" thickBot="1" x14ac:dyDescent="0.35">
      <c r="C11" s="4" t="s">
        <v>97</v>
      </c>
      <c r="D11" s="14" t="s">
        <v>38</v>
      </c>
      <c r="E11" s="14" t="s">
        <v>39</v>
      </c>
      <c r="F11" s="200">
        <v>223.29296999999994</v>
      </c>
      <c r="G11" s="200">
        <v>213.54441999999997</v>
      </c>
      <c r="H11" s="200">
        <v>205.17034999999998</v>
      </c>
      <c r="I11" s="200">
        <v>195.35463999999996</v>
      </c>
      <c r="J11" s="200">
        <v>178.35901999999999</v>
      </c>
      <c r="K11" s="200">
        <v>172.45399999999995</v>
      </c>
      <c r="L11" s="200">
        <v>187.00356999999997</v>
      </c>
      <c r="M11" s="200">
        <v>161.26242999999997</v>
      </c>
      <c r="N11" s="200">
        <v>154.21913999999998</v>
      </c>
    </row>
    <row r="12" spans="3:19" ht="13.5" thickBot="1" x14ac:dyDescent="0.35">
      <c r="C12" s="4" t="s">
        <v>40</v>
      </c>
      <c r="D12" s="14" t="s">
        <v>41</v>
      </c>
      <c r="E12" s="14"/>
      <c r="F12" s="200">
        <v>262.68162000000001</v>
      </c>
      <c r="G12" s="200">
        <v>252.93306999999996</v>
      </c>
      <c r="H12" s="200">
        <v>244.55899999999997</v>
      </c>
      <c r="I12" s="200">
        <v>234.74328999999997</v>
      </c>
      <c r="J12" s="200">
        <v>217.74766999999994</v>
      </c>
      <c r="K12" s="200">
        <v>211.84264999999996</v>
      </c>
      <c r="L12" s="200">
        <v>226.39222000000001</v>
      </c>
      <c r="M12" s="200">
        <v>200.65107999999995</v>
      </c>
      <c r="N12" s="200">
        <v>193.60778999999997</v>
      </c>
    </row>
    <row r="13" spans="3:19" ht="24" thickBot="1" x14ac:dyDescent="0.35">
      <c r="C13" s="4" t="s">
        <v>6</v>
      </c>
      <c r="D13" s="14" t="s">
        <v>42</v>
      </c>
      <c r="E13" s="14" t="s">
        <v>43</v>
      </c>
      <c r="F13" s="200">
        <v>232.64120499999996</v>
      </c>
      <c r="G13" s="200">
        <v>224.15937999999997</v>
      </c>
      <c r="H13" s="200">
        <v>216.70220499999999</v>
      </c>
      <c r="I13" s="200">
        <v>206.05723</v>
      </c>
      <c r="J13" s="200">
        <v>188.08019999999996</v>
      </c>
      <c r="K13" s="200">
        <v>181.03299999999996</v>
      </c>
      <c r="L13" s="200">
        <v>197.95111</v>
      </c>
      <c r="M13" s="200">
        <v>165.46959000000001</v>
      </c>
      <c r="N13" s="200">
        <v>158.08083999999999</v>
      </c>
    </row>
    <row r="14" spans="3:19" ht="13.5" thickBot="1" x14ac:dyDescent="0.35">
      <c r="C14" s="4" t="s">
        <v>44</v>
      </c>
      <c r="D14" s="14" t="s">
        <v>45</v>
      </c>
      <c r="E14" s="14" t="s">
        <v>46</v>
      </c>
      <c r="F14" s="200">
        <v>243.83265999999998</v>
      </c>
      <c r="G14" s="200">
        <v>235.40775999999997</v>
      </c>
      <c r="H14" s="200">
        <v>228.64506999999998</v>
      </c>
      <c r="I14" s="200">
        <v>218.78565999999998</v>
      </c>
      <c r="J14" s="200">
        <v>203.85992499999998</v>
      </c>
      <c r="K14" s="200">
        <v>193.53372999999999</v>
      </c>
      <c r="L14" s="200">
        <v>211.26017499999995</v>
      </c>
      <c r="M14" s="200">
        <v>178.25506000000001</v>
      </c>
      <c r="N14" s="200">
        <v>172.80164500000001</v>
      </c>
    </row>
    <row r="15" spans="3:19" ht="24" thickBot="1" x14ac:dyDescent="0.35">
      <c r="C15" s="4" t="s">
        <v>47</v>
      </c>
      <c r="D15" s="14" t="s">
        <v>48</v>
      </c>
      <c r="E15" s="14" t="s">
        <v>49</v>
      </c>
      <c r="F15" s="200">
        <v>137.46064999999999</v>
      </c>
      <c r="G15" s="200">
        <v>131.00294</v>
      </c>
      <c r="H15" s="200">
        <v>123.48538999999998</v>
      </c>
      <c r="I15" s="200">
        <v>118.96657999999999</v>
      </c>
      <c r="J15" s="200">
        <v>106.53530999999997</v>
      </c>
      <c r="K15" s="200">
        <v>101.63331999999998</v>
      </c>
      <c r="L15" s="200">
        <v>113.87253999999999</v>
      </c>
      <c r="M15" s="200">
        <v>87.782029999999992</v>
      </c>
      <c r="N15" s="200">
        <v>82.485590000000002</v>
      </c>
    </row>
    <row r="16" spans="3:19" ht="13.5" thickBot="1" x14ac:dyDescent="0.35">
      <c r="C16" s="4" t="s">
        <v>50</v>
      </c>
      <c r="D16" s="14" t="s">
        <v>51</v>
      </c>
      <c r="E16" s="14" t="s">
        <v>49</v>
      </c>
      <c r="F16" s="200">
        <v>136.31065000000001</v>
      </c>
      <c r="G16" s="200">
        <v>129.85293999999999</v>
      </c>
      <c r="H16" s="200">
        <v>123.48538999999998</v>
      </c>
      <c r="I16" s="200">
        <v>117.81658</v>
      </c>
      <c r="J16" s="200">
        <v>106.53530999999997</v>
      </c>
      <c r="K16" s="200">
        <v>100.48331999999998</v>
      </c>
      <c r="L16" s="200">
        <v>112.72253999999998</v>
      </c>
      <c r="M16" s="200">
        <v>87.782029999999992</v>
      </c>
      <c r="N16" s="200">
        <v>81.335589999999996</v>
      </c>
    </row>
    <row r="17" spans="3:14" ht="13.5" thickBot="1" x14ac:dyDescent="0.35">
      <c r="C17" s="4" t="s">
        <v>52</v>
      </c>
      <c r="D17" s="14" t="s">
        <v>53</v>
      </c>
      <c r="E17" s="14"/>
      <c r="F17" s="200">
        <v>128.53526999999997</v>
      </c>
      <c r="G17" s="200">
        <v>122.07755999999996</v>
      </c>
      <c r="H17" s="200">
        <v>115.71000999999998</v>
      </c>
      <c r="I17" s="200">
        <v>110.04119999999998</v>
      </c>
      <c r="J17" s="200">
        <v>99.030409999999975</v>
      </c>
      <c r="K17" s="200">
        <v>92.97842</v>
      </c>
      <c r="L17" s="200">
        <v>104.94715999999997</v>
      </c>
      <c r="M17" s="200">
        <v>80.277129999999985</v>
      </c>
      <c r="N17" s="201" t="s">
        <v>144</v>
      </c>
    </row>
    <row r="18" spans="3:14" ht="13.5" thickBot="1" x14ac:dyDescent="0.35">
      <c r="C18" s="4" t="s">
        <v>54</v>
      </c>
      <c r="D18" s="14" t="s">
        <v>55</v>
      </c>
      <c r="E18" s="14"/>
      <c r="F18" s="200">
        <v>128.53526999999997</v>
      </c>
      <c r="G18" s="200">
        <v>122.07755999999996</v>
      </c>
      <c r="H18" s="200">
        <v>115.71000999999998</v>
      </c>
      <c r="I18" s="200">
        <v>110.04119999999998</v>
      </c>
      <c r="J18" s="200">
        <v>99.030409999999975</v>
      </c>
      <c r="K18" s="200">
        <v>92.97842</v>
      </c>
      <c r="L18" s="200">
        <v>104.94715999999997</v>
      </c>
      <c r="M18" s="200">
        <v>80.277129999999985</v>
      </c>
      <c r="N18" s="200">
        <v>73.83068999999999</v>
      </c>
    </row>
    <row r="19" spans="3:14" ht="13.5" thickBot="1" x14ac:dyDescent="0.35">
      <c r="C19" s="4" t="s">
        <v>56</v>
      </c>
      <c r="D19" s="14" t="s">
        <v>57</v>
      </c>
      <c r="E19" s="14"/>
      <c r="F19" s="200">
        <v>232.64120499999996</v>
      </c>
      <c r="G19" s="200">
        <v>224.15937999999997</v>
      </c>
      <c r="H19" s="200">
        <v>216.70220499999999</v>
      </c>
      <c r="I19" s="200">
        <v>206.05723</v>
      </c>
      <c r="J19" s="200">
        <v>188.08019999999996</v>
      </c>
      <c r="K19" s="200">
        <v>181.03299999999996</v>
      </c>
      <c r="L19" s="200">
        <v>197.95111</v>
      </c>
      <c r="M19" s="200">
        <v>165.46959000000001</v>
      </c>
      <c r="N19" s="200">
        <v>158.08083999999999</v>
      </c>
    </row>
    <row r="20" spans="3:14" ht="24" thickBot="1" x14ac:dyDescent="0.35">
      <c r="C20" s="4" t="s">
        <v>58</v>
      </c>
      <c r="D20" s="14" t="s">
        <v>59</v>
      </c>
      <c r="E20" s="14" t="s">
        <v>60</v>
      </c>
      <c r="F20" s="200">
        <v>229.78149999999999</v>
      </c>
      <c r="G20" s="200">
        <v>221.904</v>
      </c>
      <c r="H20" s="200">
        <v>215.01549999999997</v>
      </c>
      <c r="I20" s="200">
        <v>206.64349999999999</v>
      </c>
      <c r="J20" s="200">
        <v>189.64649999999997</v>
      </c>
      <c r="K20" s="200">
        <v>184.4485</v>
      </c>
      <c r="L20" s="200">
        <v>206.81599999999997</v>
      </c>
      <c r="M20" s="200">
        <v>170.70599999999996</v>
      </c>
      <c r="N20" s="200">
        <v>165.31249999999994</v>
      </c>
    </row>
    <row r="21" spans="3:14" ht="13.5" thickBot="1" x14ac:dyDescent="0.35">
      <c r="C21" s="4" t="s">
        <v>61</v>
      </c>
      <c r="D21" s="14" t="s">
        <v>62</v>
      </c>
      <c r="E21" s="14" t="s">
        <v>63</v>
      </c>
      <c r="F21" s="200">
        <v>389.77709000000004</v>
      </c>
      <c r="G21" s="200">
        <v>381.29526499999997</v>
      </c>
      <c r="H21" s="200">
        <v>373.83809000000002</v>
      </c>
      <c r="I21" s="200">
        <v>363.19311499999992</v>
      </c>
      <c r="J21" s="200">
        <v>344.37370999999996</v>
      </c>
      <c r="K21" s="201" t="s">
        <v>144</v>
      </c>
      <c r="L21" s="200">
        <v>355.08699499999989</v>
      </c>
      <c r="M21" s="200">
        <v>321.76310000000001</v>
      </c>
      <c r="N21" s="201" t="s">
        <v>144</v>
      </c>
    </row>
    <row r="22" spans="3:14" ht="13.5" thickBot="1" x14ac:dyDescent="0.35">
      <c r="C22" s="4" t="s">
        <v>98</v>
      </c>
      <c r="D22" s="14" t="s">
        <v>64</v>
      </c>
      <c r="E22" s="14" t="s">
        <v>65</v>
      </c>
      <c r="F22" s="200">
        <v>270.80384000000004</v>
      </c>
      <c r="G22" s="200">
        <v>262.32201500000002</v>
      </c>
      <c r="H22" s="200">
        <v>254.86484000000002</v>
      </c>
      <c r="I22" s="200">
        <v>244.219865</v>
      </c>
      <c r="J22" s="200">
        <v>227.10820999999999</v>
      </c>
      <c r="K22" s="201" t="s">
        <v>144</v>
      </c>
      <c r="L22" s="200">
        <v>236.11374500000002</v>
      </c>
      <c r="M22" s="200">
        <v>204.49759999999998</v>
      </c>
      <c r="N22" s="201" t="s">
        <v>144</v>
      </c>
    </row>
    <row r="23" spans="3:14" ht="13.5" thickBot="1" x14ac:dyDescent="0.35">
      <c r="C23" s="4" t="s">
        <v>66</v>
      </c>
      <c r="D23" s="14" t="s">
        <v>67</v>
      </c>
      <c r="E23" s="14" t="s">
        <v>68</v>
      </c>
      <c r="F23" s="200">
        <v>264.53058999999996</v>
      </c>
      <c r="G23" s="200">
        <v>256.048765</v>
      </c>
      <c r="H23" s="200">
        <v>248.59159</v>
      </c>
      <c r="I23" s="200">
        <v>237.94661499999998</v>
      </c>
      <c r="J23" s="200">
        <v>221.68883499999998</v>
      </c>
      <c r="K23" s="200">
        <v>213.49163499999995</v>
      </c>
      <c r="L23" s="200">
        <v>229.84049499999998</v>
      </c>
      <c r="M23" s="200">
        <v>199.078225</v>
      </c>
      <c r="N23" s="200">
        <v>189.38947499999998</v>
      </c>
    </row>
    <row r="24" spans="3:14" ht="13.5" thickBot="1" x14ac:dyDescent="0.35">
      <c r="C24" s="4" t="s">
        <v>69</v>
      </c>
      <c r="D24" s="14" t="s">
        <v>70</v>
      </c>
      <c r="E24" s="14"/>
      <c r="F24" s="200">
        <v>229.78149999999999</v>
      </c>
      <c r="G24" s="200">
        <v>221.904</v>
      </c>
      <c r="H24" s="200">
        <v>215.01549999999997</v>
      </c>
      <c r="I24" s="200">
        <v>206.64349999999999</v>
      </c>
      <c r="J24" s="200">
        <v>189.64649999999997</v>
      </c>
      <c r="K24" s="200">
        <v>184.4485</v>
      </c>
      <c r="L24" s="200">
        <v>206.81599999999997</v>
      </c>
      <c r="M24" s="200">
        <v>170.70599999999996</v>
      </c>
      <c r="N24" s="200">
        <v>165.31249999999994</v>
      </c>
    </row>
    <row r="25" spans="3:14" ht="24" thickBot="1" x14ac:dyDescent="0.35">
      <c r="C25" s="4" t="s">
        <v>71</v>
      </c>
      <c r="D25" s="14" t="s">
        <v>72</v>
      </c>
      <c r="E25" s="14" t="s">
        <v>73</v>
      </c>
      <c r="F25" s="200">
        <v>168.14518000000001</v>
      </c>
      <c r="G25" s="200">
        <v>161.42802999999998</v>
      </c>
      <c r="H25" s="200">
        <v>154.90430999999998</v>
      </c>
      <c r="I25" s="200">
        <v>147.32201500000002</v>
      </c>
      <c r="J25" s="200">
        <v>135.17410499999997</v>
      </c>
      <c r="K25" s="200">
        <v>131.01869499999998</v>
      </c>
      <c r="L25" s="200">
        <v>140.04699999999997</v>
      </c>
      <c r="M25" s="200">
        <v>116.85563999999998</v>
      </c>
      <c r="N25" s="200">
        <v>112.05128499999999</v>
      </c>
    </row>
    <row r="26" spans="3:14" ht="13.5" thickBot="1" x14ac:dyDescent="0.35">
      <c r="C26" s="4" t="s">
        <v>19</v>
      </c>
      <c r="D26" s="14" t="s">
        <v>74</v>
      </c>
      <c r="E26" s="14" t="s">
        <v>75</v>
      </c>
      <c r="F26" s="200">
        <v>231.9665</v>
      </c>
      <c r="G26" s="200">
        <v>224.08899999999997</v>
      </c>
      <c r="H26" s="200">
        <v>217.20049999999995</v>
      </c>
      <c r="I26" s="200">
        <v>208.82849999999999</v>
      </c>
      <c r="J26" s="200">
        <v>191.54400000000001</v>
      </c>
      <c r="K26" s="200">
        <v>186.346</v>
      </c>
      <c r="L26" s="200">
        <v>209.001</v>
      </c>
      <c r="M26" s="200">
        <v>172.60349999999997</v>
      </c>
      <c r="N26" s="200">
        <v>167.20999999999995</v>
      </c>
    </row>
    <row r="27" spans="3:14" ht="13.5" thickBot="1" x14ac:dyDescent="0.35">
      <c r="C27" s="4" t="s">
        <v>20</v>
      </c>
      <c r="D27" s="14" t="s">
        <v>76</v>
      </c>
      <c r="E27" s="14" t="s">
        <v>77</v>
      </c>
      <c r="F27" s="200">
        <v>194.28100000000001</v>
      </c>
      <c r="G27" s="200">
        <v>186.40349999999998</v>
      </c>
      <c r="H27" s="200">
        <v>179.51499999999999</v>
      </c>
      <c r="I27" s="200">
        <v>171.14299999999997</v>
      </c>
      <c r="J27" s="200">
        <v>155.29600000000002</v>
      </c>
      <c r="K27" s="200">
        <v>150.09800000000001</v>
      </c>
      <c r="L27" s="200">
        <v>171.31549999999999</v>
      </c>
      <c r="M27" s="200">
        <v>136.35550000000001</v>
      </c>
      <c r="N27" s="200">
        <v>130.96200000000002</v>
      </c>
    </row>
    <row r="28" spans="3:14" ht="13.5" thickBot="1" x14ac:dyDescent="0.35">
      <c r="C28" s="4" t="s">
        <v>21</v>
      </c>
      <c r="D28" s="14" t="s">
        <v>78</v>
      </c>
      <c r="E28" s="14" t="s">
        <v>79</v>
      </c>
      <c r="F28" s="200">
        <v>181.00816</v>
      </c>
      <c r="G28" s="200">
        <v>176.09501499999999</v>
      </c>
      <c r="H28" s="200">
        <v>171.70454500000002</v>
      </c>
      <c r="I28" s="200">
        <v>167.36053500000003</v>
      </c>
      <c r="J28" s="200">
        <v>161.37881000000002</v>
      </c>
      <c r="K28" s="200">
        <v>157.116105</v>
      </c>
      <c r="L28" s="200">
        <v>164.60777999999999</v>
      </c>
      <c r="M28" s="200">
        <v>151.04146</v>
      </c>
      <c r="N28" s="200">
        <v>142.23729</v>
      </c>
    </row>
    <row r="29" spans="3:14" ht="24" thickBot="1" x14ac:dyDescent="0.35">
      <c r="C29" s="4" t="s">
        <v>22</v>
      </c>
      <c r="D29" s="14" t="s">
        <v>80</v>
      </c>
      <c r="E29" s="14"/>
      <c r="F29" s="200">
        <v>229.78149999999999</v>
      </c>
      <c r="G29" s="200">
        <v>221.904</v>
      </c>
      <c r="H29" s="200">
        <v>215.01549999999997</v>
      </c>
      <c r="I29" s="200">
        <v>206.64349999999999</v>
      </c>
      <c r="J29" s="200">
        <v>189.64649999999997</v>
      </c>
      <c r="K29" s="200">
        <v>184.4485</v>
      </c>
      <c r="L29" s="200">
        <v>206.81599999999997</v>
      </c>
      <c r="M29" s="200">
        <v>170.70599999999996</v>
      </c>
      <c r="N29" s="200">
        <v>165.31249999999994</v>
      </c>
    </row>
    <row r="30" spans="3:14" ht="35.5" thickBot="1" x14ac:dyDescent="0.35">
      <c r="C30" s="4" t="s">
        <v>81</v>
      </c>
      <c r="D30" s="14" t="s">
        <v>82</v>
      </c>
      <c r="E30" s="14" t="s">
        <v>83</v>
      </c>
      <c r="F30" s="200">
        <v>127.38526999999998</v>
      </c>
      <c r="G30" s="200">
        <v>120.92755999999997</v>
      </c>
      <c r="H30" s="200">
        <v>113.41000999999999</v>
      </c>
      <c r="I30" s="200">
        <v>108.89119999999998</v>
      </c>
      <c r="J30" s="200">
        <v>96.730409999999978</v>
      </c>
      <c r="K30" s="200">
        <v>91.828419999999994</v>
      </c>
      <c r="L30" s="200">
        <v>103.79715999999996</v>
      </c>
      <c r="M30" s="200">
        <v>77.977129999999988</v>
      </c>
      <c r="N30" s="200">
        <v>72.680689999999984</v>
      </c>
    </row>
    <row r="31" spans="3:14" ht="24" thickBot="1" x14ac:dyDescent="0.35">
      <c r="C31" s="4" t="s">
        <v>84</v>
      </c>
      <c r="D31" s="14" t="s">
        <v>85</v>
      </c>
      <c r="E31" s="14" t="s">
        <v>86</v>
      </c>
      <c r="F31" s="200">
        <v>126.23526999999997</v>
      </c>
      <c r="G31" s="200">
        <v>119.77755999999997</v>
      </c>
      <c r="H31" s="200">
        <v>113.41000999999999</v>
      </c>
      <c r="I31" s="200">
        <v>107.74119999999998</v>
      </c>
      <c r="J31" s="200">
        <v>96.730409999999978</v>
      </c>
      <c r="K31" s="200">
        <v>90.678420000000003</v>
      </c>
      <c r="L31" s="200">
        <v>102.64715999999997</v>
      </c>
      <c r="M31" s="200">
        <v>77.977129999999988</v>
      </c>
      <c r="N31" s="200">
        <v>71.530689999999993</v>
      </c>
    </row>
    <row r="32" spans="3:14" ht="24" thickBot="1" x14ac:dyDescent="0.35">
      <c r="C32" s="4" t="s">
        <v>23</v>
      </c>
      <c r="D32" s="14" t="s">
        <v>87</v>
      </c>
      <c r="E32" s="14" t="s">
        <v>88</v>
      </c>
      <c r="F32" s="200">
        <v>98.364559999999997</v>
      </c>
      <c r="G32" s="200">
        <v>92.729559999999978</v>
      </c>
      <c r="H32" s="200">
        <v>86.733919999999983</v>
      </c>
      <c r="I32" s="200">
        <v>82.834499999999991</v>
      </c>
      <c r="J32" s="200">
        <v>74.37072999999998</v>
      </c>
      <c r="K32" s="200">
        <v>69.479549999999989</v>
      </c>
      <c r="L32" s="200">
        <v>79.047779999999989</v>
      </c>
      <c r="M32" s="200">
        <v>58.897019999999998</v>
      </c>
      <c r="N32" s="200">
        <v>56.113329999999991</v>
      </c>
    </row>
    <row r="33" spans="3:14" ht="35.5" thickBot="1" x14ac:dyDescent="0.35">
      <c r="C33" s="4" t="s">
        <v>95</v>
      </c>
      <c r="D33" s="14" t="s">
        <v>29</v>
      </c>
      <c r="E33" s="14" t="s">
        <v>89</v>
      </c>
      <c r="F33" s="200">
        <v>49.182279999999999</v>
      </c>
      <c r="G33" s="200">
        <v>46.364779999999989</v>
      </c>
      <c r="H33" s="200">
        <v>43.366959999999992</v>
      </c>
      <c r="I33" s="200">
        <v>41.417249999999996</v>
      </c>
      <c r="J33" s="200">
        <v>37.18536499999999</v>
      </c>
      <c r="K33" s="200">
        <v>34.739774999999995</v>
      </c>
      <c r="L33" s="200">
        <v>39.523889999999994</v>
      </c>
      <c r="M33" s="200">
        <v>29.448509999999999</v>
      </c>
      <c r="N33" s="200">
        <v>28.056664999999995</v>
      </c>
    </row>
    <row r="34" spans="3:14" ht="13" x14ac:dyDescent="0.3">
      <c r="C34" s="20" t="s">
        <v>90</v>
      </c>
      <c r="D34" s="2"/>
      <c r="E34" s="2"/>
      <c r="F34" s="1"/>
      <c r="G34" s="1"/>
      <c r="H34" s="1"/>
      <c r="I34" s="1"/>
      <c r="J34" s="1"/>
      <c r="K34" s="1"/>
      <c r="L34" s="1"/>
      <c r="M34" s="1"/>
      <c r="N34" s="1"/>
    </row>
    <row r="35" spans="3:14" x14ac:dyDescent="0.25">
      <c r="C35" t="s">
        <v>91</v>
      </c>
      <c r="D35" s="2"/>
      <c r="E35" s="2"/>
      <c r="F35" s="1"/>
      <c r="G35" s="1"/>
      <c r="H35" s="1"/>
      <c r="I35" s="1"/>
      <c r="J35" s="1"/>
      <c r="K35" s="1"/>
      <c r="L35" s="1"/>
      <c r="M35" s="1"/>
      <c r="N35" s="1"/>
    </row>
    <row r="36" spans="3:14" x14ac:dyDescent="0.25">
      <c r="C36" t="s">
        <v>92</v>
      </c>
      <c r="D36" s="2"/>
      <c r="E36" s="2"/>
      <c r="F36" s="1"/>
      <c r="G36" s="1"/>
      <c r="H36" s="1"/>
      <c r="I36" s="1"/>
      <c r="J36" s="1"/>
      <c r="K36" s="1"/>
      <c r="L36" s="1"/>
      <c r="M36" s="1"/>
      <c r="N36" s="1"/>
    </row>
    <row r="37" spans="3:14" x14ac:dyDescent="0.25">
      <c r="C37" t="s">
        <v>93</v>
      </c>
      <c r="D37" s="2"/>
      <c r="E37" s="2"/>
      <c r="F37" s="1"/>
      <c r="G37" s="1"/>
      <c r="H37" s="1"/>
      <c r="I37" s="1"/>
      <c r="J37" s="1"/>
      <c r="K37" s="1"/>
      <c r="L37" s="1"/>
      <c r="M37" s="1"/>
      <c r="N37" s="1"/>
    </row>
  </sheetData>
  <mergeCells count="1">
    <mergeCell ref="F1:N1"/>
  </mergeCells>
  <phoneticPr fontId="3" type="noConversion"/>
  <pageMargins left="0.7" right="0.7" top="0.75" bottom="0.75" header="0.3" footer="0.3"/>
  <pageSetup scale="78"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Fee Estimator</vt:lpstr>
      <vt:lpstr>Table D-1</vt:lpstr>
      <vt:lpstr>BVD</vt:lpstr>
      <vt:lpstr>ConstType</vt:lpstr>
      <vt:lpstr>OccupancyGroup</vt:lpstr>
    </vt:vector>
  </TitlesOfParts>
  <Company>city of Seattle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Seattle SDCI - Fee Estimator 2021</dc:title>
  <dc:subject>DPD Fee Estimator</dc:subject>
  <dc:creator>Wendy Shark</dc:creator>
  <cp:lastModifiedBy>Callison, Moon</cp:lastModifiedBy>
  <cp:lastPrinted>2016-12-22T15:19:03Z</cp:lastPrinted>
  <dcterms:created xsi:type="dcterms:W3CDTF">2006-09-20T20:45:29Z</dcterms:created>
  <dcterms:modified xsi:type="dcterms:W3CDTF">2021-01-22T20:55:01Z</dcterms:modified>
</cp:coreProperties>
</file>