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5.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6.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7.xml" ContentType="application/vnd.openxmlformats-officedocument.drawing+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drawings/drawing8.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9.xml" ContentType="application/vnd.openxmlformats-officedocument.drawing+xml"/>
  <Override PartName="/xl/drawings/drawing10.xml" ContentType="application/vnd.openxmlformats-officedocument.drawing+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_SEATTLE PUBLIC UTILITIES\COMMERCIAL SECTOR OUTREACH\2015\Task 3. Direct Outreach\3.4 Waste\"/>
    </mc:Choice>
  </mc:AlternateContent>
  <workbookProtection workbookAlgorithmName="SHA-512" workbookHashValue="VmOZVYxvcJ0dneeXZlcVwayqhkSPhSMvVSNfeWKUu5Hh+dmkG9cxDvRSEV4M0M3ukmXWCXaH4keEWA1AHNkV7w==" workbookSaltValue="og29oekHZ1Nzo9TkTbmimA==" workbookSpinCount="100000" lockStructure="1"/>
  <bookViews>
    <workbookView xWindow="9705" yWindow="195" windowWidth="2025" windowHeight="7260" tabRatio="803"/>
  </bookViews>
  <sheets>
    <sheet name="Intro" sheetId="30" r:id="rId1"/>
    <sheet name="1.PlanAhead" sheetId="31" r:id="rId2"/>
    <sheet name="2.GatherData" sheetId="36" r:id="rId3"/>
    <sheet name="3.AnalyzeResults" sheetId="38" r:id="rId4"/>
    <sheet name="1.General_Info" sheetId="15" state="hidden" r:id="rId5"/>
    <sheet name="2.Current_Trash" sheetId="22" state="hidden" r:id="rId6"/>
    <sheet name="3.Current_Recycling" sheetId="23" state="hidden" r:id="rId7"/>
    <sheet name="4.Future_Benefits " sheetId="16" state="hidden" r:id="rId8"/>
    <sheet name="8.CaseStudies" sheetId="25" state="hidden" r:id="rId9"/>
    <sheet name="9.CustomRates" sheetId="26" state="hidden" r:id="rId10"/>
    <sheet name="4.TakeAction" sheetId="40" r:id="rId11"/>
    <sheet name="Background_Data" sheetId="43" r:id="rId12"/>
    <sheet name="dropdowns" sheetId="42" state="hidden" r:id="rId13"/>
    <sheet name="GHGs" sheetId="47" state="hidden" r:id="rId14"/>
    <sheet name="calcs" sheetId="44" state="hidden" r:id="rId15"/>
  </sheets>
  <definedNames>
    <definedName name="cactualv">'1.PlanAhead'!$X$25</definedName>
    <definedName name="cratio">Background_Data!$B$4</definedName>
    <definedName name="ctypes">dropdowns!$E$4:$E$8</definedName>
    <definedName name="fullness">dropdowns!$F$4:$G$7</definedName>
    <definedName name="galpercy">Background_Data!$B$3</definedName>
    <definedName name="lbsperton">Background_Data!$B$5</definedName>
    <definedName name="materialcat">calcs!$C$6:$C$25</definedName>
    <definedName name="_xlnm.Print_Area" localSheetId="4">'1.General_Info'!$A$1:$Q$60</definedName>
    <definedName name="_xlnm.Print_Area" localSheetId="1">'1.PlanAhead'!$A:$M</definedName>
    <definedName name="_xlnm.Print_Area" localSheetId="5">'2.Current_Trash'!$A$1:$R$85</definedName>
    <definedName name="_xlnm.Print_Area" localSheetId="2">'2.GatherData'!$A$2:$O$47</definedName>
    <definedName name="_xlnm.Print_Area" localSheetId="3">'3.AnalyzeResults'!$1:$58</definedName>
    <definedName name="_xlnm.Print_Area" localSheetId="6">'3.Current_Recycling'!$A$1:$R$92</definedName>
    <definedName name="_xlnm.Print_Area" localSheetId="7">'4.Future_Benefits '!$A$1:$T$68</definedName>
    <definedName name="_xlnm.Print_Area" localSheetId="10">'4.TakeAction'!$A$1:$D$27</definedName>
    <definedName name="_xlnm.Print_Area" localSheetId="8">'8.CaseStudies'!$A$1:$P$56</definedName>
    <definedName name="_xlnm.Print_Area" localSheetId="11">Background_Data!$A$1:$Q$36</definedName>
    <definedName name="PUweeks">Background_Data!$B$6</definedName>
    <definedName name="Ractualv1">'1.PlanAhead'!$X$23</definedName>
    <definedName name="ractualv2">'1.PlanAhead'!$X$24</definedName>
    <definedName name="rtypes1">dropdowns!$C$4:$C$11</definedName>
    <definedName name="rtypes2">dropdowns!$D$4:$D$11</definedName>
    <definedName name="TActualv">'1.PlanAhead'!$X$22</definedName>
    <definedName name="units">dropdowns!$B$4:$B$6</definedName>
  </definedNames>
  <calcPr calcId="152511"/>
</workbook>
</file>

<file path=xl/calcChain.xml><?xml version="1.0" encoding="utf-8"?>
<calcChain xmlns="http://schemas.openxmlformats.org/spreadsheetml/2006/main">
  <c r="Z25" i="31" l="1"/>
  <c r="Z24" i="31"/>
  <c r="Z23" i="31"/>
  <c r="J26" i="31" l="1"/>
  <c r="H13" i="38" s="1"/>
  <c r="C7" i="44"/>
  <c r="C8" i="44"/>
  <c r="C9" i="44"/>
  <c r="C10" i="44"/>
  <c r="C11" i="44"/>
  <c r="C12" i="44"/>
  <c r="C13" i="44"/>
  <c r="C14" i="44"/>
  <c r="C15" i="44"/>
  <c r="C16" i="44"/>
  <c r="C17" i="44"/>
  <c r="C18" i="44"/>
  <c r="C19" i="44"/>
  <c r="C20" i="44"/>
  <c r="C21" i="44"/>
  <c r="C22" i="44"/>
  <c r="C23" i="44"/>
  <c r="C24" i="44"/>
  <c r="C25" i="44"/>
  <c r="C6" i="44"/>
  <c r="H11" i="43"/>
  <c r="I11" i="43"/>
  <c r="H12" i="43"/>
  <c r="I12" i="43"/>
  <c r="H13" i="43"/>
  <c r="I13" i="43"/>
  <c r="H14" i="43"/>
  <c r="I14" i="43"/>
  <c r="H15" i="43"/>
  <c r="I15" i="43"/>
  <c r="H16" i="43"/>
  <c r="I16" i="43"/>
  <c r="H17" i="43"/>
  <c r="I17" i="43"/>
  <c r="H18" i="43"/>
  <c r="I18" i="43"/>
  <c r="H19" i="43"/>
  <c r="I19" i="43"/>
  <c r="H20" i="43"/>
  <c r="I20" i="43"/>
  <c r="H21" i="43"/>
  <c r="I21" i="43"/>
  <c r="H22" i="43"/>
  <c r="I22" i="43"/>
  <c r="H23" i="43"/>
  <c r="I23" i="43"/>
  <c r="H24" i="43"/>
  <c r="I24" i="43"/>
  <c r="H25" i="43"/>
  <c r="I25" i="43"/>
  <c r="H26" i="43"/>
  <c r="I26" i="43"/>
  <c r="H27" i="43"/>
  <c r="I27" i="43"/>
  <c r="H28" i="43"/>
  <c r="I28" i="43"/>
  <c r="H29" i="43"/>
  <c r="I29" i="43"/>
  <c r="G12" i="43"/>
  <c r="G13" i="43"/>
  <c r="G14" i="43"/>
  <c r="G15" i="43"/>
  <c r="G16" i="43"/>
  <c r="G17" i="43"/>
  <c r="G18" i="43"/>
  <c r="G19" i="43"/>
  <c r="G20" i="43"/>
  <c r="G21" i="43"/>
  <c r="G22" i="43"/>
  <c r="G23" i="43"/>
  <c r="G24" i="43"/>
  <c r="G25" i="43"/>
  <c r="G26" i="43"/>
  <c r="G27" i="43"/>
  <c r="G28" i="43"/>
  <c r="G29" i="43"/>
  <c r="G11" i="43"/>
  <c r="D30" i="43"/>
  <c r="E25" i="44" s="1"/>
  <c r="E7" i="44"/>
  <c r="E8" i="44"/>
  <c r="E9" i="44"/>
  <c r="E10" i="44"/>
  <c r="E11" i="44"/>
  <c r="E12" i="44"/>
  <c r="E13" i="44"/>
  <c r="E14" i="44"/>
  <c r="E15" i="44"/>
  <c r="E16" i="44"/>
  <c r="E17" i="44"/>
  <c r="E18" i="44"/>
  <c r="E19" i="44"/>
  <c r="E20" i="44"/>
  <c r="E21" i="44"/>
  <c r="E22" i="44"/>
  <c r="E23" i="44"/>
  <c r="E24" i="44"/>
  <c r="E6" i="44"/>
  <c r="F25" i="44"/>
  <c r="N6" i="47"/>
  <c r="F7" i="44" s="1"/>
  <c r="N7" i="47"/>
  <c r="F8" i="44" s="1"/>
  <c r="N8" i="47"/>
  <c r="F9" i="44" s="1"/>
  <c r="N9" i="47"/>
  <c r="F10" i="44" s="1"/>
  <c r="N10" i="47"/>
  <c r="F11" i="44" s="1"/>
  <c r="N11" i="47"/>
  <c r="F12" i="44" s="1"/>
  <c r="N12" i="47"/>
  <c r="F13" i="44" s="1"/>
  <c r="N13" i="47"/>
  <c r="F14" i="44" s="1"/>
  <c r="N14" i="47"/>
  <c r="F15" i="44" s="1"/>
  <c r="N15" i="47"/>
  <c r="F16" i="44" s="1"/>
  <c r="N16" i="47"/>
  <c r="F17" i="44" s="1"/>
  <c r="N17" i="47"/>
  <c r="F18" i="44" s="1"/>
  <c r="N18" i="47"/>
  <c r="F19" i="44" s="1"/>
  <c r="N19" i="47"/>
  <c r="F20" i="44" s="1"/>
  <c r="N20" i="47"/>
  <c r="F21" i="44" s="1"/>
  <c r="N21" i="47"/>
  <c r="F22" i="44" s="1"/>
  <c r="N22" i="47"/>
  <c r="F23" i="44" s="1"/>
  <c r="N23" i="47"/>
  <c r="F24" i="44" s="1"/>
  <c r="N5" i="47"/>
  <c r="F6" i="44" s="1"/>
  <c r="H10" i="38"/>
  <c r="H11" i="38"/>
  <c r="H12" i="38"/>
  <c r="H9" i="38"/>
  <c r="G9" i="38"/>
  <c r="G10" i="38"/>
  <c r="G11" i="38"/>
  <c r="G12" i="38"/>
  <c r="F10" i="38"/>
  <c r="F11" i="38"/>
  <c r="F12" i="38"/>
  <c r="F9" i="38"/>
  <c r="E10" i="38"/>
  <c r="E11" i="38"/>
  <c r="E12" i="38"/>
  <c r="E9" i="38"/>
  <c r="D10" i="38"/>
  <c r="D11" i="38"/>
  <c r="D12" i="38"/>
  <c r="D9" i="38"/>
  <c r="C31" i="38" l="1"/>
  <c r="D5" i="38"/>
  <c r="Y6" i="44" l="1"/>
  <c r="Y7" i="44"/>
  <c r="Y8" i="44"/>
  <c r="Y9" i="44"/>
  <c r="Y10" i="44"/>
  <c r="Y11" i="44"/>
  <c r="Y12" i="44"/>
  <c r="Y13" i="44"/>
  <c r="Y14" i="44"/>
  <c r="Y15" i="44"/>
  <c r="Y16" i="44"/>
  <c r="Y17" i="44"/>
  <c r="Y18" i="44"/>
  <c r="Y19" i="44"/>
  <c r="Y20" i="44"/>
  <c r="Y21" i="44"/>
  <c r="Y22" i="44"/>
  <c r="Y23" i="44"/>
  <c r="Y24" i="44"/>
  <c r="Y25" i="44"/>
  <c r="G3" i="44"/>
  <c r="E29" i="44" s="1"/>
  <c r="G6" i="44"/>
  <c r="M6" i="44"/>
  <c r="S6" i="44"/>
  <c r="G7" i="44"/>
  <c r="M7" i="44"/>
  <c r="S7" i="44"/>
  <c r="G8" i="44"/>
  <c r="M8" i="44"/>
  <c r="S8" i="44"/>
  <c r="G9" i="44"/>
  <c r="M9" i="44"/>
  <c r="S9" i="44"/>
  <c r="G10" i="44"/>
  <c r="M10" i="44"/>
  <c r="S10" i="44"/>
  <c r="G11" i="44"/>
  <c r="M11" i="44"/>
  <c r="S11" i="44"/>
  <c r="G12" i="44"/>
  <c r="M12" i="44"/>
  <c r="S12" i="44"/>
  <c r="G13" i="44"/>
  <c r="M13" i="44"/>
  <c r="S13" i="44"/>
  <c r="G14" i="44"/>
  <c r="M14" i="44"/>
  <c r="S14" i="44"/>
  <c r="G15" i="44"/>
  <c r="M15" i="44"/>
  <c r="S15" i="44"/>
  <c r="G16" i="44"/>
  <c r="M16" i="44"/>
  <c r="S16" i="44"/>
  <c r="G17" i="44"/>
  <c r="M17" i="44"/>
  <c r="S17" i="44"/>
  <c r="G18" i="44"/>
  <c r="M18" i="44"/>
  <c r="S18" i="44"/>
  <c r="G19" i="44"/>
  <c r="M19" i="44"/>
  <c r="S19" i="44"/>
  <c r="G20" i="44"/>
  <c r="M20" i="44"/>
  <c r="S20" i="44"/>
  <c r="G21" i="44"/>
  <c r="M21" i="44"/>
  <c r="S21" i="44"/>
  <c r="G22" i="44"/>
  <c r="M22" i="44"/>
  <c r="S22" i="44"/>
  <c r="G23" i="44"/>
  <c r="M23" i="44"/>
  <c r="S23" i="44"/>
  <c r="G24" i="44"/>
  <c r="M24" i="44"/>
  <c r="S24" i="44"/>
  <c r="G25" i="44"/>
  <c r="M25" i="44"/>
  <c r="S25" i="44"/>
  <c r="L15" i="36"/>
  <c r="J15" i="36"/>
  <c r="R23" i="31"/>
  <c r="S23" i="31" s="1"/>
  <c r="U23" i="31" s="1"/>
  <c r="V23" i="31" s="1"/>
  <c r="R24" i="31"/>
  <c r="S24" i="31" s="1"/>
  <c r="U24" i="31" s="1"/>
  <c r="V24" i="31" s="1"/>
  <c r="X24" i="31" s="1"/>
  <c r="R25" i="31"/>
  <c r="S25" i="31" s="1"/>
  <c r="U25" i="31" s="1"/>
  <c r="V25" i="31" s="1"/>
  <c r="X25" i="31" s="1"/>
  <c r="R22" i="31"/>
  <c r="S22" i="31" s="1"/>
  <c r="U22" i="31" s="1"/>
  <c r="V22" i="31" s="1"/>
  <c r="X22" i="31" l="1"/>
  <c r="H10" i="44" s="1"/>
  <c r="I10" i="44" s="1"/>
  <c r="J10" i="44" s="1"/>
  <c r="K10" i="44" s="1"/>
  <c r="E32" i="44"/>
  <c r="F32" i="44" s="1"/>
  <c r="X23" i="31"/>
  <c r="J37" i="44"/>
  <c r="E30" i="44"/>
  <c r="F30" i="44" s="1"/>
  <c r="E31" i="44"/>
  <c r="C10" i="38"/>
  <c r="K18" i="38" s="1"/>
  <c r="H15" i="36"/>
  <c r="M3" i="44" s="1"/>
  <c r="G29" i="44" s="1"/>
  <c r="C12" i="38"/>
  <c r="K26" i="38" s="1"/>
  <c r="Y3" i="44"/>
  <c r="I29" i="44" s="1"/>
  <c r="S3" i="44"/>
  <c r="H29" i="44" s="1"/>
  <c r="C11" i="38"/>
  <c r="K22" i="38" s="1"/>
  <c r="H17" i="44"/>
  <c r="I17" i="44" s="1"/>
  <c r="J17" i="44" s="1"/>
  <c r="K17" i="44" s="1"/>
  <c r="A24" i="44"/>
  <c r="A22" i="44"/>
  <c r="H32" i="44"/>
  <c r="A18" i="44"/>
  <c r="A16" i="44"/>
  <c r="A14" i="44"/>
  <c r="A12" i="44"/>
  <c r="A10" i="44"/>
  <c r="A8" i="44"/>
  <c r="A6" i="44"/>
  <c r="A25" i="44"/>
  <c r="A23" i="44"/>
  <c r="A21" i="44"/>
  <c r="A19" i="44"/>
  <c r="A17" i="44"/>
  <c r="A15" i="44"/>
  <c r="A13" i="44"/>
  <c r="A11" i="44"/>
  <c r="A9" i="44"/>
  <c r="A7" i="44"/>
  <c r="A20" i="44"/>
  <c r="G31" i="44"/>
  <c r="G30" i="44"/>
  <c r="H30" i="44"/>
  <c r="G32" i="44"/>
  <c r="H31" i="44"/>
  <c r="I30" i="44"/>
  <c r="I32" i="44"/>
  <c r="I31" i="44"/>
  <c r="V27" i="31"/>
  <c r="J39" i="44" s="1"/>
  <c r="C3" i="38"/>
  <c r="H20" i="44" l="1"/>
  <c r="I20" i="44" s="1"/>
  <c r="J20" i="44" s="1"/>
  <c r="K20" i="44" s="1"/>
  <c r="H25" i="44"/>
  <c r="I25" i="44" s="1"/>
  <c r="J25" i="44" s="1"/>
  <c r="K25" i="44" s="1"/>
  <c r="H9" i="44"/>
  <c r="I9" i="44" s="1"/>
  <c r="J9" i="44" s="1"/>
  <c r="H12" i="44"/>
  <c r="I12" i="44" s="1"/>
  <c r="J12" i="44" s="1"/>
  <c r="K12" i="44" s="1"/>
  <c r="H21" i="44"/>
  <c r="I21" i="44" s="1"/>
  <c r="J21" i="44" s="1"/>
  <c r="K21" i="44" s="1"/>
  <c r="H13" i="44"/>
  <c r="I13" i="44" s="1"/>
  <c r="J13" i="44" s="1"/>
  <c r="K13" i="44" s="1"/>
  <c r="H24" i="44"/>
  <c r="I24" i="44" s="1"/>
  <c r="J24" i="44" s="1"/>
  <c r="K24" i="44" s="1"/>
  <c r="H16" i="44"/>
  <c r="I16" i="44" s="1"/>
  <c r="J16" i="44" s="1"/>
  <c r="K16" i="44" s="1"/>
  <c r="H8" i="44"/>
  <c r="I8" i="44" s="1"/>
  <c r="J8" i="44" s="1"/>
  <c r="K8" i="44" s="1"/>
  <c r="H6" i="44"/>
  <c r="I6" i="44" s="1"/>
  <c r="J6" i="44" s="1"/>
  <c r="H23" i="44"/>
  <c r="I23" i="44" s="1"/>
  <c r="J23" i="44" s="1"/>
  <c r="K23" i="44" s="1"/>
  <c r="H19" i="44"/>
  <c r="I19" i="44" s="1"/>
  <c r="J19" i="44" s="1"/>
  <c r="K19" i="44" s="1"/>
  <c r="H15" i="44"/>
  <c r="I15" i="44" s="1"/>
  <c r="J15" i="44" s="1"/>
  <c r="K15" i="44" s="1"/>
  <c r="H11" i="44"/>
  <c r="I11" i="44" s="1"/>
  <c r="J11" i="44" s="1"/>
  <c r="K11" i="44" s="1"/>
  <c r="H7" i="44"/>
  <c r="I7" i="44" s="1"/>
  <c r="J7" i="44" s="1"/>
  <c r="K7" i="44" s="1"/>
  <c r="H22" i="44"/>
  <c r="I22" i="44" s="1"/>
  <c r="J22" i="44" s="1"/>
  <c r="K22" i="44" s="1"/>
  <c r="H18" i="44"/>
  <c r="I18" i="44" s="1"/>
  <c r="J18" i="44" s="1"/>
  <c r="K18" i="44" s="1"/>
  <c r="H14" i="44"/>
  <c r="I14" i="44" s="1"/>
  <c r="J14" i="44" s="1"/>
  <c r="K14" i="44" s="1"/>
  <c r="X27" i="31"/>
  <c r="AA22" i="31"/>
  <c r="AB22" i="31" s="1"/>
  <c r="AA24" i="31"/>
  <c r="AB24" i="31" s="1"/>
  <c r="AD22" i="31"/>
  <c r="F31" i="44"/>
  <c r="AA23" i="31"/>
  <c r="AB23" i="31" s="1"/>
  <c r="AA25" i="31"/>
  <c r="AB25" i="31" s="1"/>
  <c r="F38" i="44" l="1"/>
  <c r="F44" i="38" s="1"/>
  <c r="E38" i="44"/>
  <c r="F38" i="38" s="1"/>
  <c r="K6" i="44"/>
  <c r="E40" i="44" s="1"/>
  <c r="F41" i="38" s="1"/>
  <c r="E39" i="44"/>
  <c r="F39" i="38" s="1"/>
  <c r="K9" i="38"/>
  <c r="F39" i="44"/>
  <c r="F45" i="38" s="1"/>
  <c r="K9" i="44"/>
  <c r="F40" i="44" s="1"/>
  <c r="F47" i="38" s="1"/>
  <c r="G38" i="44" l="1"/>
  <c r="J38" i="44" s="1"/>
  <c r="J40" i="44" s="1"/>
  <c r="K39" i="38" s="1"/>
  <c r="G40" i="44"/>
  <c r="G39" i="44"/>
  <c r="L38" i="36" l="1"/>
  <c r="Y26" i="44" s="1"/>
  <c r="J38" i="36"/>
  <c r="S26" i="44" s="1"/>
  <c r="H38" i="36"/>
  <c r="F38" i="36"/>
  <c r="M26" i="44" l="1"/>
  <c r="F39" i="36"/>
  <c r="G4" i="44" s="1"/>
  <c r="G26" i="44"/>
  <c r="H26" i="44" s="1"/>
  <c r="I26" i="44" s="1"/>
  <c r="J26" i="44" s="1"/>
  <c r="K26" i="44" s="1"/>
  <c r="D82" i="22"/>
  <c r="D78" i="22"/>
  <c r="C15" i="23" l="1"/>
  <c r="C18" i="15"/>
  <c r="AA12" i="15"/>
  <c r="BA101" i="26" l="1"/>
  <c r="BB101" i="26" s="1"/>
  <c r="AZ101" i="26"/>
  <c r="AM101" i="26"/>
  <c r="AN101" i="26" s="1"/>
  <c r="AL101" i="26"/>
  <c r="U101" i="26"/>
  <c r="V101" i="26" s="1"/>
  <c r="T101" i="26"/>
  <c r="BA100" i="26"/>
  <c r="BB100" i="26" s="1"/>
  <c r="AZ100" i="26"/>
  <c r="AM100" i="26"/>
  <c r="AN100" i="26" s="1"/>
  <c r="AL100" i="26"/>
  <c r="U100" i="26"/>
  <c r="V100" i="26" s="1"/>
  <c r="T100" i="26"/>
  <c r="BA99" i="26"/>
  <c r="BB99" i="26" s="1"/>
  <c r="AZ99" i="26"/>
  <c r="AM99" i="26"/>
  <c r="AN99" i="26" s="1"/>
  <c r="AL99" i="26"/>
  <c r="U99" i="26"/>
  <c r="V99" i="26" s="1"/>
  <c r="T99" i="26"/>
  <c r="BA98" i="26"/>
  <c r="BB98" i="26" s="1"/>
  <c r="AZ98" i="26"/>
  <c r="AM98" i="26"/>
  <c r="AN98" i="26" s="1"/>
  <c r="AL98" i="26"/>
  <c r="U98" i="26"/>
  <c r="V98" i="26" s="1"/>
  <c r="T98" i="26"/>
  <c r="BA97" i="26"/>
  <c r="BB97" i="26" s="1"/>
  <c r="AZ97" i="26"/>
  <c r="AM97" i="26"/>
  <c r="AN97" i="26" s="1"/>
  <c r="AL97" i="26"/>
  <c r="U97" i="26"/>
  <c r="V97" i="26" s="1"/>
  <c r="T97" i="26"/>
  <c r="BA96" i="26"/>
  <c r="BB96" i="26" s="1"/>
  <c r="AZ96" i="26"/>
  <c r="AM96" i="26"/>
  <c r="AN96" i="26" s="1"/>
  <c r="AL96" i="26"/>
  <c r="U96" i="26"/>
  <c r="V96" i="26" s="1"/>
  <c r="T96" i="26"/>
  <c r="BA95" i="26"/>
  <c r="BB95" i="26" s="1"/>
  <c r="AZ95" i="26"/>
  <c r="AM95" i="26"/>
  <c r="AN95" i="26" s="1"/>
  <c r="AL95" i="26"/>
  <c r="U95" i="26"/>
  <c r="V95" i="26" s="1"/>
  <c r="T95" i="26"/>
  <c r="BA94" i="26"/>
  <c r="BB94" i="26" s="1"/>
  <c r="AZ94" i="26"/>
  <c r="AM94" i="26"/>
  <c r="AN94" i="26" s="1"/>
  <c r="AL94" i="26"/>
  <c r="U94" i="26"/>
  <c r="V94" i="26" s="1"/>
  <c r="T94" i="26"/>
  <c r="BA93" i="26"/>
  <c r="BB93" i="26" s="1"/>
  <c r="AZ93" i="26"/>
  <c r="AM93" i="26"/>
  <c r="AN93" i="26" s="1"/>
  <c r="AL93" i="26"/>
  <c r="U93" i="26"/>
  <c r="V93" i="26" s="1"/>
  <c r="T93" i="26"/>
  <c r="BA92" i="26"/>
  <c r="BB92" i="26" s="1"/>
  <c r="AZ92" i="26"/>
  <c r="AM92" i="26"/>
  <c r="AN92" i="26" s="1"/>
  <c r="AL92" i="26"/>
  <c r="U92" i="26"/>
  <c r="V92" i="26" s="1"/>
  <c r="T92" i="26"/>
  <c r="BA91" i="26"/>
  <c r="BB91" i="26" s="1"/>
  <c r="AZ91" i="26"/>
  <c r="AM91" i="26"/>
  <c r="AN91" i="26" s="1"/>
  <c r="AL91" i="26"/>
  <c r="U91" i="26"/>
  <c r="V91" i="26" s="1"/>
  <c r="T91" i="26"/>
  <c r="BA90" i="26"/>
  <c r="BB90" i="26" s="1"/>
  <c r="AZ90" i="26"/>
  <c r="AM90" i="26"/>
  <c r="AN90" i="26" s="1"/>
  <c r="AL90" i="26"/>
  <c r="U90" i="26"/>
  <c r="V90" i="26" s="1"/>
  <c r="T90" i="26"/>
  <c r="BA89" i="26"/>
  <c r="BB89" i="26" s="1"/>
  <c r="AZ89" i="26"/>
  <c r="AM89" i="26"/>
  <c r="AN89" i="26" s="1"/>
  <c r="AL89" i="26"/>
  <c r="U89" i="26"/>
  <c r="V89" i="26" s="1"/>
  <c r="T89" i="26"/>
  <c r="BA88" i="26"/>
  <c r="BB88" i="26" s="1"/>
  <c r="AZ88" i="26"/>
  <c r="AM88" i="26"/>
  <c r="AN88" i="26" s="1"/>
  <c r="AL88" i="26"/>
  <c r="U88" i="26"/>
  <c r="V88" i="26" s="1"/>
  <c r="T88" i="26"/>
  <c r="BA87" i="26"/>
  <c r="BB87" i="26" s="1"/>
  <c r="AZ87" i="26"/>
  <c r="AM87" i="26"/>
  <c r="AN87" i="26" s="1"/>
  <c r="AL87" i="26"/>
  <c r="U87" i="26"/>
  <c r="V87" i="26" s="1"/>
  <c r="T87" i="26"/>
  <c r="BA86" i="26"/>
  <c r="BB86" i="26" s="1"/>
  <c r="AZ86" i="26"/>
  <c r="AM86" i="26"/>
  <c r="AN86" i="26" s="1"/>
  <c r="AL86" i="26"/>
  <c r="U86" i="26"/>
  <c r="V86" i="26" s="1"/>
  <c r="T86" i="26"/>
  <c r="BA85" i="26"/>
  <c r="BB85" i="26" s="1"/>
  <c r="AZ85" i="26"/>
  <c r="AM85" i="26"/>
  <c r="AN85" i="26" s="1"/>
  <c r="AL85" i="26"/>
  <c r="U85" i="26"/>
  <c r="V85" i="26" s="1"/>
  <c r="T85" i="26"/>
  <c r="BA84" i="26"/>
  <c r="BB84" i="26" s="1"/>
  <c r="AZ84" i="26"/>
  <c r="AM84" i="26"/>
  <c r="AN84" i="26" s="1"/>
  <c r="AL84" i="26"/>
  <c r="U84" i="26"/>
  <c r="V84" i="26" s="1"/>
  <c r="T84" i="26"/>
  <c r="BA83" i="26"/>
  <c r="BB83" i="26" s="1"/>
  <c r="AZ83" i="26"/>
  <c r="AM83" i="26"/>
  <c r="AN83" i="26" s="1"/>
  <c r="AL83" i="26"/>
  <c r="U83" i="26"/>
  <c r="V83" i="26" s="1"/>
  <c r="T83" i="26"/>
  <c r="BA82" i="26"/>
  <c r="BB82" i="26" s="1"/>
  <c r="AZ82" i="26"/>
  <c r="AM82" i="26"/>
  <c r="AN82" i="26" s="1"/>
  <c r="AL82" i="26"/>
  <c r="U82" i="26"/>
  <c r="V82" i="26" s="1"/>
  <c r="T82" i="26"/>
  <c r="BA81" i="26"/>
  <c r="BB81" i="26" s="1"/>
  <c r="AZ81" i="26"/>
  <c r="AM81" i="26"/>
  <c r="AN81" i="26" s="1"/>
  <c r="AL81" i="26"/>
  <c r="U81" i="26"/>
  <c r="V81" i="26" s="1"/>
  <c r="T81" i="26"/>
  <c r="BA80" i="26"/>
  <c r="BB80" i="26" s="1"/>
  <c r="AZ80" i="26"/>
  <c r="AM80" i="26"/>
  <c r="AN80" i="26" s="1"/>
  <c r="AL80" i="26"/>
  <c r="U80" i="26"/>
  <c r="V80" i="26" s="1"/>
  <c r="T80" i="26"/>
  <c r="BA79" i="26"/>
  <c r="BB79" i="26" s="1"/>
  <c r="AZ79" i="26"/>
  <c r="AM79" i="26"/>
  <c r="AN79" i="26" s="1"/>
  <c r="AL79" i="26"/>
  <c r="U79" i="26"/>
  <c r="V79" i="26" s="1"/>
  <c r="T79" i="26"/>
  <c r="BA78" i="26"/>
  <c r="BB78" i="26" s="1"/>
  <c r="AZ78" i="26"/>
  <c r="AM78" i="26"/>
  <c r="AN78" i="26" s="1"/>
  <c r="AL78" i="26"/>
  <c r="U78" i="26"/>
  <c r="V78" i="26" s="1"/>
  <c r="T78" i="26"/>
  <c r="BA77" i="26"/>
  <c r="BB77" i="26" s="1"/>
  <c r="AZ77" i="26"/>
  <c r="AM77" i="26"/>
  <c r="AN77" i="26" s="1"/>
  <c r="AL77" i="26"/>
  <c r="U77" i="26"/>
  <c r="V77" i="26" s="1"/>
  <c r="T77" i="26"/>
  <c r="BA76" i="26"/>
  <c r="BB76" i="26" s="1"/>
  <c r="AZ76" i="26"/>
  <c r="AM76" i="26"/>
  <c r="AN76" i="26" s="1"/>
  <c r="AL76" i="26"/>
  <c r="U76" i="26"/>
  <c r="V76" i="26" s="1"/>
  <c r="T76" i="26"/>
  <c r="BA75" i="26"/>
  <c r="BB75" i="26" s="1"/>
  <c r="AZ75" i="26"/>
  <c r="AM75" i="26"/>
  <c r="AN75" i="26" s="1"/>
  <c r="AL75" i="26"/>
  <c r="U75" i="26"/>
  <c r="V75" i="26" s="1"/>
  <c r="AC75" i="26" s="1"/>
  <c r="T75" i="26"/>
  <c r="BA74" i="26"/>
  <c r="BB74" i="26" s="1"/>
  <c r="AZ74" i="26"/>
  <c r="AM74" i="26"/>
  <c r="AN74" i="26" s="1"/>
  <c r="AL74" i="26"/>
  <c r="U74" i="26"/>
  <c r="V74" i="26" s="1"/>
  <c r="T74" i="26"/>
  <c r="BA73" i="26"/>
  <c r="BB73" i="26" s="1"/>
  <c r="AZ73" i="26"/>
  <c r="AM73" i="26"/>
  <c r="AN73" i="26" s="1"/>
  <c r="AL73" i="26"/>
  <c r="U73" i="26"/>
  <c r="V73" i="26" s="1"/>
  <c r="T73" i="26"/>
  <c r="BA72" i="26"/>
  <c r="BB72" i="26" s="1"/>
  <c r="AZ72" i="26"/>
  <c r="AM72" i="26"/>
  <c r="AN72" i="26" s="1"/>
  <c r="AL72" i="26"/>
  <c r="U72" i="26"/>
  <c r="V72" i="26" s="1"/>
  <c r="T72" i="26"/>
  <c r="BA71" i="26"/>
  <c r="BB71" i="26" s="1"/>
  <c r="AZ71" i="26"/>
  <c r="AM71" i="26"/>
  <c r="AN71" i="26" s="1"/>
  <c r="AL71" i="26"/>
  <c r="U71" i="26"/>
  <c r="V71" i="26" s="1"/>
  <c r="T71" i="26"/>
  <c r="BA70" i="26"/>
  <c r="BB70" i="26" s="1"/>
  <c r="AZ70" i="26"/>
  <c r="AM70" i="26"/>
  <c r="AN70" i="26" s="1"/>
  <c r="AL70" i="26"/>
  <c r="U70" i="26"/>
  <c r="V70" i="26" s="1"/>
  <c r="T70" i="26"/>
  <c r="BA69" i="26"/>
  <c r="BB69" i="26" s="1"/>
  <c r="AZ69" i="26"/>
  <c r="AM69" i="26"/>
  <c r="AN69" i="26" s="1"/>
  <c r="AL69" i="26"/>
  <c r="U69" i="26"/>
  <c r="V69" i="26" s="1"/>
  <c r="T69" i="26"/>
  <c r="BA68" i="26"/>
  <c r="BB68" i="26" s="1"/>
  <c r="AZ68" i="26"/>
  <c r="AM68" i="26"/>
  <c r="AN68" i="26" s="1"/>
  <c r="AL68" i="26"/>
  <c r="U68" i="26"/>
  <c r="V68" i="26" s="1"/>
  <c r="T68" i="26"/>
  <c r="BA67" i="26"/>
  <c r="BB67" i="26" s="1"/>
  <c r="AZ67" i="26"/>
  <c r="AM67" i="26"/>
  <c r="AN67" i="26" s="1"/>
  <c r="AL67" i="26"/>
  <c r="U67" i="26"/>
  <c r="V67" i="26" s="1"/>
  <c r="T67" i="26"/>
  <c r="BA66" i="26"/>
  <c r="BB66" i="26" s="1"/>
  <c r="AZ66" i="26"/>
  <c r="AM66" i="26"/>
  <c r="AN66" i="26" s="1"/>
  <c r="AL66" i="26"/>
  <c r="U66" i="26"/>
  <c r="V66" i="26" s="1"/>
  <c r="T66" i="26"/>
  <c r="BA65" i="26"/>
  <c r="BB65" i="26" s="1"/>
  <c r="AZ65" i="26"/>
  <c r="AM65" i="26"/>
  <c r="AN65" i="26" s="1"/>
  <c r="AL65" i="26"/>
  <c r="U65" i="26"/>
  <c r="V65" i="26" s="1"/>
  <c r="T65" i="26"/>
  <c r="BA64" i="26"/>
  <c r="BB64" i="26" s="1"/>
  <c r="AZ64" i="26"/>
  <c r="AM64" i="26"/>
  <c r="AN64" i="26" s="1"/>
  <c r="AL64" i="26"/>
  <c r="U64" i="26"/>
  <c r="V64" i="26" s="1"/>
  <c r="T64" i="26"/>
  <c r="BA63" i="26"/>
  <c r="BB63" i="26" s="1"/>
  <c r="AZ63" i="26"/>
  <c r="AM63" i="26"/>
  <c r="AN63" i="26" s="1"/>
  <c r="AL63" i="26"/>
  <c r="U63" i="26"/>
  <c r="V63" i="26" s="1"/>
  <c r="T63" i="26"/>
  <c r="BA62" i="26"/>
  <c r="BB62" i="26" s="1"/>
  <c r="AZ62" i="26"/>
  <c r="AM62" i="26"/>
  <c r="AN62" i="26" s="1"/>
  <c r="AL62" i="26"/>
  <c r="U62" i="26"/>
  <c r="V62" i="26" s="1"/>
  <c r="T62" i="26"/>
  <c r="BO61" i="26"/>
  <c r="BA61" i="26"/>
  <c r="BB61" i="26" s="1"/>
  <c r="AZ61" i="26"/>
  <c r="AM61" i="26"/>
  <c r="AN61" i="26" s="1"/>
  <c r="AL61" i="26"/>
  <c r="U61" i="26"/>
  <c r="V61" i="26" s="1"/>
  <c r="AC61" i="26" s="1"/>
  <c r="T61" i="26"/>
  <c r="BO60" i="26"/>
  <c r="BA60" i="26"/>
  <c r="BB60" i="26" s="1"/>
  <c r="AZ60" i="26"/>
  <c r="AM60" i="26"/>
  <c r="AN60" i="26" s="1"/>
  <c r="AL60" i="26"/>
  <c r="U60" i="26"/>
  <c r="V60" i="26" s="1"/>
  <c r="T60" i="26"/>
  <c r="BO59" i="26"/>
  <c r="BA59" i="26"/>
  <c r="BB59" i="26" s="1"/>
  <c r="AZ59" i="26"/>
  <c r="AM59" i="26"/>
  <c r="AN59" i="26" s="1"/>
  <c r="AL59" i="26"/>
  <c r="U59" i="26"/>
  <c r="V59" i="26" s="1"/>
  <c r="AC59" i="26" s="1"/>
  <c r="T59" i="26"/>
  <c r="BO58" i="26"/>
  <c r="BA58" i="26"/>
  <c r="BB58" i="26" s="1"/>
  <c r="AZ58" i="26"/>
  <c r="AM58" i="26"/>
  <c r="AN58" i="26" s="1"/>
  <c r="AL58" i="26"/>
  <c r="U58" i="26"/>
  <c r="V58" i="26" s="1"/>
  <c r="T58" i="26"/>
  <c r="BO57" i="26"/>
  <c r="BA57" i="26"/>
  <c r="BB57" i="26" s="1"/>
  <c r="AZ57" i="26"/>
  <c r="AM57" i="26"/>
  <c r="AN57" i="26" s="1"/>
  <c r="AL57" i="26"/>
  <c r="U57" i="26"/>
  <c r="V57" i="26" s="1"/>
  <c r="AC57" i="26" s="1"/>
  <c r="T57" i="26"/>
  <c r="BO56" i="26"/>
  <c r="BA56" i="26"/>
  <c r="BB56" i="26" s="1"/>
  <c r="AZ56" i="26"/>
  <c r="AM56" i="26"/>
  <c r="AN56" i="26" s="1"/>
  <c r="AL56" i="26"/>
  <c r="U56" i="26"/>
  <c r="V56" i="26" s="1"/>
  <c r="T56" i="26"/>
  <c r="BA55" i="26"/>
  <c r="BB55" i="26" s="1"/>
  <c r="AZ55" i="26"/>
  <c r="AM55" i="26"/>
  <c r="AN55" i="26" s="1"/>
  <c r="AL55" i="26"/>
  <c r="U55" i="26"/>
  <c r="V55" i="26" s="1"/>
  <c r="T55" i="26"/>
  <c r="BA54" i="26"/>
  <c r="BB54" i="26" s="1"/>
  <c r="AZ54" i="26"/>
  <c r="AM54" i="26"/>
  <c r="AN54" i="26" s="1"/>
  <c r="AL54" i="26"/>
  <c r="U54" i="26"/>
  <c r="V54" i="26" s="1"/>
  <c r="T54" i="26"/>
  <c r="BA53" i="26"/>
  <c r="BB53" i="26" s="1"/>
  <c r="AZ53" i="26"/>
  <c r="AM53" i="26"/>
  <c r="AN53" i="26" s="1"/>
  <c r="AL53" i="26"/>
  <c r="U53" i="26"/>
  <c r="V53" i="26" s="1"/>
  <c r="T53" i="26"/>
  <c r="BA52" i="26"/>
  <c r="BB52" i="26" s="1"/>
  <c r="AZ52" i="26"/>
  <c r="AM52" i="26"/>
  <c r="AN52" i="26" s="1"/>
  <c r="AL52" i="26"/>
  <c r="U52" i="26"/>
  <c r="V52" i="26" s="1"/>
  <c r="T52" i="26"/>
  <c r="BA51" i="26"/>
  <c r="BB51" i="26" s="1"/>
  <c r="AZ51" i="26"/>
  <c r="AM51" i="26"/>
  <c r="AN51" i="26" s="1"/>
  <c r="AL51" i="26"/>
  <c r="U51" i="26"/>
  <c r="V51" i="26" s="1"/>
  <c r="T51" i="26"/>
  <c r="BA50" i="26"/>
  <c r="BB50" i="26" s="1"/>
  <c r="AZ50" i="26"/>
  <c r="AM50" i="26"/>
  <c r="AN50" i="26" s="1"/>
  <c r="AL50" i="26"/>
  <c r="U50" i="26"/>
  <c r="V50" i="26" s="1"/>
  <c r="T50" i="26"/>
  <c r="BA49" i="26"/>
  <c r="BB49" i="26" s="1"/>
  <c r="AZ49" i="26"/>
  <c r="AM49" i="26"/>
  <c r="AN49" i="26" s="1"/>
  <c r="AL49" i="26"/>
  <c r="U49" i="26"/>
  <c r="V49" i="26" s="1"/>
  <c r="T49" i="26"/>
  <c r="BA48" i="26"/>
  <c r="BB48" i="26" s="1"/>
  <c r="AZ48" i="26"/>
  <c r="AM48" i="26"/>
  <c r="AN48" i="26" s="1"/>
  <c r="AL48" i="26"/>
  <c r="U48" i="26"/>
  <c r="V48" i="26" s="1"/>
  <c r="T48" i="26"/>
  <c r="BA47" i="26"/>
  <c r="BB47" i="26" s="1"/>
  <c r="AZ47" i="26"/>
  <c r="AM47" i="26"/>
  <c r="AN47" i="26" s="1"/>
  <c r="AL47" i="26"/>
  <c r="U47" i="26"/>
  <c r="V47" i="26" s="1"/>
  <c r="T47" i="26"/>
  <c r="BA46" i="26"/>
  <c r="BB46" i="26" s="1"/>
  <c r="AZ46" i="26"/>
  <c r="AM46" i="26"/>
  <c r="AN46" i="26" s="1"/>
  <c r="AL46" i="26"/>
  <c r="U46" i="26"/>
  <c r="V46" i="26" s="1"/>
  <c r="T46" i="26"/>
  <c r="BA45" i="26"/>
  <c r="BB45" i="26" s="1"/>
  <c r="AZ45" i="26"/>
  <c r="AM45" i="26"/>
  <c r="AN45" i="26" s="1"/>
  <c r="AL45" i="26"/>
  <c r="U45" i="26"/>
  <c r="V45" i="26" s="1"/>
  <c r="T45" i="26"/>
  <c r="BA44" i="26"/>
  <c r="BB44" i="26" s="1"/>
  <c r="AZ44" i="26"/>
  <c r="AM44" i="26"/>
  <c r="AN44" i="26" s="1"/>
  <c r="AL44" i="26"/>
  <c r="U44" i="26"/>
  <c r="V44" i="26" s="1"/>
  <c r="T44" i="26"/>
  <c r="BA43" i="26"/>
  <c r="BB43" i="26" s="1"/>
  <c r="AZ43" i="26"/>
  <c r="AM43" i="26"/>
  <c r="AN43" i="26" s="1"/>
  <c r="AL43" i="26"/>
  <c r="U43" i="26"/>
  <c r="V43" i="26" s="1"/>
  <c r="T43" i="26"/>
  <c r="BA42" i="26"/>
  <c r="BB42" i="26" s="1"/>
  <c r="AZ42" i="26"/>
  <c r="AM42" i="26"/>
  <c r="AN42" i="26" s="1"/>
  <c r="AL42" i="26"/>
  <c r="U42" i="26"/>
  <c r="V42" i="26" s="1"/>
  <c r="T42" i="26"/>
  <c r="BA41" i="26"/>
  <c r="BB41" i="26" s="1"/>
  <c r="AZ41" i="26"/>
  <c r="AM41" i="26"/>
  <c r="AN41" i="26" s="1"/>
  <c r="AL41" i="26"/>
  <c r="U41" i="26"/>
  <c r="V41" i="26" s="1"/>
  <c r="T41" i="26"/>
  <c r="BA40" i="26"/>
  <c r="BB40" i="26" s="1"/>
  <c r="AZ40" i="26"/>
  <c r="AM40" i="26"/>
  <c r="AN40" i="26" s="1"/>
  <c r="AL40" i="26"/>
  <c r="U40" i="26"/>
  <c r="V40" i="26" s="1"/>
  <c r="T40" i="26"/>
  <c r="BM39" i="26"/>
  <c r="BA39" i="26"/>
  <c r="BB39" i="26" s="1"/>
  <c r="AZ39" i="26"/>
  <c r="AM39" i="26"/>
  <c r="AN39" i="26" s="1"/>
  <c r="AL39" i="26"/>
  <c r="U39" i="26"/>
  <c r="V39" i="26" s="1"/>
  <c r="AC39" i="26" s="1"/>
  <c r="T39" i="26"/>
  <c r="BA38" i="26"/>
  <c r="BB38" i="26" s="1"/>
  <c r="AZ38" i="26"/>
  <c r="AM38" i="26"/>
  <c r="AN38" i="26" s="1"/>
  <c r="AL38" i="26"/>
  <c r="U38" i="26"/>
  <c r="V38" i="26" s="1"/>
  <c r="T38" i="26"/>
  <c r="BA37" i="26"/>
  <c r="BB37" i="26" s="1"/>
  <c r="AZ37" i="26"/>
  <c r="AM37" i="26"/>
  <c r="AN37" i="26" s="1"/>
  <c r="AL37" i="26"/>
  <c r="U37" i="26"/>
  <c r="V37" i="26" s="1"/>
  <c r="T37" i="26"/>
  <c r="BA36" i="26"/>
  <c r="BB36" i="26" s="1"/>
  <c r="AZ36" i="26"/>
  <c r="AM36" i="26"/>
  <c r="AN36" i="26" s="1"/>
  <c r="AL36" i="26"/>
  <c r="U36" i="26"/>
  <c r="V36" i="26" s="1"/>
  <c r="T36" i="26"/>
  <c r="BA35" i="26"/>
  <c r="BB35" i="26" s="1"/>
  <c r="AZ35" i="26"/>
  <c r="AM35" i="26"/>
  <c r="AN35" i="26" s="1"/>
  <c r="AL35" i="26"/>
  <c r="U35" i="26"/>
  <c r="V35" i="26" s="1"/>
  <c r="T35" i="26"/>
  <c r="BA34" i="26"/>
  <c r="BB34" i="26" s="1"/>
  <c r="AZ34" i="26"/>
  <c r="AM34" i="26"/>
  <c r="AN34" i="26" s="1"/>
  <c r="AL34" i="26"/>
  <c r="U34" i="26"/>
  <c r="V34" i="26" s="1"/>
  <c r="T34" i="26"/>
  <c r="BA33" i="26"/>
  <c r="BB33" i="26" s="1"/>
  <c r="AZ33" i="26"/>
  <c r="AM33" i="26"/>
  <c r="AN33" i="26" s="1"/>
  <c r="AL33" i="26"/>
  <c r="U33" i="26"/>
  <c r="V33" i="26" s="1"/>
  <c r="T33" i="26"/>
  <c r="BA32" i="26"/>
  <c r="BB32" i="26" s="1"/>
  <c r="AZ32" i="26"/>
  <c r="AM32" i="26"/>
  <c r="AN32" i="26" s="1"/>
  <c r="AL32" i="26"/>
  <c r="U32" i="26"/>
  <c r="V32" i="26" s="1"/>
  <c r="T32" i="26"/>
  <c r="BA31" i="26"/>
  <c r="BB31" i="26" s="1"/>
  <c r="AZ31" i="26"/>
  <c r="AM31" i="26"/>
  <c r="AN31" i="26" s="1"/>
  <c r="AL31" i="26"/>
  <c r="U31" i="26"/>
  <c r="V31" i="26" s="1"/>
  <c r="T31" i="26"/>
  <c r="BA30" i="26"/>
  <c r="BB30" i="26" s="1"/>
  <c r="AZ30" i="26"/>
  <c r="AM30" i="26"/>
  <c r="AN30" i="26" s="1"/>
  <c r="AL30" i="26"/>
  <c r="U30" i="26"/>
  <c r="V30" i="26" s="1"/>
  <c r="T30" i="26"/>
  <c r="BA29" i="26"/>
  <c r="BB29" i="26" s="1"/>
  <c r="AZ29" i="26"/>
  <c r="AM29" i="26"/>
  <c r="AN29" i="26" s="1"/>
  <c r="AL29" i="26"/>
  <c r="U29" i="26"/>
  <c r="V29" i="26" s="1"/>
  <c r="T29" i="26"/>
  <c r="BA28" i="26"/>
  <c r="BB28" i="26" s="1"/>
  <c r="AZ28" i="26"/>
  <c r="AM28" i="26"/>
  <c r="AN28" i="26" s="1"/>
  <c r="AL28" i="26"/>
  <c r="U28" i="26"/>
  <c r="V28" i="26" s="1"/>
  <c r="T28" i="26"/>
  <c r="BA27" i="26"/>
  <c r="BB27" i="26" s="1"/>
  <c r="AZ27" i="26"/>
  <c r="AM27" i="26"/>
  <c r="AN27" i="26" s="1"/>
  <c r="AL27" i="26"/>
  <c r="U27" i="26"/>
  <c r="V27" i="26" s="1"/>
  <c r="T27" i="26"/>
  <c r="BA26" i="26"/>
  <c r="BB26" i="26" s="1"/>
  <c r="AZ26" i="26"/>
  <c r="AM26" i="26"/>
  <c r="AN26" i="26" s="1"/>
  <c r="AL26" i="26"/>
  <c r="U26" i="26"/>
  <c r="V26" i="26" s="1"/>
  <c r="T26" i="26"/>
  <c r="BA25" i="26"/>
  <c r="BB25" i="26" s="1"/>
  <c r="AZ25" i="26"/>
  <c r="AM25" i="26"/>
  <c r="AN25" i="26" s="1"/>
  <c r="AL25" i="26"/>
  <c r="U25" i="26"/>
  <c r="V25" i="26" s="1"/>
  <c r="T25" i="26"/>
  <c r="BP24" i="26"/>
  <c r="BO24" i="26" s="1"/>
  <c r="BA24" i="26"/>
  <c r="BB24" i="26" s="1"/>
  <c r="AZ24" i="26"/>
  <c r="AM24" i="26"/>
  <c r="AN24" i="26" s="1"/>
  <c r="AL24" i="26"/>
  <c r="U24" i="26"/>
  <c r="V24" i="26" s="1"/>
  <c r="AC24" i="26" s="1"/>
  <c r="T24" i="26"/>
  <c r="BP23" i="26"/>
  <c r="BO23" i="26"/>
  <c r="BA23" i="26"/>
  <c r="BB23" i="26" s="1"/>
  <c r="AZ23" i="26"/>
  <c r="AM23" i="26"/>
  <c r="AN23" i="26" s="1"/>
  <c r="AL23" i="26"/>
  <c r="U23" i="26"/>
  <c r="V23" i="26" s="1"/>
  <c r="AC23" i="26" s="1"/>
  <c r="T23" i="26"/>
  <c r="BP22" i="26"/>
  <c r="BO22" i="26"/>
  <c r="BA22" i="26"/>
  <c r="BB22" i="26" s="1"/>
  <c r="AZ22" i="26"/>
  <c r="AM22" i="26"/>
  <c r="AN22" i="26" s="1"/>
  <c r="AL22" i="26"/>
  <c r="U22" i="26"/>
  <c r="V22" i="26" s="1"/>
  <c r="AC22" i="26" s="1"/>
  <c r="T22" i="26"/>
  <c r="BP21" i="26"/>
  <c r="BO21" i="26"/>
  <c r="BA21" i="26"/>
  <c r="BB21" i="26" s="1"/>
  <c r="AZ21" i="26"/>
  <c r="AM21" i="26"/>
  <c r="AN21" i="26" s="1"/>
  <c r="AL21" i="26"/>
  <c r="U21" i="26"/>
  <c r="V21" i="26" s="1"/>
  <c r="AC21" i="26" s="1"/>
  <c r="T21" i="26"/>
  <c r="BP20" i="26"/>
  <c r="BO20" i="26"/>
  <c r="BA20" i="26"/>
  <c r="BB20" i="26" s="1"/>
  <c r="AZ20" i="26"/>
  <c r="AM20" i="26"/>
  <c r="AN20" i="26" s="1"/>
  <c r="AL20" i="26"/>
  <c r="U20" i="26"/>
  <c r="V20" i="26" s="1"/>
  <c r="AC20" i="26" s="1"/>
  <c r="T20" i="26"/>
  <c r="BP19" i="26"/>
  <c r="BO19" i="26"/>
  <c r="BA19" i="26"/>
  <c r="BB19" i="26" s="1"/>
  <c r="AZ19" i="26"/>
  <c r="AM19" i="26"/>
  <c r="AN19" i="26" s="1"/>
  <c r="AL19" i="26"/>
  <c r="U19" i="26"/>
  <c r="V19" i="26" s="1"/>
  <c r="AC19" i="26" s="1"/>
  <c r="T19" i="26"/>
  <c r="BA18" i="26"/>
  <c r="BB18" i="26" s="1"/>
  <c r="AZ18" i="26"/>
  <c r="AM18" i="26"/>
  <c r="AN18" i="26" s="1"/>
  <c r="AL18" i="26"/>
  <c r="U18" i="26"/>
  <c r="V18" i="26" s="1"/>
  <c r="AC18" i="26" s="1"/>
  <c r="T18" i="26"/>
  <c r="T17" i="25"/>
  <c r="BH54" i="16"/>
  <c r="BH53" i="16"/>
  <c r="BH52" i="16"/>
  <c r="BH51" i="16"/>
  <c r="BF50" i="16"/>
  <c r="BH50" i="16" s="1"/>
  <c r="BH49" i="16"/>
  <c r="BH48" i="16"/>
  <c r="BH47" i="16"/>
  <c r="BH46" i="16"/>
  <c r="BH45" i="16"/>
  <c r="BH44" i="16"/>
  <c r="BR43" i="16"/>
  <c r="BD43" i="16"/>
  <c r="R23" i="16" s="1"/>
  <c r="BA41" i="16"/>
  <c r="AV41" i="16"/>
  <c r="AV42" i="16" s="1"/>
  <c r="AZ42" i="16" s="1"/>
  <c r="AV40" i="16"/>
  <c r="AZ40" i="16" s="1"/>
  <c r="AV39" i="16"/>
  <c r="AZ39" i="16" s="1"/>
  <c r="AV38" i="16"/>
  <c r="AZ38" i="16" s="1"/>
  <c r="AV37" i="16"/>
  <c r="AV35" i="16"/>
  <c r="AV36" i="16" s="1"/>
  <c r="AV34" i="16"/>
  <c r="AZ34" i="16" s="1"/>
  <c r="AV33" i="16"/>
  <c r="AZ33" i="16" s="1"/>
  <c r="AV32" i="16"/>
  <c r="AZ32" i="16" s="1"/>
  <c r="AV31" i="16"/>
  <c r="AV23" i="16"/>
  <c r="AV24" i="16" s="1"/>
  <c r="AZ24" i="16" s="1"/>
  <c r="F10" i="16"/>
  <c r="N86" i="23"/>
  <c r="L86" i="23"/>
  <c r="J86" i="23"/>
  <c r="F86" i="23"/>
  <c r="D86" i="23"/>
  <c r="N82" i="23"/>
  <c r="AC53" i="23" s="1"/>
  <c r="L82" i="23"/>
  <c r="AC52" i="23" s="1"/>
  <c r="J82" i="23"/>
  <c r="AC51" i="23" s="1"/>
  <c r="F82" i="23"/>
  <c r="AC50" i="23" s="1"/>
  <c r="D82" i="23"/>
  <c r="AC49" i="23" s="1"/>
  <c r="AJ53" i="23"/>
  <c r="Z53" i="23"/>
  <c r="Y53" i="23"/>
  <c r="AJ52" i="23"/>
  <c r="Z52" i="23"/>
  <c r="Y52" i="23"/>
  <c r="AJ51" i="23"/>
  <c r="Z51" i="23"/>
  <c r="Y51" i="23"/>
  <c r="AJ50" i="23"/>
  <c r="Z50" i="23"/>
  <c r="Y50" i="23"/>
  <c r="AJ49" i="23"/>
  <c r="Z49" i="23"/>
  <c r="Y49" i="23"/>
  <c r="J49" i="23"/>
  <c r="G49" i="23"/>
  <c r="AJ48" i="23"/>
  <c r="Z48" i="23"/>
  <c r="Y48" i="23"/>
  <c r="T48" i="23"/>
  <c r="T47" i="23"/>
  <c r="T46" i="23"/>
  <c r="T45" i="23"/>
  <c r="T44" i="23"/>
  <c r="T43" i="23"/>
  <c r="T42" i="23"/>
  <c r="T41" i="23"/>
  <c r="T40" i="23"/>
  <c r="J40" i="23"/>
  <c r="K31" i="23"/>
  <c r="AA28" i="23"/>
  <c r="L26" i="23"/>
  <c r="K20" i="23"/>
  <c r="AC48" i="23" s="1"/>
  <c r="N18" i="23"/>
  <c r="Y16" i="23"/>
  <c r="W16" i="23"/>
  <c r="U14" i="23"/>
  <c r="C60" i="23" s="1"/>
  <c r="U13" i="23"/>
  <c r="K57" i="23" s="1"/>
  <c r="X12" i="23"/>
  <c r="U12" i="23"/>
  <c r="C58" i="23" s="1"/>
  <c r="U11" i="23"/>
  <c r="K58" i="23" s="1"/>
  <c r="U10" i="23"/>
  <c r="C59" i="23" s="1"/>
  <c r="W5" i="23"/>
  <c r="N82" i="22"/>
  <c r="L82" i="22"/>
  <c r="J82" i="22"/>
  <c r="F82" i="22"/>
  <c r="AE81" i="22"/>
  <c r="AA81" i="22"/>
  <c r="AE80" i="22"/>
  <c r="AA80" i="22"/>
  <c r="AE79" i="22"/>
  <c r="AA79" i="22"/>
  <c r="AE78" i="22"/>
  <c r="AA78" i="22"/>
  <c r="N78" i="22"/>
  <c r="AC81" i="22" s="1"/>
  <c r="L78" i="22"/>
  <c r="AC80" i="22" s="1"/>
  <c r="J78" i="22"/>
  <c r="AC79" i="22" s="1"/>
  <c r="F78" i="22"/>
  <c r="F80" i="22" s="1"/>
  <c r="D80" i="22"/>
  <c r="AD77" i="22" s="1"/>
  <c r="AE77" i="22"/>
  <c r="AA77" i="22"/>
  <c r="AF76" i="22"/>
  <c r="AE76" i="22"/>
  <c r="AC76" i="22"/>
  <c r="AA76" i="22"/>
  <c r="J47" i="22"/>
  <c r="G47" i="22"/>
  <c r="Z41" i="22"/>
  <c r="K29" i="22"/>
  <c r="BN67" i="26" s="1"/>
  <c r="Z27" i="22"/>
  <c r="C27" i="22"/>
  <c r="L24" i="22"/>
  <c r="K18" i="22"/>
  <c r="C16" i="22"/>
  <c r="D15" i="22"/>
  <c r="Y14" i="22"/>
  <c r="W14" i="22"/>
  <c r="U13" i="22"/>
  <c r="K55" i="22" s="1"/>
  <c r="U12" i="22"/>
  <c r="U11" i="22"/>
  <c r="C57" i="22" s="1"/>
  <c r="V10" i="22"/>
  <c r="U10" i="22"/>
  <c r="C58" i="22" s="1"/>
  <c r="U9" i="22"/>
  <c r="K57" i="22" s="1"/>
  <c r="C16" i="15"/>
  <c r="AA14" i="15"/>
  <c r="C25" i="15" s="1"/>
  <c r="AA13" i="15"/>
  <c r="I24" i="15"/>
  <c r="AA10" i="15"/>
  <c r="AA9" i="15"/>
  <c r="AO18" i="26" l="1"/>
  <c r="BC18" i="26"/>
  <c r="AD78" i="22"/>
  <c r="AC77" i="22"/>
  <c r="AO19" i="26"/>
  <c r="BC19" i="26"/>
  <c r="AO20" i="26"/>
  <c r="BC20" i="26"/>
  <c r="AO21" i="26"/>
  <c r="BC21" i="26"/>
  <c r="AO22" i="26"/>
  <c r="BC22" i="26"/>
  <c r="AO23" i="26"/>
  <c r="BC23" i="26"/>
  <c r="AO24" i="26"/>
  <c r="BC24" i="26"/>
  <c r="AO25" i="26"/>
  <c r="BC25" i="26"/>
  <c r="AO26" i="26"/>
  <c r="BC26" i="26"/>
  <c r="AO27" i="26"/>
  <c r="BC27" i="26"/>
  <c r="AO28" i="26"/>
  <c r="BC28" i="26"/>
  <c r="AO29" i="26"/>
  <c r="BC29" i="26"/>
  <c r="AO30" i="26"/>
  <c r="BC30" i="26"/>
  <c r="AO31" i="26"/>
  <c r="BC31" i="26"/>
  <c r="AO32" i="26"/>
  <c r="BC32" i="26"/>
  <c r="AO33" i="26"/>
  <c r="BC33" i="26"/>
  <c r="AO34" i="26"/>
  <c r="BC34" i="26"/>
  <c r="AO35" i="26"/>
  <c r="BC35" i="26"/>
  <c r="AO36" i="26"/>
  <c r="BC36" i="26"/>
  <c r="AO37" i="26"/>
  <c r="BC37" i="26"/>
  <c r="AO38" i="26"/>
  <c r="BC38" i="26"/>
  <c r="AO39" i="26"/>
  <c r="BC39" i="26"/>
  <c r="AO40" i="26"/>
  <c r="BC40" i="26"/>
  <c r="AO41" i="26"/>
  <c r="BC41" i="26"/>
  <c r="AO42" i="26"/>
  <c r="BC42" i="26"/>
  <c r="AO43" i="26"/>
  <c r="BC43" i="26"/>
  <c r="AO44" i="26"/>
  <c r="BC44" i="26"/>
  <c r="AO45" i="26"/>
  <c r="BC45" i="26"/>
  <c r="AO46" i="26"/>
  <c r="BC46" i="26"/>
  <c r="AO47" i="26"/>
  <c r="BC47" i="26"/>
  <c r="AO48" i="26"/>
  <c r="BC48" i="26"/>
  <c r="AO49" i="26"/>
  <c r="BC49" i="26"/>
  <c r="P14" i="22"/>
  <c r="P14" i="23"/>
  <c r="AO50" i="26"/>
  <c r="BC50" i="26"/>
  <c r="AO51" i="26"/>
  <c r="BC51" i="26"/>
  <c r="AO52" i="26"/>
  <c r="BC52" i="26"/>
  <c r="AO53" i="26"/>
  <c r="BC53" i="26"/>
  <c r="AO54" i="26"/>
  <c r="BC54" i="26"/>
  <c r="AO55" i="26"/>
  <c r="BC55" i="26"/>
  <c r="AO56" i="26"/>
  <c r="BC56" i="26"/>
  <c r="AO57" i="26"/>
  <c r="BC57" i="26"/>
  <c r="AO58" i="26"/>
  <c r="BC58" i="26"/>
  <c r="AO59" i="26"/>
  <c r="BC59" i="26"/>
  <c r="AO60" i="26"/>
  <c r="BC60" i="26"/>
  <c r="AO61" i="26"/>
  <c r="BC61" i="26"/>
  <c r="AO62" i="26"/>
  <c r="BC62" i="26"/>
  <c r="AO63" i="26"/>
  <c r="BC63" i="26"/>
  <c r="AO64" i="26"/>
  <c r="BC64" i="26"/>
  <c r="AO65" i="26"/>
  <c r="BC65" i="26"/>
  <c r="AO66" i="26"/>
  <c r="BC66" i="26"/>
  <c r="AO67" i="26"/>
  <c r="BC67" i="26"/>
  <c r="AO68" i="26"/>
  <c r="BC68" i="26"/>
  <c r="AO69" i="26"/>
  <c r="BC69" i="26"/>
  <c r="AO70" i="26"/>
  <c r="BC70" i="26"/>
  <c r="AO71" i="26"/>
  <c r="BC71" i="26"/>
  <c r="AO72" i="26"/>
  <c r="BC72" i="26"/>
  <c r="AO73" i="26"/>
  <c r="BC73" i="26"/>
  <c r="AO74" i="26"/>
  <c r="BC74" i="26"/>
  <c r="AO75" i="26"/>
  <c r="BC75" i="26"/>
  <c r="AO76" i="26"/>
  <c r="BC76" i="26"/>
  <c r="AO77" i="26"/>
  <c r="BC77" i="26"/>
  <c r="AO78" i="26"/>
  <c r="BC78" i="26"/>
  <c r="AO79" i="26"/>
  <c r="BC79" i="26"/>
  <c r="AO80" i="26"/>
  <c r="BC80" i="26"/>
  <c r="AO81" i="26"/>
  <c r="BC81" i="26"/>
  <c r="AO82" i="26"/>
  <c r="BC82" i="26"/>
  <c r="AO83" i="26"/>
  <c r="BC83" i="26"/>
  <c r="AO84" i="26"/>
  <c r="BC84" i="26"/>
  <c r="AO85" i="26"/>
  <c r="BC85" i="26"/>
  <c r="AO86" i="26"/>
  <c r="BC86" i="26"/>
  <c r="AO87" i="26"/>
  <c r="BC87" i="26"/>
  <c r="AO88" i="26"/>
  <c r="BC88" i="26"/>
  <c r="AO89" i="26"/>
  <c r="BC89" i="26"/>
  <c r="AO90" i="26"/>
  <c r="BC90" i="26"/>
  <c r="AO91" i="26"/>
  <c r="BC91" i="26"/>
  <c r="AO92" i="26"/>
  <c r="BC92" i="26"/>
  <c r="AO93" i="26"/>
  <c r="BC93" i="26"/>
  <c r="AO94" i="26"/>
  <c r="BC94" i="26"/>
  <c r="AO95" i="26"/>
  <c r="BC95" i="26"/>
  <c r="AO96" i="26"/>
  <c r="BC96" i="26"/>
  <c r="AO97" i="26"/>
  <c r="BC97" i="26"/>
  <c r="AO98" i="26"/>
  <c r="BC98" i="26"/>
  <c r="AO99" i="26"/>
  <c r="BC99" i="26"/>
  <c r="AO100" i="26"/>
  <c r="BC100" i="26"/>
  <c r="AO101" i="26"/>
  <c r="BC101" i="26"/>
  <c r="Y40" i="26"/>
  <c r="AC40" i="26"/>
  <c r="W40" i="26"/>
  <c r="Y41" i="26"/>
  <c r="AC41" i="26"/>
  <c r="W41" i="26"/>
  <c r="Y42" i="26"/>
  <c r="AC42" i="26"/>
  <c r="W42" i="26"/>
  <c r="Y43" i="26"/>
  <c r="AC43" i="26"/>
  <c r="W43" i="26"/>
  <c r="Y44" i="26"/>
  <c r="AC44" i="26"/>
  <c r="W44" i="26"/>
  <c r="Y45" i="26"/>
  <c r="AC45" i="26"/>
  <c r="W45" i="26"/>
  <c r="Y46" i="26"/>
  <c r="AC46" i="26"/>
  <c r="W46" i="26"/>
  <c r="Y47" i="26"/>
  <c r="AC47" i="26"/>
  <c r="W47" i="26"/>
  <c r="Y48" i="26"/>
  <c r="AC48" i="26"/>
  <c r="W48" i="26"/>
  <c r="Y49" i="26"/>
  <c r="AC49" i="26"/>
  <c r="W49" i="26"/>
  <c r="Y50" i="26"/>
  <c r="AC50" i="26"/>
  <c r="W50" i="26"/>
  <c r="Y51" i="26"/>
  <c r="AC51" i="26"/>
  <c r="W51" i="26"/>
  <c r="Y52" i="26"/>
  <c r="AC52" i="26"/>
  <c r="W52" i="26"/>
  <c r="Y53" i="26"/>
  <c r="AC53" i="26"/>
  <c r="W53" i="26"/>
  <c r="Y54" i="26"/>
  <c r="AC54" i="26"/>
  <c r="W54" i="26"/>
  <c r="Y55" i="26"/>
  <c r="AC55" i="26"/>
  <c r="W55" i="26"/>
  <c r="Y56" i="26"/>
  <c r="AC56" i="26"/>
  <c r="W56" i="26"/>
  <c r="Y60" i="26"/>
  <c r="AC60" i="26"/>
  <c r="W60" i="26"/>
  <c r="Y76" i="26"/>
  <c r="AC76" i="26"/>
  <c r="W76" i="26"/>
  <c r="Y77" i="26"/>
  <c r="AC77" i="26"/>
  <c r="W77" i="26"/>
  <c r="Y78" i="26"/>
  <c r="AC78" i="26"/>
  <c r="W78" i="26"/>
  <c r="Y79" i="26"/>
  <c r="AC79" i="26"/>
  <c r="W79" i="26"/>
  <c r="Y80" i="26"/>
  <c r="AC80" i="26"/>
  <c r="W80" i="26"/>
  <c r="Y81" i="26"/>
  <c r="AC81" i="26"/>
  <c r="W81" i="26"/>
  <c r="Y82" i="26"/>
  <c r="AC82" i="26"/>
  <c r="W82" i="26"/>
  <c r="X82" i="26" s="1"/>
  <c r="Y83" i="26"/>
  <c r="AC83" i="26"/>
  <c r="W83" i="26"/>
  <c r="Y84" i="26"/>
  <c r="AC84" i="26"/>
  <c r="W84" i="26"/>
  <c r="Y85" i="26"/>
  <c r="AC85" i="26"/>
  <c r="W85" i="26"/>
  <c r="Y86" i="26"/>
  <c r="AC86" i="26"/>
  <c r="W86" i="26"/>
  <c r="Y87" i="26"/>
  <c r="AC87" i="26"/>
  <c r="W87" i="26"/>
  <c r="Y88" i="26"/>
  <c r="AC88" i="26"/>
  <c r="W88" i="26"/>
  <c r="Y89" i="26"/>
  <c r="AC89" i="26"/>
  <c r="W89" i="26"/>
  <c r="Y90" i="26"/>
  <c r="AC90" i="26"/>
  <c r="W90" i="26"/>
  <c r="Y91" i="26"/>
  <c r="AC91" i="26"/>
  <c r="W91" i="26"/>
  <c r="Y92" i="26"/>
  <c r="AC92" i="26"/>
  <c r="W92" i="26"/>
  <c r="Y93" i="26"/>
  <c r="AC93" i="26"/>
  <c r="W93" i="26"/>
  <c r="Y94" i="26"/>
  <c r="AC94" i="26"/>
  <c r="W94" i="26"/>
  <c r="Y95" i="26"/>
  <c r="AC95" i="26"/>
  <c r="W95" i="26"/>
  <c r="Y96" i="26"/>
  <c r="AC96" i="26"/>
  <c r="W96" i="26"/>
  <c r="Y97" i="26"/>
  <c r="AC97" i="26"/>
  <c r="W97" i="26"/>
  <c r="Y98" i="26"/>
  <c r="AC98" i="26"/>
  <c r="W98" i="26"/>
  <c r="Y99" i="26"/>
  <c r="AC99" i="26"/>
  <c r="W99" i="26"/>
  <c r="Y100" i="26"/>
  <c r="AC100" i="26"/>
  <c r="W100" i="26"/>
  <c r="Y101" i="26"/>
  <c r="AC101" i="26"/>
  <c r="W101" i="26"/>
  <c r="Y25" i="26"/>
  <c r="AC25" i="26"/>
  <c r="W25" i="26"/>
  <c r="Y26" i="26"/>
  <c r="AC26" i="26"/>
  <c r="AD23" i="26" s="1"/>
  <c r="W26" i="26"/>
  <c r="Y27" i="26"/>
  <c r="AC27" i="26"/>
  <c r="AD64" i="26" s="1"/>
  <c r="W27" i="26"/>
  <c r="Y28" i="26"/>
  <c r="AC28" i="26"/>
  <c r="W28" i="26"/>
  <c r="Y29" i="26"/>
  <c r="AC29" i="26"/>
  <c r="W29" i="26"/>
  <c r="Y30" i="26"/>
  <c r="AC30" i="26"/>
  <c r="W30" i="26"/>
  <c r="Y31" i="26"/>
  <c r="AC31" i="26"/>
  <c r="W31" i="26"/>
  <c r="Y32" i="26"/>
  <c r="AC32" i="26"/>
  <c r="W32" i="26"/>
  <c r="Y33" i="26"/>
  <c r="AC33" i="26"/>
  <c r="W33" i="26"/>
  <c r="Y34" i="26"/>
  <c r="AC34" i="26"/>
  <c r="W34" i="26"/>
  <c r="Y35" i="26"/>
  <c r="AC35" i="26"/>
  <c r="W35" i="26"/>
  <c r="Y36" i="26"/>
  <c r="AC36" i="26"/>
  <c r="W36" i="26"/>
  <c r="Y37" i="26"/>
  <c r="AC37" i="26"/>
  <c r="W37" i="26"/>
  <c r="Y38" i="26"/>
  <c r="AC38" i="26"/>
  <c r="W38" i="26"/>
  <c r="Y58" i="26"/>
  <c r="AC58" i="26"/>
  <c r="W58" i="26"/>
  <c r="Y62" i="26"/>
  <c r="AC62" i="26"/>
  <c r="W62" i="26"/>
  <c r="Y63" i="26"/>
  <c r="AC63" i="26"/>
  <c r="W63" i="26"/>
  <c r="Y64" i="26"/>
  <c r="AC64" i="26"/>
  <c r="W64" i="26"/>
  <c r="Y65" i="26"/>
  <c r="AC65" i="26"/>
  <c r="W65" i="26"/>
  <c r="Y66" i="26"/>
  <c r="AC66" i="26"/>
  <c r="W66" i="26"/>
  <c r="Y67" i="26"/>
  <c r="AC67" i="26"/>
  <c r="W67" i="26"/>
  <c r="Y68" i="26"/>
  <c r="AC68" i="26"/>
  <c r="W68" i="26"/>
  <c r="Y69" i="26"/>
  <c r="AC69" i="26"/>
  <c r="W69" i="26"/>
  <c r="Y70" i="26"/>
  <c r="AC70" i="26"/>
  <c r="W70" i="26"/>
  <c r="Y71" i="26"/>
  <c r="AC71" i="26"/>
  <c r="W71" i="26"/>
  <c r="Y72" i="26"/>
  <c r="AC72" i="26"/>
  <c r="AD72" i="26" s="1"/>
  <c r="W72" i="26"/>
  <c r="Y73" i="26"/>
  <c r="AC73" i="26"/>
  <c r="W73" i="26"/>
  <c r="Y74" i="26"/>
  <c r="AC74" i="26"/>
  <c r="W74" i="26"/>
  <c r="Y19" i="26"/>
  <c r="Y20" i="26"/>
  <c r="Y24" i="26"/>
  <c r="Y39" i="26"/>
  <c r="Y57" i="26"/>
  <c r="Y59" i="26"/>
  <c r="Y61" i="26"/>
  <c r="Y75" i="26"/>
  <c r="BM75" i="26"/>
  <c r="BO67" i="26" s="1"/>
  <c r="Y18" i="26"/>
  <c r="Y21" i="26"/>
  <c r="Y22" i="26"/>
  <c r="Y23" i="26"/>
  <c r="W18" i="26"/>
  <c r="W19" i="26"/>
  <c r="W20" i="26"/>
  <c r="W21" i="26"/>
  <c r="W22" i="26"/>
  <c r="W23" i="26"/>
  <c r="W24" i="26"/>
  <c r="W39" i="26"/>
  <c r="W57" i="26"/>
  <c r="W59" i="26"/>
  <c r="W61" i="26"/>
  <c r="W75" i="26"/>
  <c r="AH25" i="23"/>
  <c r="AH21" i="23"/>
  <c r="C56" i="22"/>
  <c r="K56" i="22"/>
  <c r="AJ8" i="15"/>
  <c r="Z11" i="15" s="1"/>
  <c r="AA11" i="15" s="1"/>
  <c r="AH24" i="23"/>
  <c r="AH23" i="23"/>
  <c r="AH20" i="23"/>
  <c r="AH22" i="23"/>
  <c r="Z72" i="23"/>
  <c r="J80" i="22"/>
  <c r="AD79" i="22" s="1"/>
  <c r="Z73" i="23"/>
  <c r="N80" i="22"/>
  <c r="AD81" i="22" s="1"/>
  <c r="AA48" i="23"/>
  <c r="AB48" i="23" s="1"/>
  <c r="AC54" i="23"/>
  <c r="AZ36" i="16"/>
  <c r="BI36" i="16"/>
  <c r="AY36" i="16"/>
  <c r="AC78" i="22"/>
  <c r="L80" i="22"/>
  <c r="AD80" i="22" s="1"/>
  <c r="C6" i="23"/>
  <c r="AH19" i="23"/>
  <c r="AH27" i="23"/>
  <c r="AD48" i="23"/>
  <c r="AE48" i="23" s="1"/>
  <c r="AF48" i="23" s="1"/>
  <c r="AG48" i="23" s="1"/>
  <c r="AA49" i="23"/>
  <c r="AB49" i="23" s="1"/>
  <c r="AA50" i="23"/>
  <c r="AB50" i="23" s="1"/>
  <c r="AA51" i="23"/>
  <c r="AB51" i="23" s="1"/>
  <c r="AA52" i="23"/>
  <c r="AB52" i="23" s="1"/>
  <c r="AA53" i="23"/>
  <c r="AB53" i="23" s="1"/>
  <c r="Z62" i="23"/>
  <c r="Z64" i="23"/>
  <c r="Z66" i="23"/>
  <c r="Z68" i="23"/>
  <c r="Z70" i="23"/>
  <c r="BH24" i="16"/>
  <c r="AY24" i="16"/>
  <c r="BA24" i="16" s="1"/>
  <c r="AD49" i="23"/>
  <c r="AE49" i="23" s="1"/>
  <c r="AF49" i="23" s="1"/>
  <c r="AD50" i="23"/>
  <c r="AE50" i="23" s="1"/>
  <c r="AF50" i="23" s="1"/>
  <c r="AD51" i="23"/>
  <c r="AE51" i="23" s="1"/>
  <c r="AF51" i="23" s="1"/>
  <c r="AD52" i="23"/>
  <c r="AE52" i="23" s="1"/>
  <c r="AF52" i="23" s="1"/>
  <c r="AD53" i="23"/>
  <c r="Z63" i="23"/>
  <c r="Z65" i="23"/>
  <c r="Z67" i="23"/>
  <c r="Z69" i="23"/>
  <c r="Z71" i="23"/>
  <c r="AY32" i="16"/>
  <c r="BA32" i="16" s="1"/>
  <c r="BH32" i="16"/>
  <c r="AY33" i="16"/>
  <c r="BA33" i="16" s="1"/>
  <c r="BH33" i="16"/>
  <c r="AY34" i="16"/>
  <c r="BA34" i="16" s="1"/>
  <c r="BH34" i="16"/>
  <c r="AY38" i="16"/>
  <c r="BA38" i="16" s="1"/>
  <c r="BI38" i="16"/>
  <c r="AY39" i="16"/>
  <c r="BA39" i="16" s="1"/>
  <c r="BI39" i="16"/>
  <c r="AY40" i="16"/>
  <c r="BA40" i="16" s="1"/>
  <c r="BI40" i="16"/>
  <c r="AY42" i="16"/>
  <c r="BA42" i="16" s="1"/>
  <c r="BH42" i="16"/>
  <c r="AD99" i="26"/>
  <c r="AD31" i="26" l="1"/>
  <c r="AD91" i="26"/>
  <c r="AD74" i="26"/>
  <c r="BO68" i="26"/>
  <c r="AD95" i="26"/>
  <c r="AD87" i="26"/>
  <c r="X56" i="26"/>
  <c r="X68" i="26"/>
  <c r="AD68" i="26"/>
  <c r="AD76" i="26"/>
  <c r="AD101" i="26"/>
  <c r="AD97" i="26"/>
  <c r="AD93" i="26"/>
  <c r="AD89" i="26"/>
  <c r="AD85" i="26"/>
  <c r="X78" i="26"/>
  <c r="X48" i="26"/>
  <c r="AD73" i="26"/>
  <c r="AD39" i="26"/>
  <c r="AD27" i="26"/>
  <c r="AD80" i="26"/>
  <c r="X64" i="26"/>
  <c r="AD59" i="26"/>
  <c r="AD33" i="26"/>
  <c r="AD29" i="26"/>
  <c r="AD25" i="26"/>
  <c r="AD84" i="26"/>
  <c r="X60" i="26"/>
  <c r="AD70" i="26"/>
  <c r="AD66" i="26"/>
  <c r="AD62" i="26"/>
  <c r="AD34" i="26"/>
  <c r="AD32" i="26"/>
  <c r="AD30" i="26"/>
  <c r="AD28" i="26"/>
  <c r="AD78" i="26"/>
  <c r="X84" i="26"/>
  <c r="X80" i="26"/>
  <c r="X76" i="26"/>
  <c r="X54" i="26"/>
  <c r="X50" i="26"/>
  <c r="X46" i="26"/>
  <c r="X42" i="26"/>
  <c r="X52" i="26"/>
  <c r="X44" i="26"/>
  <c r="AD100" i="26"/>
  <c r="AD98" i="26"/>
  <c r="AD96" i="26"/>
  <c r="AD94" i="26"/>
  <c r="AD92" i="26"/>
  <c r="AD90" i="26"/>
  <c r="AD88" i="26"/>
  <c r="AD86" i="26"/>
  <c r="AD57" i="26"/>
  <c r="AD26" i="26"/>
  <c r="AD24" i="26"/>
  <c r="AD22" i="26"/>
  <c r="AD82" i="26"/>
  <c r="X70" i="26"/>
  <c r="X66" i="26"/>
  <c r="X62" i="26"/>
  <c r="X37" i="26"/>
  <c r="X40" i="26"/>
  <c r="X35" i="26"/>
  <c r="X19" i="26"/>
  <c r="X58" i="26"/>
  <c r="X38" i="26"/>
  <c r="X36" i="26"/>
  <c r="AD21" i="26"/>
  <c r="X55" i="26"/>
  <c r="X53" i="26"/>
  <c r="X51" i="26"/>
  <c r="X49" i="26"/>
  <c r="X47" i="26"/>
  <c r="X45" i="26"/>
  <c r="X43" i="26"/>
  <c r="X41" i="26"/>
  <c r="AB11" i="15"/>
  <c r="X21" i="26"/>
  <c r="AC82" i="22"/>
  <c r="BM38" i="26"/>
  <c r="X61" i="26"/>
  <c r="X57" i="26"/>
  <c r="X24" i="26"/>
  <c r="X22" i="26"/>
  <c r="X20" i="26"/>
  <c r="X73" i="26"/>
  <c r="X71" i="26"/>
  <c r="X69" i="26"/>
  <c r="X67" i="26"/>
  <c r="X65" i="26"/>
  <c r="X63" i="26"/>
  <c r="AD38" i="26"/>
  <c r="AD36" i="26"/>
  <c r="X33" i="26"/>
  <c r="X31" i="26"/>
  <c r="X29" i="26"/>
  <c r="X27" i="26"/>
  <c r="AD19" i="26"/>
  <c r="X25" i="26"/>
  <c r="X100" i="26"/>
  <c r="X98" i="26"/>
  <c r="X96" i="26"/>
  <c r="X94" i="26"/>
  <c r="X92" i="26"/>
  <c r="X90" i="26"/>
  <c r="X88" i="26"/>
  <c r="X86" i="26"/>
  <c r="AD83" i="26"/>
  <c r="AD81" i="26"/>
  <c r="AD79" i="26"/>
  <c r="AD77" i="26"/>
  <c r="AD60" i="26"/>
  <c r="AD55" i="26"/>
  <c r="AD53" i="26"/>
  <c r="AD51" i="26"/>
  <c r="AD49" i="26"/>
  <c r="AD47" i="26"/>
  <c r="AD45" i="26"/>
  <c r="AD43" i="26"/>
  <c r="AD41" i="26"/>
  <c r="X72" i="26"/>
  <c r="AD20" i="26"/>
  <c r="X101" i="26"/>
  <c r="X99" i="26"/>
  <c r="X97" i="26"/>
  <c r="X95" i="26"/>
  <c r="X93" i="26"/>
  <c r="X91" i="26"/>
  <c r="X89" i="26"/>
  <c r="X87" i="26"/>
  <c r="X85" i="26"/>
  <c r="X74" i="26"/>
  <c r="AD65" i="26"/>
  <c r="X59" i="26"/>
  <c r="X39" i="26"/>
  <c r="X34" i="26"/>
  <c r="X32" i="26"/>
  <c r="X30" i="26"/>
  <c r="X28" i="26"/>
  <c r="X26" i="26"/>
  <c r="X23" i="26"/>
  <c r="X83" i="26"/>
  <c r="X81" i="26"/>
  <c r="X79" i="26"/>
  <c r="X77" i="26"/>
  <c r="X75" i="26"/>
  <c r="AD71" i="26"/>
  <c r="AD69" i="26"/>
  <c r="AD67" i="26"/>
  <c r="AD63" i="26"/>
  <c r="AD61" i="26"/>
  <c r="AD58" i="26"/>
  <c r="AD56" i="26"/>
  <c r="AD54" i="26"/>
  <c r="AD52" i="26"/>
  <c r="AD50" i="26"/>
  <c r="AD48" i="26"/>
  <c r="AD46" i="26"/>
  <c r="AD44" i="26"/>
  <c r="AD42" i="26"/>
  <c r="AD40" i="26"/>
  <c r="AD37" i="26"/>
  <c r="AD35" i="26"/>
  <c r="AD18" i="26"/>
  <c r="AD75" i="26"/>
  <c r="X18" i="26"/>
  <c r="BM74" i="26"/>
  <c r="I23" i="15"/>
  <c r="J84" i="23"/>
  <c r="AH51" i="23" s="1"/>
  <c r="AI51" i="23" s="1"/>
  <c r="AG51" i="23"/>
  <c r="D84" i="23"/>
  <c r="AH49" i="23" s="1"/>
  <c r="AI49" i="23" s="1"/>
  <c r="AG49" i="23"/>
  <c r="L84" i="23"/>
  <c r="AH52" i="23" s="1"/>
  <c r="AI52" i="23" s="1"/>
  <c r="AG52" i="23"/>
  <c r="F84" i="23"/>
  <c r="AH50" i="23" s="1"/>
  <c r="AI50" i="23" s="1"/>
  <c r="AG50" i="23"/>
  <c r="AH28" i="23"/>
  <c r="BI56" i="16"/>
  <c r="C24" i="15"/>
  <c r="C23" i="15"/>
  <c r="U8" i="23"/>
  <c r="C57" i="23" s="1"/>
  <c r="U8" i="22"/>
  <c r="C55" i="22" s="1"/>
  <c r="BA36" i="16"/>
  <c r="BP67" i="26" l="1"/>
  <c r="D10" i="23" l="1"/>
  <c r="D42" i="22" l="1"/>
  <c r="D48" i="23"/>
  <c r="D44" i="23"/>
  <c r="D47" i="23"/>
  <c r="D46" i="23"/>
  <c r="D45" i="22"/>
  <c r="D41" i="23"/>
  <c r="D43" i="22"/>
  <c r="D10" i="22"/>
  <c r="D42" i="23"/>
  <c r="D40" i="23"/>
  <c r="D45" i="23"/>
  <c r="D43" i="23"/>
  <c r="D38" i="22" l="1"/>
  <c r="AG21" i="16"/>
  <c r="AH21" i="16" s="1"/>
  <c r="AG17" i="16"/>
  <c r="AH17" i="16" s="1"/>
  <c r="AG20" i="16"/>
  <c r="AH20" i="16" s="1"/>
  <c r="AG19" i="16"/>
  <c r="AH19" i="16" s="1"/>
  <c r="AG22" i="16"/>
  <c r="AH22" i="16" s="1"/>
  <c r="AG18" i="16"/>
  <c r="AH18" i="16" s="1"/>
  <c r="AG40" i="16"/>
  <c r="AH40" i="16" s="1"/>
  <c r="AG38" i="16"/>
  <c r="AH38" i="16" s="1"/>
  <c r="AG39" i="16"/>
  <c r="AH39" i="16" s="1"/>
  <c r="AG42" i="16"/>
  <c r="AH42" i="16" s="1"/>
  <c r="K22" i="16" s="1"/>
  <c r="AG24" i="16"/>
  <c r="AH24" i="16" s="1"/>
  <c r="K19" i="16" s="1"/>
  <c r="AG49" i="16"/>
  <c r="AH49" i="16" s="1"/>
  <c r="AG45" i="16"/>
  <c r="AH45" i="16" s="1"/>
  <c r="AG50" i="16"/>
  <c r="AH50" i="16" s="1"/>
  <c r="AG51" i="16"/>
  <c r="AH51" i="16" s="1"/>
  <c r="AG48" i="16"/>
  <c r="AH48" i="16" s="1"/>
  <c r="AG46" i="16"/>
  <c r="AH46" i="16" s="1"/>
  <c r="AG44" i="16"/>
  <c r="AH44" i="16" s="1"/>
  <c r="AG52" i="16"/>
  <c r="AH52" i="16" s="1"/>
  <c r="AG53" i="16"/>
  <c r="AH53" i="16" s="1"/>
  <c r="AG47" i="16"/>
  <c r="AH47" i="16" s="1"/>
  <c r="AG54" i="16"/>
  <c r="AH54" i="16" s="1"/>
  <c r="D49" i="23"/>
  <c r="D41" i="22"/>
  <c r="D40" i="22"/>
  <c r="AG32" i="16"/>
  <c r="AH32" i="16" s="1"/>
  <c r="AG34" i="16"/>
  <c r="AH34" i="16" s="1"/>
  <c r="AG33" i="16"/>
  <c r="AH33" i="16" s="1"/>
  <c r="AG36" i="16"/>
  <c r="AH36" i="16" s="1"/>
  <c r="K20" i="16" s="1"/>
  <c r="AG15" i="16"/>
  <c r="AH15" i="16" s="1"/>
  <c r="AG30" i="16"/>
  <c r="AH30" i="16" s="1"/>
  <c r="AG29" i="16"/>
  <c r="AH29" i="16" s="1"/>
  <c r="AG28" i="16"/>
  <c r="AH28" i="16" s="1"/>
  <c r="AG26" i="16"/>
  <c r="AH26" i="16" s="1"/>
  <c r="D39" i="22"/>
  <c r="D44" i="22"/>
  <c r="D46" i="22"/>
  <c r="D47" i="22" l="1"/>
  <c r="X16" i="23"/>
  <c r="BM34" i="26"/>
  <c r="G15" i="16"/>
  <c r="AG14" i="16"/>
  <c r="AG35" i="16"/>
  <c r="G20" i="16"/>
  <c r="AG43" i="16"/>
  <c r="G23" i="16"/>
  <c r="AG41" i="16"/>
  <c r="G22" i="16"/>
  <c r="K18" i="16"/>
  <c r="AG25" i="16"/>
  <c r="G17" i="16"/>
  <c r="AH56" i="16"/>
  <c r="Y30" i="16" s="1"/>
  <c r="K15" i="16"/>
  <c r="AG31" i="16"/>
  <c r="G18" i="16"/>
  <c r="AG23" i="16"/>
  <c r="G19" i="16"/>
  <c r="AG37" i="16"/>
  <c r="G21" i="16"/>
  <c r="AG16" i="16"/>
  <c r="G16" i="16"/>
  <c r="K17" i="16"/>
  <c r="K21" i="16"/>
  <c r="K16" i="16"/>
  <c r="AD25" i="23" l="1"/>
  <c r="AD21" i="23"/>
  <c r="AD23" i="23"/>
  <c r="BN64" i="26"/>
  <c r="AL16" i="16"/>
  <c r="AL23" i="16"/>
  <c r="AL41" i="16"/>
  <c r="AL43" i="16"/>
  <c r="G24" i="16"/>
  <c r="AL14" i="16"/>
  <c r="AL37" i="16"/>
  <c r="AL31" i="16"/>
  <c r="AL25" i="16"/>
  <c r="AL35" i="16"/>
  <c r="BO28" i="26"/>
  <c r="BP28" i="26" s="1"/>
  <c r="BM35" i="26"/>
  <c r="T19" i="25"/>
  <c r="BO27" i="26"/>
  <c r="BP27" i="26" s="1"/>
  <c r="T18" i="25"/>
  <c r="K24" i="16"/>
  <c r="AD22" i="23" l="1"/>
  <c r="AD20" i="23"/>
  <c r="AD24" i="23"/>
  <c r="AD27" i="23"/>
  <c r="AD19" i="23"/>
  <c r="BN38" i="26"/>
  <c r="BQ27" i="26"/>
  <c r="AL42" i="16"/>
  <c r="AL24" i="16"/>
  <c r="AL56" i="16"/>
  <c r="BQ28" i="26"/>
  <c r="BN39" i="26"/>
  <c r="BR28" i="26"/>
  <c r="AL36" i="16"/>
  <c r="AL15" i="16"/>
  <c r="BO65" i="26"/>
  <c r="BO64" i="26"/>
  <c r="AD49" i="16" l="1"/>
  <c r="D25" i="22"/>
  <c r="AD76" i="22" s="1"/>
  <c r="X44" i="23"/>
  <c r="AD28" i="23"/>
  <c r="D27" i="23"/>
  <c r="AT36" i="16"/>
  <c r="AS36" i="16"/>
  <c r="AT42" i="16"/>
  <c r="AS42" i="16"/>
  <c r="AP18" i="26"/>
  <c r="AQ18" i="26" s="1"/>
  <c r="AR18" i="26" s="1"/>
  <c r="AP20" i="26"/>
  <c r="AQ20" i="26" s="1"/>
  <c r="AP22" i="26"/>
  <c r="AQ22" i="26" s="1"/>
  <c r="AP24" i="26"/>
  <c r="AQ24" i="26" s="1"/>
  <c r="AP26" i="26"/>
  <c r="AQ26" i="26" s="1"/>
  <c r="AR26" i="26" s="1"/>
  <c r="AP28" i="26"/>
  <c r="AQ28" i="26" s="1"/>
  <c r="AP30" i="26"/>
  <c r="AQ30" i="26" s="1"/>
  <c r="AP32" i="26"/>
  <c r="AQ32" i="26" s="1"/>
  <c r="AP34" i="26"/>
  <c r="AQ34" i="26" s="1"/>
  <c r="AR34" i="26" s="1"/>
  <c r="AP36" i="26"/>
  <c r="AQ36" i="26" s="1"/>
  <c r="AP38" i="26"/>
  <c r="AQ38" i="26" s="1"/>
  <c r="AP41" i="26"/>
  <c r="AQ41" i="26" s="1"/>
  <c r="AP43" i="26"/>
  <c r="AQ43" i="26" s="1"/>
  <c r="AR43" i="26" s="1"/>
  <c r="AP45" i="26"/>
  <c r="AQ45" i="26" s="1"/>
  <c r="AP47" i="26"/>
  <c r="AQ47" i="26" s="1"/>
  <c r="AP49" i="26"/>
  <c r="AQ49" i="26" s="1"/>
  <c r="AP51" i="26"/>
  <c r="AQ51" i="26" s="1"/>
  <c r="AR51" i="26" s="1"/>
  <c r="AP53" i="26"/>
  <c r="AQ53" i="26" s="1"/>
  <c r="AP55" i="26"/>
  <c r="AQ55" i="26" s="1"/>
  <c r="AP58" i="26"/>
  <c r="AQ58" i="26" s="1"/>
  <c r="AP39" i="26"/>
  <c r="AQ39" i="26" s="1"/>
  <c r="AR39" i="26" s="1"/>
  <c r="AP59" i="26"/>
  <c r="AQ59" i="26" s="1"/>
  <c r="AP63" i="26"/>
  <c r="AQ63" i="26" s="1"/>
  <c r="AP77" i="26"/>
  <c r="AQ77" i="26" s="1"/>
  <c r="AP81" i="26"/>
  <c r="AQ81" i="26" s="1"/>
  <c r="AR81" i="26" s="1"/>
  <c r="AP84" i="26"/>
  <c r="AQ84" i="26" s="1"/>
  <c r="AP86" i="26"/>
  <c r="AQ86" i="26" s="1"/>
  <c r="AP88" i="26"/>
  <c r="AQ88" i="26" s="1"/>
  <c r="AP90" i="26"/>
  <c r="AQ90" i="26" s="1"/>
  <c r="AR90" i="26" s="1"/>
  <c r="AP92" i="26"/>
  <c r="AQ92" i="26" s="1"/>
  <c r="AP94" i="26"/>
  <c r="AQ94" i="26" s="1"/>
  <c r="AP96" i="26"/>
  <c r="AQ96" i="26" s="1"/>
  <c r="AP98" i="26"/>
  <c r="AQ98" i="26" s="1"/>
  <c r="AR98" i="26" s="1"/>
  <c r="AP100" i="26"/>
  <c r="AQ100" i="26" s="1"/>
  <c r="AP61" i="26"/>
  <c r="AQ61" i="26" s="1"/>
  <c r="AP71" i="26"/>
  <c r="AQ71" i="26" s="1"/>
  <c r="AP78" i="26"/>
  <c r="AQ78" i="26" s="1"/>
  <c r="AR78" i="26" s="1"/>
  <c r="AP82" i="26"/>
  <c r="AQ82" i="26" s="1"/>
  <c r="AP19" i="26"/>
  <c r="AQ19" i="26" s="1"/>
  <c r="AP21" i="26"/>
  <c r="AQ21" i="26" s="1"/>
  <c r="AP23" i="26"/>
  <c r="AQ23" i="26" s="1"/>
  <c r="AR23" i="26" s="1"/>
  <c r="AP25" i="26"/>
  <c r="AQ25" i="26" s="1"/>
  <c r="AP27" i="26"/>
  <c r="AQ27" i="26" s="1"/>
  <c r="AP29" i="26"/>
  <c r="AQ29" i="26" s="1"/>
  <c r="AP31" i="26"/>
  <c r="AQ31" i="26" s="1"/>
  <c r="AR31" i="26" s="1"/>
  <c r="AP33" i="26"/>
  <c r="AQ33" i="26" s="1"/>
  <c r="AP35" i="26"/>
  <c r="AQ35" i="26" s="1"/>
  <c r="AP37" i="26"/>
  <c r="AQ37" i="26" s="1"/>
  <c r="AP40" i="26"/>
  <c r="AQ40" i="26" s="1"/>
  <c r="AR40" i="26" s="1"/>
  <c r="AP42" i="26"/>
  <c r="AQ42" i="26" s="1"/>
  <c r="AP44" i="26"/>
  <c r="AQ44" i="26" s="1"/>
  <c r="AP46" i="26"/>
  <c r="AQ46" i="26" s="1"/>
  <c r="AP48" i="26"/>
  <c r="AQ48" i="26" s="1"/>
  <c r="AR48" i="26" s="1"/>
  <c r="AP50" i="26"/>
  <c r="AQ50" i="26" s="1"/>
  <c r="AP52" i="26"/>
  <c r="AQ52" i="26" s="1"/>
  <c r="AP54" i="26"/>
  <c r="AQ54" i="26" s="1"/>
  <c r="AP56" i="26"/>
  <c r="AQ56" i="26" s="1"/>
  <c r="AR56" i="26" s="1"/>
  <c r="AP60" i="26"/>
  <c r="AQ60" i="26" s="1"/>
  <c r="AP57" i="26"/>
  <c r="AQ57" i="26" s="1"/>
  <c r="AP65" i="26"/>
  <c r="AQ65" i="26" s="1"/>
  <c r="AP67" i="26"/>
  <c r="AQ67" i="26" s="1"/>
  <c r="AR67" i="26" s="1"/>
  <c r="AP70" i="26"/>
  <c r="AQ70" i="26" s="1"/>
  <c r="AP72" i="26"/>
  <c r="AQ72" i="26" s="1"/>
  <c r="AP73" i="26"/>
  <c r="AQ73" i="26" s="1"/>
  <c r="AP79" i="26"/>
  <c r="AQ79" i="26" s="1"/>
  <c r="AR79" i="26" s="1"/>
  <c r="AP83" i="26"/>
  <c r="AQ83" i="26" s="1"/>
  <c r="AP85" i="26"/>
  <c r="AQ85" i="26" s="1"/>
  <c r="AP87" i="26"/>
  <c r="AQ87" i="26" s="1"/>
  <c r="AP89" i="26"/>
  <c r="AQ89" i="26" s="1"/>
  <c r="AR89" i="26" s="1"/>
  <c r="AP91" i="26"/>
  <c r="AQ91" i="26" s="1"/>
  <c r="AP93" i="26"/>
  <c r="AQ93" i="26" s="1"/>
  <c r="AP95" i="26"/>
  <c r="AQ95" i="26" s="1"/>
  <c r="AP97" i="26"/>
  <c r="AQ97" i="26" s="1"/>
  <c r="AR97" i="26" s="1"/>
  <c r="AP99" i="26"/>
  <c r="AQ99" i="26" s="1"/>
  <c r="AP101" i="26"/>
  <c r="AQ101" i="26" s="1"/>
  <c r="AP62" i="26"/>
  <c r="AQ62" i="26" s="1"/>
  <c r="AP64" i="26"/>
  <c r="AQ64" i="26" s="1"/>
  <c r="AR64" i="26" s="1"/>
  <c r="AP66" i="26"/>
  <c r="AQ66" i="26" s="1"/>
  <c r="AP68" i="26"/>
  <c r="AQ68" i="26" s="1"/>
  <c r="AP69" i="26"/>
  <c r="AQ69" i="26" s="1"/>
  <c r="AP74" i="26"/>
  <c r="AQ74" i="26" s="1"/>
  <c r="AR74" i="26" s="1"/>
  <c r="AP75" i="26"/>
  <c r="AQ75" i="26" s="1"/>
  <c r="AP76" i="26"/>
  <c r="AQ76" i="26" s="1"/>
  <c r="AP80" i="26"/>
  <c r="AQ80" i="26" s="1"/>
  <c r="AV25" i="16"/>
  <c r="Z19" i="26"/>
  <c r="AA19" i="26" s="1"/>
  <c r="Z21" i="26"/>
  <c r="AA21" i="26" s="1"/>
  <c r="Z23" i="26"/>
  <c r="AA23" i="26" s="1"/>
  <c r="Z25" i="26"/>
  <c r="AA25" i="26" s="1"/>
  <c r="Z27" i="26"/>
  <c r="AA27" i="26" s="1"/>
  <c r="Z29" i="26"/>
  <c r="AA29" i="26" s="1"/>
  <c r="Z31" i="26"/>
  <c r="AA31" i="26" s="1"/>
  <c r="Z33" i="26"/>
  <c r="AA33" i="26" s="1"/>
  <c r="Z35" i="26"/>
  <c r="AA35" i="26" s="1"/>
  <c r="Z37" i="26"/>
  <c r="AA37" i="26" s="1"/>
  <c r="Z40" i="26"/>
  <c r="AA40" i="26" s="1"/>
  <c r="Z42" i="26"/>
  <c r="AA42" i="26" s="1"/>
  <c r="Z44" i="26"/>
  <c r="AA44" i="26" s="1"/>
  <c r="Z46" i="26"/>
  <c r="AA46" i="26" s="1"/>
  <c r="Z48" i="26"/>
  <c r="AA48" i="26" s="1"/>
  <c r="Z50" i="26"/>
  <c r="AA50" i="26" s="1"/>
  <c r="Z52" i="26"/>
  <c r="AA52" i="26" s="1"/>
  <c r="Z54" i="26"/>
  <c r="AA54" i="26" s="1"/>
  <c r="Z56" i="26"/>
  <c r="AA56" i="26" s="1"/>
  <c r="Z60" i="26"/>
  <c r="AA60" i="26" s="1"/>
  <c r="Z57" i="26"/>
  <c r="AA57" i="26" s="1"/>
  <c r="Z61" i="26"/>
  <c r="AA61" i="26" s="1"/>
  <c r="Z66" i="26"/>
  <c r="AA66" i="26" s="1"/>
  <c r="Z68" i="26"/>
  <c r="AA68" i="26" s="1"/>
  <c r="Z71" i="26"/>
  <c r="AA71" i="26" s="1"/>
  <c r="Z74" i="26"/>
  <c r="AA74" i="26" s="1"/>
  <c r="Z76" i="26"/>
  <c r="AA76" i="26" s="1"/>
  <c r="Z80" i="26"/>
  <c r="AA80" i="26" s="1"/>
  <c r="Z84" i="26"/>
  <c r="AA84" i="26" s="1"/>
  <c r="Z85" i="26"/>
  <c r="AA85" i="26" s="1"/>
  <c r="Z87" i="26"/>
  <c r="AA87" i="26" s="1"/>
  <c r="Z89" i="26"/>
  <c r="AA89" i="26" s="1"/>
  <c r="Z91" i="26"/>
  <c r="AA91" i="26" s="1"/>
  <c r="Z93" i="26"/>
  <c r="AA93" i="26" s="1"/>
  <c r="Z95" i="26"/>
  <c r="AA95" i="26" s="1"/>
  <c r="Z97" i="26"/>
  <c r="AA97" i="26" s="1"/>
  <c r="Z99" i="26"/>
  <c r="AA99" i="26" s="1"/>
  <c r="Z101" i="26"/>
  <c r="AA101" i="26" s="1"/>
  <c r="Z63" i="26"/>
  <c r="AA63" i="26" s="1"/>
  <c r="Z65" i="26"/>
  <c r="AA65" i="26" s="1"/>
  <c r="Z67" i="26"/>
  <c r="AA67" i="26" s="1"/>
  <c r="Z70" i="26"/>
  <c r="AA70" i="26" s="1"/>
  <c r="Z72" i="26"/>
  <c r="AA72" i="26" s="1"/>
  <c r="Z77" i="26"/>
  <c r="AA77" i="26" s="1"/>
  <c r="Z81" i="26"/>
  <c r="AA81" i="26" s="1"/>
  <c r="Z18" i="26"/>
  <c r="AA18" i="26" s="1"/>
  <c r="AB18" i="26" s="1"/>
  <c r="Z20" i="26"/>
  <c r="AA20" i="26" s="1"/>
  <c r="Z22" i="26"/>
  <c r="AA22" i="26" s="1"/>
  <c r="AB22" i="26" s="1"/>
  <c r="Z24" i="26"/>
  <c r="AA24" i="26" s="1"/>
  <c r="Z26" i="26"/>
  <c r="AA26" i="26" s="1"/>
  <c r="AB26" i="26" s="1"/>
  <c r="Z28" i="26"/>
  <c r="AA28" i="26" s="1"/>
  <c r="Z30" i="26"/>
  <c r="AA30" i="26" s="1"/>
  <c r="AB30" i="26" s="1"/>
  <c r="Z32" i="26"/>
  <c r="AA32" i="26" s="1"/>
  <c r="Z34" i="26"/>
  <c r="AA34" i="26" s="1"/>
  <c r="AB34" i="26" s="1"/>
  <c r="Z36" i="26"/>
  <c r="AA36" i="26" s="1"/>
  <c r="Z38" i="26"/>
  <c r="AA38" i="26" s="1"/>
  <c r="AB38" i="26" s="1"/>
  <c r="Z41" i="26"/>
  <c r="AA41" i="26" s="1"/>
  <c r="Z43" i="26"/>
  <c r="AA43" i="26" s="1"/>
  <c r="AB43" i="26" s="1"/>
  <c r="Z45" i="26"/>
  <c r="AA45" i="26" s="1"/>
  <c r="Z47" i="26"/>
  <c r="AA47" i="26" s="1"/>
  <c r="AB47" i="26" s="1"/>
  <c r="Z49" i="26"/>
  <c r="AA49" i="26" s="1"/>
  <c r="Z51" i="26"/>
  <c r="AA51" i="26" s="1"/>
  <c r="AB51" i="26" s="1"/>
  <c r="Z53" i="26"/>
  <c r="AA53" i="26" s="1"/>
  <c r="Z55" i="26"/>
  <c r="AA55" i="26" s="1"/>
  <c r="AB55" i="26" s="1"/>
  <c r="Z58" i="26"/>
  <c r="AA58" i="26" s="1"/>
  <c r="Z39" i="26"/>
  <c r="AA39" i="26" s="1"/>
  <c r="AB39" i="26" s="1"/>
  <c r="Z59" i="26"/>
  <c r="AA59" i="26" s="1"/>
  <c r="Z62" i="26"/>
  <c r="AA62" i="26" s="1"/>
  <c r="AB62" i="26" s="1"/>
  <c r="Z64" i="26"/>
  <c r="AA64" i="26" s="1"/>
  <c r="Z69" i="26"/>
  <c r="AA69" i="26" s="1"/>
  <c r="AB69" i="26" s="1"/>
  <c r="Z75" i="26"/>
  <c r="AA75" i="26" s="1"/>
  <c r="Z78" i="26"/>
  <c r="AA78" i="26" s="1"/>
  <c r="AB78" i="26" s="1"/>
  <c r="Z82" i="26"/>
  <c r="AA82" i="26" s="1"/>
  <c r="Z86" i="26"/>
  <c r="AA86" i="26" s="1"/>
  <c r="AB86" i="26" s="1"/>
  <c r="Z88" i="26"/>
  <c r="AA88" i="26" s="1"/>
  <c r="Z90" i="26"/>
  <c r="AA90" i="26" s="1"/>
  <c r="AB90" i="26" s="1"/>
  <c r="Z92" i="26"/>
  <c r="AA92" i="26" s="1"/>
  <c r="Z94" i="26"/>
  <c r="AA94" i="26" s="1"/>
  <c r="AB94" i="26" s="1"/>
  <c r="Z96" i="26"/>
  <c r="AA96" i="26" s="1"/>
  <c r="Z98" i="26"/>
  <c r="AA98" i="26" s="1"/>
  <c r="AB98" i="26" s="1"/>
  <c r="Z100" i="26"/>
  <c r="AA100" i="26" s="1"/>
  <c r="Z73" i="26"/>
  <c r="AA73" i="26" s="1"/>
  <c r="AB73" i="26" s="1"/>
  <c r="Z79" i="26"/>
  <c r="AA79" i="26" s="1"/>
  <c r="Z83" i="26"/>
  <c r="AA83" i="26" s="1"/>
  <c r="AB83" i="26" s="1"/>
  <c r="AS15" i="16"/>
  <c r="AT15" i="16"/>
  <c r="T43" i="22"/>
  <c r="T38" i="22"/>
  <c r="T45" i="22"/>
  <c r="T42" i="22"/>
  <c r="BD19" i="26"/>
  <c r="BE19" i="26" s="1"/>
  <c r="BD21" i="26"/>
  <c r="BE21" i="26" s="1"/>
  <c r="BD23" i="26"/>
  <c r="BE23" i="26" s="1"/>
  <c r="BD25" i="26"/>
  <c r="BE25" i="26" s="1"/>
  <c r="BD27" i="26"/>
  <c r="BE27" i="26" s="1"/>
  <c r="BD29" i="26"/>
  <c r="BE29" i="26" s="1"/>
  <c r="BD31" i="26"/>
  <c r="BE31" i="26" s="1"/>
  <c r="BD33" i="26"/>
  <c r="BE33" i="26" s="1"/>
  <c r="BD35" i="26"/>
  <c r="BE35" i="26" s="1"/>
  <c r="BD37" i="26"/>
  <c r="BE37" i="26" s="1"/>
  <c r="BD40" i="26"/>
  <c r="BE40" i="26" s="1"/>
  <c r="BD42" i="26"/>
  <c r="BE42" i="26" s="1"/>
  <c r="BD44" i="26"/>
  <c r="BE44" i="26" s="1"/>
  <c r="BD46" i="26"/>
  <c r="BE46" i="26" s="1"/>
  <c r="BD48" i="26"/>
  <c r="BE48" i="26" s="1"/>
  <c r="BD50" i="26"/>
  <c r="BE50" i="26" s="1"/>
  <c r="BD52" i="26"/>
  <c r="BE52" i="26" s="1"/>
  <c r="BD54" i="26"/>
  <c r="BE54" i="26" s="1"/>
  <c r="BD56" i="26"/>
  <c r="BE56" i="26" s="1"/>
  <c r="BD60" i="26"/>
  <c r="BE60" i="26" s="1"/>
  <c r="BD57" i="26"/>
  <c r="BE57" i="26" s="1"/>
  <c r="BD61" i="26"/>
  <c r="BE61" i="26" s="1"/>
  <c r="BD66" i="26"/>
  <c r="BE66" i="26" s="1"/>
  <c r="BD68" i="26"/>
  <c r="BE68" i="26" s="1"/>
  <c r="BD71" i="26"/>
  <c r="BE71" i="26" s="1"/>
  <c r="BD74" i="26"/>
  <c r="BE74" i="26" s="1"/>
  <c r="BD76" i="26"/>
  <c r="BE76" i="26" s="1"/>
  <c r="BD80" i="26"/>
  <c r="BE80" i="26" s="1"/>
  <c r="BD85" i="26"/>
  <c r="BE85" i="26" s="1"/>
  <c r="BD87" i="26"/>
  <c r="BE87" i="26" s="1"/>
  <c r="BD89" i="26"/>
  <c r="BE89" i="26" s="1"/>
  <c r="BD91" i="26"/>
  <c r="BE91" i="26" s="1"/>
  <c r="BD93" i="26"/>
  <c r="BE93" i="26" s="1"/>
  <c r="BD95" i="26"/>
  <c r="BE95" i="26" s="1"/>
  <c r="BD97" i="26"/>
  <c r="BE97" i="26" s="1"/>
  <c r="BD99" i="26"/>
  <c r="BE99" i="26" s="1"/>
  <c r="BD101" i="26"/>
  <c r="BE101" i="26" s="1"/>
  <c r="BD63" i="26"/>
  <c r="BE63" i="26" s="1"/>
  <c r="BD65" i="26"/>
  <c r="BE65" i="26" s="1"/>
  <c r="BD67" i="26"/>
  <c r="BE67" i="26" s="1"/>
  <c r="BD70" i="26"/>
  <c r="BE70" i="26" s="1"/>
  <c r="BD72" i="26"/>
  <c r="BE72" i="26" s="1"/>
  <c r="BD77" i="26"/>
  <c r="BE77" i="26" s="1"/>
  <c r="BD81" i="26"/>
  <c r="BE81" i="26" s="1"/>
  <c r="BD18" i="26"/>
  <c r="BE18" i="26" s="1"/>
  <c r="BD20" i="26"/>
  <c r="BE20" i="26" s="1"/>
  <c r="BD22" i="26"/>
  <c r="BE22" i="26" s="1"/>
  <c r="BD24" i="26"/>
  <c r="BE24" i="26" s="1"/>
  <c r="BD26" i="26"/>
  <c r="BE26" i="26" s="1"/>
  <c r="BD28" i="26"/>
  <c r="BE28" i="26" s="1"/>
  <c r="BD30" i="26"/>
  <c r="BE30" i="26" s="1"/>
  <c r="BD32" i="26"/>
  <c r="BE32" i="26" s="1"/>
  <c r="BD34" i="26"/>
  <c r="BE34" i="26" s="1"/>
  <c r="BD36" i="26"/>
  <c r="BE36" i="26" s="1"/>
  <c r="BD38" i="26"/>
  <c r="BE38" i="26" s="1"/>
  <c r="BD41" i="26"/>
  <c r="BE41" i="26" s="1"/>
  <c r="BD43" i="26"/>
  <c r="BE43" i="26" s="1"/>
  <c r="BD45" i="26"/>
  <c r="BE45" i="26" s="1"/>
  <c r="BD47" i="26"/>
  <c r="BE47" i="26" s="1"/>
  <c r="BD49" i="26"/>
  <c r="BE49" i="26" s="1"/>
  <c r="BD51" i="26"/>
  <c r="BE51" i="26" s="1"/>
  <c r="BD53" i="26"/>
  <c r="BE53" i="26" s="1"/>
  <c r="BD55" i="26"/>
  <c r="BE55" i="26" s="1"/>
  <c r="BD58" i="26"/>
  <c r="BE58" i="26" s="1"/>
  <c r="BD39" i="26"/>
  <c r="BE39" i="26" s="1"/>
  <c r="BD59" i="26"/>
  <c r="BE59" i="26" s="1"/>
  <c r="BD62" i="26"/>
  <c r="BE62" i="26" s="1"/>
  <c r="BD64" i="26"/>
  <c r="BE64" i="26" s="1"/>
  <c r="BD69" i="26"/>
  <c r="BE69" i="26" s="1"/>
  <c r="BD75" i="26"/>
  <c r="BE75" i="26" s="1"/>
  <c r="BD78" i="26"/>
  <c r="BE78" i="26" s="1"/>
  <c r="BD82" i="26"/>
  <c r="BE82" i="26" s="1"/>
  <c r="BD84" i="26"/>
  <c r="BE84" i="26" s="1"/>
  <c r="BD86" i="26"/>
  <c r="BE86" i="26" s="1"/>
  <c r="BD88" i="26"/>
  <c r="BE88" i="26" s="1"/>
  <c r="BD90" i="26"/>
  <c r="BE90" i="26" s="1"/>
  <c r="BD92" i="26"/>
  <c r="BE92" i="26" s="1"/>
  <c r="BD94" i="26"/>
  <c r="BE94" i="26" s="1"/>
  <c r="BD96" i="26"/>
  <c r="BE96" i="26" s="1"/>
  <c r="BD98" i="26"/>
  <c r="BE98" i="26" s="1"/>
  <c r="BD100" i="26"/>
  <c r="BE100" i="26" s="1"/>
  <c r="BD73" i="26"/>
  <c r="BE73" i="26" s="1"/>
  <c r="BD79" i="26"/>
  <c r="BE79" i="26" s="1"/>
  <c r="BD83" i="26"/>
  <c r="BE83" i="26" s="1"/>
  <c r="AS24" i="16"/>
  <c r="AT24" i="16"/>
  <c r="AV16" i="16"/>
  <c r="AR76" i="26" l="1"/>
  <c r="AR68" i="26"/>
  <c r="AR101" i="26"/>
  <c r="AR93" i="26"/>
  <c r="AR85" i="26"/>
  <c r="AR72" i="26"/>
  <c r="AR57" i="26"/>
  <c r="AR52" i="26"/>
  <c r="AR44" i="26"/>
  <c r="AR35" i="26"/>
  <c r="AR27" i="26"/>
  <c r="AR19" i="26"/>
  <c r="AR61" i="26"/>
  <c r="AR94" i="26"/>
  <c r="AR86" i="26"/>
  <c r="AR63" i="26"/>
  <c r="AR55" i="26"/>
  <c r="AR47" i="26"/>
  <c r="AR38" i="26"/>
  <c r="AR30" i="26"/>
  <c r="AR22" i="26"/>
  <c r="AD47" i="16"/>
  <c r="AD34" i="16"/>
  <c r="AD19" i="16"/>
  <c r="AD39" i="16"/>
  <c r="AD50" i="16"/>
  <c r="AD46" i="16"/>
  <c r="AD45" i="16"/>
  <c r="AD51" i="16"/>
  <c r="AD29" i="16"/>
  <c r="AD44" i="16"/>
  <c r="AD32" i="16"/>
  <c r="AD21" i="16"/>
  <c r="AD20" i="16"/>
  <c r="AD40" i="16"/>
  <c r="AD30" i="16"/>
  <c r="AD52" i="16"/>
  <c r="AD53" i="16"/>
  <c r="AD17" i="16"/>
  <c r="AD18" i="16"/>
  <c r="AD28" i="16"/>
  <c r="AD48" i="16"/>
  <c r="AF49" i="16"/>
  <c r="AE49" i="16"/>
  <c r="T46" i="22"/>
  <c r="T41" i="22"/>
  <c r="AB79" i="26"/>
  <c r="AB100" i="26"/>
  <c r="AB96" i="26"/>
  <c r="AB92" i="26"/>
  <c r="AB88" i="26"/>
  <c r="AB82" i="26"/>
  <c r="AB75" i="26"/>
  <c r="AB64" i="26"/>
  <c r="AB59" i="26"/>
  <c r="AB58" i="26"/>
  <c r="AB53" i="26"/>
  <c r="AB49" i="26"/>
  <c r="AB45" i="26"/>
  <c r="AR80" i="26"/>
  <c r="AR75" i="26"/>
  <c r="AR69" i="26"/>
  <c r="AR66" i="26"/>
  <c r="AR62" i="26"/>
  <c r="AR99" i="26"/>
  <c r="AR95" i="26"/>
  <c r="AR91" i="26"/>
  <c r="AR87" i="26"/>
  <c r="AR83" i="26"/>
  <c r="AR73" i="26"/>
  <c r="AR70" i="26"/>
  <c r="AR65" i="26"/>
  <c r="AR60" i="26"/>
  <c r="AR54" i="26"/>
  <c r="AR50" i="26"/>
  <c r="AR46" i="26"/>
  <c r="AR42" i="26"/>
  <c r="AR37" i="26"/>
  <c r="AR33" i="26"/>
  <c r="AR29" i="26"/>
  <c r="AR25" i="26"/>
  <c r="AR21" i="26"/>
  <c r="AR82" i="26"/>
  <c r="AR71" i="26"/>
  <c r="AR100" i="26"/>
  <c r="AR96" i="26"/>
  <c r="AR92" i="26"/>
  <c r="AR88" i="26"/>
  <c r="AR84" i="26"/>
  <c r="AR77" i="26"/>
  <c r="AR59" i="26"/>
  <c r="AR58" i="26"/>
  <c r="AR53" i="26"/>
  <c r="AR49" i="26"/>
  <c r="AR45" i="26"/>
  <c r="AU24" i="16"/>
  <c r="BF83" i="26"/>
  <c r="AB41" i="26"/>
  <c r="AB36" i="26"/>
  <c r="AR41" i="26"/>
  <c r="T39" i="22"/>
  <c r="AR36" i="26"/>
  <c r="AR32" i="26"/>
  <c r="AR28" i="26"/>
  <c r="AU36" i="16"/>
  <c r="C29" i="22"/>
  <c r="AD82" i="22"/>
  <c r="V36" i="22" s="1"/>
  <c r="AH48" i="23"/>
  <c r="BF73" i="26"/>
  <c r="BF98" i="26"/>
  <c r="BF94" i="26"/>
  <c r="BF90" i="26"/>
  <c r="BF86" i="26"/>
  <c r="BF82" i="26"/>
  <c r="BF75" i="26"/>
  <c r="BF64" i="26"/>
  <c r="BF59" i="26"/>
  <c r="BF58" i="26"/>
  <c r="BF53" i="26"/>
  <c r="BF49" i="26"/>
  <c r="BF45" i="26"/>
  <c r="BF41" i="26"/>
  <c r="BF36" i="26"/>
  <c r="BF32" i="26"/>
  <c r="BF28" i="26"/>
  <c r="BF24" i="26"/>
  <c r="BF20" i="26"/>
  <c r="BF81" i="26"/>
  <c r="BF72" i="26"/>
  <c r="BF67" i="26"/>
  <c r="BF63" i="26"/>
  <c r="BF99" i="26"/>
  <c r="BF95" i="26"/>
  <c r="BF91" i="26"/>
  <c r="BF87" i="26"/>
  <c r="BF80" i="26"/>
  <c r="BF74" i="26"/>
  <c r="BF68" i="26"/>
  <c r="BF61" i="26"/>
  <c r="BF60" i="26"/>
  <c r="BF54" i="26"/>
  <c r="BF50" i="26"/>
  <c r="BF46" i="26"/>
  <c r="BF42" i="26"/>
  <c r="BF37" i="26"/>
  <c r="BF33" i="26"/>
  <c r="BF29" i="26"/>
  <c r="BF25" i="26"/>
  <c r="BF21" i="26"/>
  <c r="AB77" i="26"/>
  <c r="AB70" i="26"/>
  <c r="AB65" i="26"/>
  <c r="AB101" i="26"/>
  <c r="AB97" i="26"/>
  <c r="AB93" i="26"/>
  <c r="AB89" i="26"/>
  <c r="AB85" i="26"/>
  <c r="AB80" i="26"/>
  <c r="AB74" i="26"/>
  <c r="AB68" i="26"/>
  <c r="AB61" i="26"/>
  <c r="AB60" i="26"/>
  <c r="AB54" i="26"/>
  <c r="AB50" i="26"/>
  <c r="AB46" i="26"/>
  <c r="AB42" i="26"/>
  <c r="AB37" i="26"/>
  <c r="AB33" i="26"/>
  <c r="AB29" i="26"/>
  <c r="AB25" i="26"/>
  <c r="AB21" i="26"/>
  <c r="T40" i="22"/>
  <c r="AV21" i="16"/>
  <c r="AV18" i="16"/>
  <c r="AV19" i="16"/>
  <c r="AV20" i="16"/>
  <c r="AV22" i="16"/>
  <c r="AV17" i="16"/>
  <c r="AV30" i="16"/>
  <c r="AV28" i="16"/>
  <c r="AV29" i="16"/>
  <c r="AV26" i="16"/>
  <c r="BF79" i="26"/>
  <c r="BF100" i="26"/>
  <c r="BF96" i="26"/>
  <c r="BF92" i="26"/>
  <c r="BF88" i="26"/>
  <c r="BF84" i="26"/>
  <c r="BF78" i="26"/>
  <c r="BF69" i="26"/>
  <c r="BF62" i="26"/>
  <c r="BF39" i="26"/>
  <c r="BF55" i="26"/>
  <c r="BF51" i="26"/>
  <c r="BF47" i="26"/>
  <c r="BF43" i="26"/>
  <c r="BF38" i="26"/>
  <c r="BF34" i="26"/>
  <c r="BF30" i="26"/>
  <c r="BF26" i="26"/>
  <c r="BF22" i="26"/>
  <c r="BF18" i="26"/>
  <c r="BF77" i="26"/>
  <c r="BF70" i="26"/>
  <c r="BF65" i="26"/>
  <c r="BF101" i="26"/>
  <c r="BF97" i="26"/>
  <c r="BF93" i="26"/>
  <c r="BF89" i="26"/>
  <c r="BF85" i="26"/>
  <c r="BF76" i="26"/>
  <c r="BF71" i="26"/>
  <c r="BF66" i="26"/>
  <c r="BF57" i="26"/>
  <c r="BF56" i="26"/>
  <c r="BF52" i="26"/>
  <c r="BF48" i="26"/>
  <c r="BF44" i="26"/>
  <c r="BF40" i="26"/>
  <c r="BF35" i="26"/>
  <c r="BF31" i="26"/>
  <c r="BF27" i="26"/>
  <c r="BF23" i="26"/>
  <c r="BF19" i="26"/>
  <c r="T44" i="22"/>
  <c r="AU15" i="16"/>
  <c r="AB32" i="26"/>
  <c r="AB28" i="26"/>
  <c r="AB24" i="26"/>
  <c r="AB20" i="26"/>
  <c r="AB81" i="26"/>
  <c r="AB72" i="26"/>
  <c r="AB67" i="26"/>
  <c r="AB63" i="26"/>
  <c r="AB99" i="26"/>
  <c r="AB95" i="26"/>
  <c r="AB91" i="26"/>
  <c r="AB87" i="26"/>
  <c r="AB84" i="26"/>
  <c r="AB76" i="26"/>
  <c r="AB71" i="26"/>
  <c r="AB66" i="26"/>
  <c r="AB57" i="26"/>
  <c r="AB56" i="26"/>
  <c r="AB52" i="26"/>
  <c r="AB48" i="26"/>
  <c r="AB44" i="26"/>
  <c r="AB40" i="26"/>
  <c r="AB35" i="26"/>
  <c r="AB31" i="26"/>
  <c r="AB27" i="26"/>
  <c r="AB23" i="26"/>
  <c r="AB19" i="26"/>
  <c r="AR24" i="26"/>
  <c r="AR20" i="26"/>
  <c r="AU42" i="16"/>
  <c r="AD36" i="16" l="1"/>
  <c r="AD42" i="16"/>
  <c r="AF20" i="16"/>
  <c r="AE20" i="16"/>
  <c r="AD15" i="16"/>
  <c r="AD24" i="16"/>
  <c r="AE34" i="16"/>
  <c r="AF34" i="16"/>
  <c r="AE48" i="16"/>
  <c r="AF48" i="16"/>
  <c r="AE28" i="16"/>
  <c r="AF28" i="16"/>
  <c r="AE18" i="16"/>
  <c r="AF18" i="16"/>
  <c r="AE17" i="16"/>
  <c r="AF17" i="16"/>
  <c r="AE53" i="16"/>
  <c r="AF53" i="16"/>
  <c r="AD35" i="16"/>
  <c r="F20" i="16"/>
  <c r="F22" i="16"/>
  <c r="AD41" i="16"/>
  <c r="AE41" i="16" s="1"/>
  <c r="AE52" i="16"/>
  <c r="AF52" i="16"/>
  <c r="AF30" i="16"/>
  <c r="AE30" i="16"/>
  <c r="AF40" i="16"/>
  <c r="AE40" i="16"/>
  <c r="AF21" i="16"/>
  <c r="AE21" i="16"/>
  <c r="AF32" i="16"/>
  <c r="AE32" i="16"/>
  <c r="AF44" i="16"/>
  <c r="AE44" i="16"/>
  <c r="AF29" i="16"/>
  <c r="AE29" i="16"/>
  <c r="AF51" i="16"/>
  <c r="AE51" i="16"/>
  <c r="AF45" i="16"/>
  <c r="AE45" i="16"/>
  <c r="AF46" i="16"/>
  <c r="AE46" i="16"/>
  <c r="AF50" i="16"/>
  <c r="AE50" i="16"/>
  <c r="AD14" i="16"/>
  <c r="F15" i="16"/>
  <c r="AD23" i="16"/>
  <c r="F19" i="16"/>
  <c r="AE39" i="16"/>
  <c r="AF39" i="16"/>
  <c r="AF19" i="16"/>
  <c r="AE19" i="16"/>
  <c r="AE47" i="16"/>
  <c r="AF47" i="16"/>
  <c r="W36" i="22"/>
  <c r="Y29" i="16"/>
  <c r="AW43" i="16"/>
  <c r="BR27" i="26"/>
  <c r="BP64" i="26"/>
  <c r="AI48" i="23"/>
  <c r="BH29" i="16"/>
  <c r="AY29" i="16"/>
  <c r="AZ29" i="16"/>
  <c r="AZ30" i="16"/>
  <c r="BH30" i="16"/>
  <c r="AY30" i="16"/>
  <c r="BH22" i="16"/>
  <c r="AY22" i="16"/>
  <c r="AZ22" i="16"/>
  <c r="BH19" i="16"/>
  <c r="AY19" i="16"/>
  <c r="AZ19" i="16"/>
  <c r="AZ21" i="16"/>
  <c r="BH21" i="16"/>
  <c r="AY21" i="16"/>
  <c r="BH26" i="16"/>
  <c r="AY26" i="16"/>
  <c r="AZ26" i="16"/>
  <c r="BH28" i="16"/>
  <c r="AY28" i="16"/>
  <c r="AZ28" i="16"/>
  <c r="BH17" i="16"/>
  <c r="AY17" i="16"/>
  <c r="AZ17" i="16"/>
  <c r="BH20" i="16"/>
  <c r="AY20" i="16"/>
  <c r="AZ20" i="16"/>
  <c r="AZ18" i="16"/>
  <c r="BH18" i="16"/>
  <c r="AY18" i="16"/>
  <c r="AM41" i="16" l="1"/>
  <c r="AO41" i="16" s="1"/>
  <c r="H22" i="16"/>
  <c r="I22" i="16" s="1"/>
  <c r="AD54" i="16"/>
  <c r="AD33" i="16"/>
  <c r="AD22" i="16"/>
  <c r="AD38" i="16"/>
  <c r="AB80" i="22"/>
  <c r="AB77" i="22"/>
  <c r="AB76" i="22"/>
  <c r="BQ67" i="26"/>
  <c r="BM71" i="26"/>
  <c r="AB79" i="22"/>
  <c r="X14" i="22"/>
  <c r="AB81" i="22"/>
  <c r="AB78" i="22"/>
  <c r="AF42" i="16"/>
  <c r="AE42" i="16"/>
  <c r="AF36" i="16"/>
  <c r="AE36" i="16"/>
  <c r="AD26" i="16"/>
  <c r="AM23" i="16"/>
  <c r="AO23" i="16" s="1"/>
  <c r="H19" i="16"/>
  <c r="I19" i="16" s="1"/>
  <c r="AM14" i="16"/>
  <c r="AM15" i="16" s="1"/>
  <c r="H15" i="16"/>
  <c r="H20" i="16"/>
  <c r="I20" i="16" s="1"/>
  <c r="AM35" i="16"/>
  <c r="AO35" i="16" s="1"/>
  <c r="AD43" i="16"/>
  <c r="F23" i="16"/>
  <c r="AD31" i="16"/>
  <c r="F18" i="16"/>
  <c r="AD16" i="16"/>
  <c r="F16" i="16"/>
  <c r="F21" i="16"/>
  <c r="AD37" i="16"/>
  <c r="AF24" i="16"/>
  <c r="AE24" i="16"/>
  <c r="AE15" i="16"/>
  <c r="AF15" i="16"/>
  <c r="AF56" i="16" s="1"/>
  <c r="AD25" i="16"/>
  <c r="F17" i="16"/>
  <c r="AI41" i="16"/>
  <c r="AW35" i="16"/>
  <c r="AW37" i="16"/>
  <c r="AW31" i="16"/>
  <c r="AW23" i="16"/>
  <c r="AI37" i="16"/>
  <c r="AI35" i="16"/>
  <c r="AI25" i="16"/>
  <c r="AI14" i="16"/>
  <c r="AI23" i="16"/>
  <c r="AW25" i="16"/>
  <c r="AI16" i="16"/>
  <c r="AW41" i="16"/>
  <c r="AI43" i="16"/>
  <c r="AI31" i="16"/>
  <c r="AW16" i="16"/>
  <c r="AE53" i="23"/>
  <c r="AF53" i="23" s="1"/>
  <c r="BA17" i="16"/>
  <c r="BA19" i="16"/>
  <c r="BA28" i="16"/>
  <c r="BA21" i="16"/>
  <c r="BA22" i="16"/>
  <c r="BA29" i="16"/>
  <c r="BA18" i="16"/>
  <c r="BA20" i="16"/>
  <c r="BA26" i="16"/>
  <c r="BA30" i="16"/>
  <c r="BQ23" i="16" l="1"/>
  <c r="AO14" i="16"/>
  <c r="BQ35" i="16"/>
  <c r="F24" i="16"/>
  <c r="AM29" i="16"/>
  <c r="AL26" i="16"/>
  <c r="AL28" i="16"/>
  <c r="AM26" i="16"/>
  <c r="AL29" i="16"/>
  <c r="AL30" i="16"/>
  <c r="AM30" i="16"/>
  <c r="AM28" i="16"/>
  <c r="AM37" i="16"/>
  <c r="H21" i="16"/>
  <c r="I21" i="16" s="1"/>
  <c r="AL21" i="16"/>
  <c r="AL22" i="16"/>
  <c r="AM21" i="16"/>
  <c r="AM20" i="16"/>
  <c r="AL20" i="16"/>
  <c r="AL19" i="16"/>
  <c r="AL18" i="16"/>
  <c r="AL17" i="16"/>
  <c r="AM19" i="16"/>
  <c r="AM17" i="16"/>
  <c r="AM18" i="16"/>
  <c r="AL34" i="16"/>
  <c r="AL32" i="16"/>
  <c r="AL33" i="16"/>
  <c r="AM33" i="16"/>
  <c r="AM34" i="16"/>
  <c r="AM32" i="16"/>
  <c r="AL53" i="16"/>
  <c r="AT53" i="16" s="1"/>
  <c r="AU53" i="16" s="1"/>
  <c r="AL50" i="16"/>
  <c r="AT50" i="16" s="1"/>
  <c r="AU50" i="16" s="1"/>
  <c r="AL46" i="16"/>
  <c r="AT46" i="16" s="1"/>
  <c r="AU46" i="16" s="1"/>
  <c r="AE43" i="16"/>
  <c r="AL52" i="16"/>
  <c r="AT52" i="16" s="1"/>
  <c r="AU52" i="16" s="1"/>
  <c r="AL47" i="16"/>
  <c r="AT47" i="16" s="1"/>
  <c r="AU47" i="16" s="1"/>
  <c r="AL51" i="16"/>
  <c r="AT51" i="16" s="1"/>
  <c r="AU51" i="16" s="1"/>
  <c r="AL48" i="16"/>
  <c r="AT48" i="16" s="1"/>
  <c r="AU48" i="16" s="1"/>
  <c r="AL44" i="16"/>
  <c r="AT44" i="16" s="1"/>
  <c r="AU44" i="16" s="1"/>
  <c r="AL54" i="16"/>
  <c r="AT54" i="16" s="1"/>
  <c r="AU54" i="16" s="1"/>
  <c r="AL49" i="16"/>
  <c r="AT49" i="16" s="1"/>
  <c r="AU49" i="16" s="1"/>
  <c r="AL45" i="16"/>
  <c r="AT45" i="16" s="1"/>
  <c r="AU45" i="16" s="1"/>
  <c r="AM51" i="16"/>
  <c r="AM45" i="16"/>
  <c r="AM49" i="16"/>
  <c r="AM44" i="16"/>
  <c r="AM48" i="16"/>
  <c r="AM52" i="16"/>
  <c r="AM46" i="16"/>
  <c r="AM54" i="16"/>
  <c r="AM53" i="16"/>
  <c r="AM47" i="16"/>
  <c r="AM50" i="16"/>
  <c r="AM24" i="16"/>
  <c r="BB23" i="16"/>
  <c r="P19" i="16" s="1"/>
  <c r="AE26" i="16"/>
  <c r="AF26" i="16"/>
  <c r="AM42" i="16"/>
  <c r="BB41" i="16"/>
  <c r="P22" i="16" s="1"/>
  <c r="Y28" i="16"/>
  <c r="AM25" i="16"/>
  <c r="H17" i="16"/>
  <c r="I17" i="16" s="1"/>
  <c r="AL38" i="16"/>
  <c r="AM40" i="16"/>
  <c r="AM39" i="16"/>
  <c r="AL40" i="16"/>
  <c r="AM38" i="16"/>
  <c r="AL39" i="16"/>
  <c r="AM16" i="16"/>
  <c r="H16" i="16"/>
  <c r="I16" i="16" s="1"/>
  <c r="H18" i="16"/>
  <c r="I18" i="16" s="1"/>
  <c r="AM31" i="16"/>
  <c r="AM43" i="16"/>
  <c r="H23" i="16"/>
  <c r="I23" i="16" s="1"/>
  <c r="BB35" i="16"/>
  <c r="P20" i="16" s="1"/>
  <c r="AM36" i="16"/>
  <c r="I15" i="16"/>
  <c r="AV14" i="16" s="1"/>
  <c r="BJ15" i="16"/>
  <c r="BJ56" i="16" s="1"/>
  <c r="AP15" i="16"/>
  <c r="AQ15" i="16"/>
  <c r="BG15" i="16"/>
  <c r="BG56" i="16" s="1"/>
  <c r="BL25" i="16" s="1"/>
  <c r="AE38" i="16"/>
  <c r="AF38" i="16"/>
  <c r="AE22" i="16"/>
  <c r="AF22" i="16"/>
  <c r="AF33" i="16"/>
  <c r="AE33" i="16"/>
  <c r="AF54" i="16"/>
  <c r="AE54" i="16"/>
  <c r="BQ41" i="16"/>
  <c r="AW56" i="16"/>
  <c r="N84" i="23"/>
  <c r="AH53" i="23" s="1"/>
  <c r="AG53" i="23"/>
  <c r="AG54" i="23" s="1"/>
  <c r="BN71" i="26" l="1"/>
  <c r="BO72" i="26" s="1"/>
  <c r="BL14" i="16"/>
  <c r="BL56" i="16" s="1"/>
  <c r="BL35" i="16"/>
  <c r="BL37" i="16"/>
  <c r="BL16" i="16"/>
  <c r="BL41" i="16"/>
  <c r="BL23" i="16"/>
  <c r="BL43" i="16"/>
  <c r="BL31" i="16"/>
  <c r="AR15" i="16"/>
  <c r="H24" i="16"/>
  <c r="I24" i="16" s="1"/>
  <c r="AM56" i="16"/>
  <c r="BB43" i="16"/>
  <c r="P23" i="16" s="1"/>
  <c r="AO43" i="16"/>
  <c r="AS39" i="16"/>
  <c r="AT39" i="16"/>
  <c r="AT40" i="16"/>
  <c r="AS40" i="16"/>
  <c r="BK40" i="16"/>
  <c r="AP40" i="16"/>
  <c r="BG40" i="16"/>
  <c r="AQ40" i="16"/>
  <c r="BJ42" i="16"/>
  <c r="AP42" i="16"/>
  <c r="BG42" i="16"/>
  <c r="AQ42" i="16"/>
  <c r="BG24" i="16"/>
  <c r="AP24" i="16"/>
  <c r="AQ24" i="16"/>
  <c r="BJ24" i="16"/>
  <c r="BG47" i="16"/>
  <c r="AP47" i="16"/>
  <c r="BJ47" i="16"/>
  <c r="AQ47" i="16"/>
  <c r="BG54" i="16"/>
  <c r="AP54" i="16"/>
  <c r="BJ54" i="16"/>
  <c r="AQ54" i="16"/>
  <c r="BG52" i="16"/>
  <c r="AP52" i="16"/>
  <c r="BJ52" i="16"/>
  <c r="AQ52" i="16"/>
  <c r="BJ44" i="16"/>
  <c r="AQ44" i="16"/>
  <c r="AP44" i="16"/>
  <c r="BG44" i="16"/>
  <c r="BG45" i="16"/>
  <c r="AP45" i="16"/>
  <c r="BJ45" i="16"/>
  <c r="AQ45" i="16"/>
  <c r="BG32" i="16"/>
  <c r="BJ32" i="16"/>
  <c r="AQ32" i="16"/>
  <c r="AP32" i="16"/>
  <c r="BG33" i="16"/>
  <c r="AP33" i="16"/>
  <c r="BJ33" i="16"/>
  <c r="AQ33" i="16"/>
  <c r="AT32" i="16"/>
  <c r="AS32" i="16"/>
  <c r="BJ18" i="16"/>
  <c r="AP18" i="16"/>
  <c r="BG18" i="16"/>
  <c r="AQ18" i="16"/>
  <c r="AQ19" i="16"/>
  <c r="BG19" i="16"/>
  <c r="AP19" i="16"/>
  <c r="BJ19" i="16"/>
  <c r="AT18" i="16"/>
  <c r="AS18" i="16"/>
  <c r="AS20" i="16"/>
  <c r="AT20" i="16"/>
  <c r="BJ21" i="16"/>
  <c r="AP21" i="16"/>
  <c r="BG21" i="16"/>
  <c r="AQ21" i="16"/>
  <c r="AR21" i="16" s="1"/>
  <c r="AT21" i="16"/>
  <c r="AS21" i="16"/>
  <c r="BB37" i="16"/>
  <c r="P21" i="16" s="1"/>
  <c r="AO37" i="16"/>
  <c r="BQ37" i="16" s="1"/>
  <c r="BJ30" i="16"/>
  <c r="AP30" i="16"/>
  <c r="BG30" i="16"/>
  <c r="AQ30" i="16"/>
  <c r="AR30" i="16" s="1"/>
  <c r="AS29" i="16"/>
  <c r="AT29" i="16"/>
  <c r="AS28" i="16"/>
  <c r="AT28" i="16"/>
  <c r="AQ29" i="16"/>
  <c r="AP29" i="16"/>
  <c r="BG29" i="16"/>
  <c r="BJ29" i="16"/>
  <c r="BB14" i="16"/>
  <c r="P15" i="16" s="1"/>
  <c r="AV15" i="16"/>
  <c r="AV56" i="16"/>
  <c r="AW14" i="16"/>
  <c r="BQ14" i="16" s="1"/>
  <c r="BK36" i="16"/>
  <c r="BK56" i="16" s="1"/>
  <c r="BN35" i="26" s="1"/>
  <c r="AP36" i="16"/>
  <c r="BG36" i="16"/>
  <c r="AQ36" i="16"/>
  <c r="AR36" i="16" s="1"/>
  <c r="BD35" i="16" s="1"/>
  <c r="R20" i="16" s="1"/>
  <c r="BB31" i="16"/>
  <c r="P18" i="16" s="1"/>
  <c r="AO31" i="16"/>
  <c r="BQ31" i="16" s="1"/>
  <c r="AM22" i="16"/>
  <c r="BB16" i="16"/>
  <c r="P16" i="16" s="1"/>
  <c r="AO16" i="16"/>
  <c r="BQ16" i="16" s="1"/>
  <c r="BG38" i="16"/>
  <c r="AQ38" i="16"/>
  <c r="BK38" i="16"/>
  <c r="AP38" i="16"/>
  <c r="BK39" i="16"/>
  <c r="AP39" i="16"/>
  <c r="AQ39" i="16"/>
  <c r="BG39" i="16"/>
  <c r="AT38" i="16"/>
  <c r="AS38" i="16"/>
  <c r="BB25" i="16"/>
  <c r="P17" i="16" s="1"/>
  <c r="AO25" i="16"/>
  <c r="BQ25" i="16" s="1"/>
  <c r="BG50" i="16"/>
  <c r="AQ50" i="16"/>
  <c r="BJ50" i="16"/>
  <c r="AP50" i="16"/>
  <c r="BJ53" i="16"/>
  <c r="AQ53" i="16"/>
  <c r="AP53" i="16"/>
  <c r="BG53" i="16"/>
  <c r="BJ46" i="16"/>
  <c r="AQ46" i="16"/>
  <c r="AP46" i="16"/>
  <c r="BG46" i="16"/>
  <c r="BJ48" i="16"/>
  <c r="AQ48" i="16"/>
  <c r="AP48" i="16"/>
  <c r="BG48" i="16"/>
  <c r="BG49" i="16"/>
  <c r="AP49" i="16"/>
  <c r="BJ49" i="16"/>
  <c r="AQ49" i="16"/>
  <c r="BJ51" i="16"/>
  <c r="AQ51" i="16"/>
  <c r="AP51" i="16"/>
  <c r="BG51" i="16"/>
  <c r="BG34" i="16"/>
  <c r="AP34" i="16"/>
  <c r="AQ34" i="16"/>
  <c r="BJ34" i="16"/>
  <c r="AT33" i="16"/>
  <c r="AS33" i="16"/>
  <c r="AU33" i="16" s="1"/>
  <c r="AT34" i="16"/>
  <c r="AS34" i="16"/>
  <c r="AU34" i="16" s="1"/>
  <c r="BJ17" i="16"/>
  <c r="AP17" i="16"/>
  <c r="AQ17" i="16"/>
  <c r="BG17" i="16"/>
  <c r="AS17" i="16"/>
  <c r="AT17" i="16"/>
  <c r="AS19" i="16"/>
  <c r="AT19" i="16"/>
  <c r="AQ20" i="16"/>
  <c r="BJ20" i="16"/>
  <c r="BG20" i="16"/>
  <c r="AP20" i="16"/>
  <c r="AS22" i="16"/>
  <c r="AT22" i="16"/>
  <c r="AQ28" i="16"/>
  <c r="BJ28" i="16"/>
  <c r="BG28" i="16"/>
  <c r="AP28" i="16"/>
  <c r="AT30" i="16"/>
  <c r="AS30" i="16"/>
  <c r="AQ26" i="16"/>
  <c r="AP26" i="16"/>
  <c r="BJ26" i="16"/>
  <c r="BG26" i="16"/>
  <c r="AS26" i="16"/>
  <c r="AT26" i="16"/>
  <c r="AI53" i="23"/>
  <c r="AI54" i="23"/>
  <c r="AH54" i="23"/>
  <c r="X42" i="23" s="1"/>
  <c r="BO71" i="26"/>
  <c r="AR18" i="16" l="1"/>
  <c r="AR45" i="16"/>
  <c r="AR52" i="16"/>
  <c r="AR54" i="16"/>
  <c r="AR47" i="16"/>
  <c r="AR42" i="16"/>
  <c r="BD41" i="16" s="1"/>
  <c r="R22" i="16" s="1"/>
  <c r="AR40" i="16"/>
  <c r="AR49" i="16"/>
  <c r="AU26" i="16"/>
  <c r="AU22" i="16"/>
  <c r="AU19" i="16"/>
  <c r="AU17" i="16"/>
  <c r="BQ56" i="16"/>
  <c r="AR51" i="16"/>
  <c r="AR48" i="16"/>
  <c r="AR46" i="16"/>
  <c r="AR53" i="16"/>
  <c r="AU28" i="16"/>
  <c r="AU29" i="16"/>
  <c r="AU20" i="16"/>
  <c r="AU18" i="16"/>
  <c r="AR44" i="16"/>
  <c r="AU39" i="16"/>
  <c r="BJ22" i="16"/>
  <c r="BG22" i="16"/>
  <c r="AQ22" i="16"/>
  <c r="AP22" i="16"/>
  <c r="BO39" i="26"/>
  <c r="BO35" i="26"/>
  <c r="P24" i="16"/>
  <c r="Z28" i="16"/>
  <c r="BC43" i="16"/>
  <c r="BQ43" i="16"/>
  <c r="BS43" i="16" s="1"/>
  <c r="Q23" i="16" s="1"/>
  <c r="AO56" i="16"/>
  <c r="AR50" i="16"/>
  <c r="AR38" i="16"/>
  <c r="BD37" i="16" s="1"/>
  <c r="R21" i="16" s="1"/>
  <c r="AR33" i="16"/>
  <c r="BH15" i="16"/>
  <c r="BH56" i="16" s="1"/>
  <c r="AZ15" i="16"/>
  <c r="AY15" i="16"/>
  <c r="AR26" i="16"/>
  <c r="BD25" i="16" s="1"/>
  <c r="R17" i="16" s="1"/>
  <c r="AU30" i="16"/>
  <c r="AR28" i="16"/>
  <c r="AR20" i="16"/>
  <c r="AR17" i="16"/>
  <c r="BD16" i="16" s="1"/>
  <c r="R16" i="16" s="1"/>
  <c r="AR34" i="16"/>
  <c r="AU38" i="16"/>
  <c r="AR39" i="16"/>
  <c r="AR29" i="16"/>
  <c r="AU21" i="16"/>
  <c r="AR19" i="16"/>
  <c r="AU32" i="16"/>
  <c r="AR32" i="16"/>
  <c r="BD31" i="16" s="1"/>
  <c r="R18" i="16" s="1"/>
  <c r="AR24" i="16"/>
  <c r="BD23" i="16" s="1"/>
  <c r="R19" i="16" s="1"/>
  <c r="AU40" i="16"/>
  <c r="AE28" i="23"/>
  <c r="AE101" i="26"/>
  <c r="AF101" i="26" s="1"/>
  <c r="AE100" i="26"/>
  <c r="AF100" i="26" s="1"/>
  <c r="AE99" i="26"/>
  <c r="AF99" i="26" s="1"/>
  <c r="AE98" i="26"/>
  <c r="AF98" i="26" s="1"/>
  <c r="AE97" i="26"/>
  <c r="AF97" i="26" s="1"/>
  <c r="AE96" i="26"/>
  <c r="AF96" i="26" s="1"/>
  <c r="AE95" i="26"/>
  <c r="AF95" i="26" s="1"/>
  <c r="AE94" i="26"/>
  <c r="AF94" i="26" s="1"/>
  <c r="AE93" i="26"/>
  <c r="AF93" i="26" s="1"/>
  <c r="AE92" i="26"/>
  <c r="AF92" i="26" s="1"/>
  <c r="AE91" i="26"/>
  <c r="AF91" i="26" s="1"/>
  <c r="AE90" i="26"/>
  <c r="AF90" i="26" s="1"/>
  <c r="AE89" i="26"/>
  <c r="AF89" i="26" s="1"/>
  <c r="AE88" i="26"/>
  <c r="AF88" i="26" s="1"/>
  <c r="AE87" i="26"/>
  <c r="AF87" i="26" s="1"/>
  <c r="AE86" i="26"/>
  <c r="AF86" i="26" s="1"/>
  <c r="AE85" i="26"/>
  <c r="AF85" i="26" s="1"/>
  <c r="AE84" i="26"/>
  <c r="AF84" i="26" s="1"/>
  <c r="AE82" i="26"/>
  <c r="AF82" i="26" s="1"/>
  <c r="AE80" i="26"/>
  <c r="AF80" i="26" s="1"/>
  <c r="AE78" i="26"/>
  <c r="AF78" i="26" s="1"/>
  <c r="AE76" i="26"/>
  <c r="AF76" i="26" s="1"/>
  <c r="AE74" i="26"/>
  <c r="AF74" i="26" s="1"/>
  <c r="AE71" i="26"/>
  <c r="AF71" i="26" s="1"/>
  <c r="AE69" i="26"/>
  <c r="AF69" i="26" s="1"/>
  <c r="AE61" i="26"/>
  <c r="AF61" i="26" s="1"/>
  <c r="AE60" i="26"/>
  <c r="AF60" i="26" s="1"/>
  <c r="AE58" i="26"/>
  <c r="AF58" i="26" s="1"/>
  <c r="AE56" i="26"/>
  <c r="AF56" i="26" s="1"/>
  <c r="AE55" i="26"/>
  <c r="AF55" i="26" s="1"/>
  <c r="AE54" i="26"/>
  <c r="AF54" i="26" s="1"/>
  <c r="AE53" i="26"/>
  <c r="AF53" i="26" s="1"/>
  <c r="AE52" i="26"/>
  <c r="AF52" i="26" s="1"/>
  <c r="AE51" i="26"/>
  <c r="AF51" i="26" s="1"/>
  <c r="AE50" i="26"/>
  <c r="AF50" i="26" s="1"/>
  <c r="AE49" i="26"/>
  <c r="AF49" i="26" s="1"/>
  <c r="AE48" i="26"/>
  <c r="AF48" i="26" s="1"/>
  <c r="AE47" i="26"/>
  <c r="AF47" i="26" s="1"/>
  <c r="AE46" i="26"/>
  <c r="AF46" i="26" s="1"/>
  <c r="AE45" i="26"/>
  <c r="AF45" i="26" s="1"/>
  <c r="AE44" i="26"/>
  <c r="AF44" i="26" s="1"/>
  <c r="AE43" i="26"/>
  <c r="AF43" i="26" s="1"/>
  <c r="AE42" i="26"/>
  <c r="AF42" i="26" s="1"/>
  <c r="AE41" i="26"/>
  <c r="AF41" i="26" s="1"/>
  <c r="AE40" i="26"/>
  <c r="AF40" i="26" s="1"/>
  <c r="AE38" i="26"/>
  <c r="AF38" i="26" s="1"/>
  <c r="AE37" i="26"/>
  <c r="AF37" i="26" s="1"/>
  <c r="AE36" i="26"/>
  <c r="AF36" i="26" s="1"/>
  <c r="AE35" i="26"/>
  <c r="AF35" i="26" s="1"/>
  <c r="AE83" i="26"/>
  <c r="AF83" i="26" s="1"/>
  <c r="AE81" i="26"/>
  <c r="AF81" i="26" s="1"/>
  <c r="AE79" i="26"/>
  <c r="AF79" i="26" s="1"/>
  <c r="AE77" i="26"/>
  <c r="AF77" i="26" s="1"/>
  <c r="AE73" i="26"/>
  <c r="AF73" i="26" s="1"/>
  <c r="AE70" i="26"/>
  <c r="AF70" i="26" s="1"/>
  <c r="AE65" i="26"/>
  <c r="AF65" i="26" s="1"/>
  <c r="AE18" i="26"/>
  <c r="AF18" i="26" s="1"/>
  <c r="AG18" i="26" s="1"/>
  <c r="AE20" i="26"/>
  <c r="AF20" i="26" s="1"/>
  <c r="AE22" i="26"/>
  <c r="AF22" i="26" s="1"/>
  <c r="AE24" i="26"/>
  <c r="AF24" i="26" s="1"/>
  <c r="AE26" i="26"/>
  <c r="AF26" i="26" s="1"/>
  <c r="AG26" i="26" s="1"/>
  <c r="AE28" i="26"/>
  <c r="AF28" i="26" s="1"/>
  <c r="AE30" i="26"/>
  <c r="AF30" i="26" s="1"/>
  <c r="AE32" i="26"/>
  <c r="AF32" i="26" s="1"/>
  <c r="AE34" i="26"/>
  <c r="AF34" i="26" s="1"/>
  <c r="AG34" i="26" s="1"/>
  <c r="AE57" i="26"/>
  <c r="AF57" i="26" s="1"/>
  <c r="AE66" i="26"/>
  <c r="AF66" i="26" s="1"/>
  <c r="AE68" i="26"/>
  <c r="AF68" i="26" s="1"/>
  <c r="AE63" i="26"/>
  <c r="AF63" i="26" s="1"/>
  <c r="AG63" i="26" s="1"/>
  <c r="AE67" i="26"/>
  <c r="AF67" i="26" s="1"/>
  <c r="AE19" i="26"/>
  <c r="AF19" i="26" s="1"/>
  <c r="AE21" i="26"/>
  <c r="AF21" i="26" s="1"/>
  <c r="AE23" i="26"/>
  <c r="AF23" i="26" s="1"/>
  <c r="AG23" i="26" s="1"/>
  <c r="AE25" i="26"/>
  <c r="AF25" i="26" s="1"/>
  <c r="AE27" i="26"/>
  <c r="AF27" i="26" s="1"/>
  <c r="AE29" i="26"/>
  <c r="AF29" i="26" s="1"/>
  <c r="AE31" i="26"/>
  <c r="AF31" i="26" s="1"/>
  <c r="AG31" i="26" s="1"/>
  <c r="AE33" i="26"/>
  <c r="AF33" i="26" s="1"/>
  <c r="AE39" i="26"/>
  <c r="AF39" i="26" s="1"/>
  <c r="AE59" i="26"/>
  <c r="AF59" i="26" s="1"/>
  <c r="AE62" i="26"/>
  <c r="AF62" i="26" s="1"/>
  <c r="AG62" i="26" s="1"/>
  <c r="AE64" i="26"/>
  <c r="AF64" i="26" s="1"/>
  <c r="AE75" i="26"/>
  <c r="AF75" i="26" s="1"/>
  <c r="AE72" i="26"/>
  <c r="AF72" i="26" s="1"/>
  <c r="AG75" i="26" l="1"/>
  <c r="AG39" i="26"/>
  <c r="AG27" i="26"/>
  <c r="AG19" i="26"/>
  <c r="AG66" i="26"/>
  <c r="AG30" i="26"/>
  <c r="AG22" i="26"/>
  <c r="AR22" i="16"/>
  <c r="BN43" i="16"/>
  <c r="BN37" i="16"/>
  <c r="BN31" i="16"/>
  <c r="BN23" i="16"/>
  <c r="BN16" i="16"/>
  <c r="BN35" i="16"/>
  <c r="BN25" i="16"/>
  <c r="BN41" i="16"/>
  <c r="BN34" i="26"/>
  <c r="BN14" i="16"/>
  <c r="BN56" i="16" s="1"/>
  <c r="BG101" i="26"/>
  <c r="BH101" i="26" s="1"/>
  <c r="BG94" i="26"/>
  <c r="BH94" i="26" s="1"/>
  <c r="BG21" i="26"/>
  <c r="BH21" i="26" s="1"/>
  <c r="BG70" i="26"/>
  <c r="BH70" i="26" s="1"/>
  <c r="BG59" i="26"/>
  <c r="BH59" i="26" s="1"/>
  <c r="BG36" i="26"/>
  <c r="BH36" i="26" s="1"/>
  <c r="BG86" i="26"/>
  <c r="BH86" i="26" s="1"/>
  <c r="BG29" i="26"/>
  <c r="BH29" i="26" s="1"/>
  <c r="BG22" i="26"/>
  <c r="BH22" i="26" s="1"/>
  <c r="BG41" i="26"/>
  <c r="BH41" i="26" s="1"/>
  <c r="BG58" i="26"/>
  <c r="BH58" i="26" s="1"/>
  <c r="BG90" i="26"/>
  <c r="BH90" i="26" s="1"/>
  <c r="BG68" i="26"/>
  <c r="BH68" i="26" s="1"/>
  <c r="BG25" i="26"/>
  <c r="BH25" i="26" s="1"/>
  <c r="BG34" i="26"/>
  <c r="BH34" i="26" s="1"/>
  <c r="BG18" i="26"/>
  <c r="BH18" i="26" s="1"/>
  <c r="BI18" i="26" s="1"/>
  <c r="BG35" i="26"/>
  <c r="BH35" i="26" s="1"/>
  <c r="BG43" i="26"/>
  <c r="BH43" i="26" s="1"/>
  <c r="BG51" i="26"/>
  <c r="BH51" i="26" s="1"/>
  <c r="BG61" i="26"/>
  <c r="BH61" i="26" s="1"/>
  <c r="BI61" i="26" s="1"/>
  <c r="BG84" i="26"/>
  <c r="BH84" i="26" s="1"/>
  <c r="BG92" i="26"/>
  <c r="BH92" i="26" s="1"/>
  <c r="BI92" i="26" s="1"/>
  <c r="BG100" i="26"/>
  <c r="BH100" i="26" s="1"/>
  <c r="BG63" i="26"/>
  <c r="BH63" i="26" s="1"/>
  <c r="BI63" i="26" s="1"/>
  <c r="BG27" i="26"/>
  <c r="BH27" i="26" s="1"/>
  <c r="BG57" i="26"/>
  <c r="BH57" i="26" s="1"/>
  <c r="BG20" i="26"/>
  <c r="BH20" i="26" s="1"/>
  <c r="BG83" i="26"/>
  <c r="BH83" i="26" s="1"/>
  <c r="BI83" i="26" s="1"/>
  <c r="BG42" i="26"/>
  <c r="BH42" i="26" s="1"/>
  <c r="BG50" i="26"/>
  <c r="BH50" i="26" s="1"/>
  <c r="BI50" i="26" s="1"/>
  <c r="BG60" i="26"/>
  <c r="BH60" i="26" s="1"/>
  <c r="BG82" i="26"/>
  <c r="BH82" i="26" s="1"/>
  <c r="BI82" i="26" s="1"/>
  <c r="BG91" i="26"/>
  <c r="BH91" i="26" s="1"/>
  <c r="BG99" i="26"/>
  <c r="BH99" i="26" s="1"/>
  <c r="BG45" i="26"/>
  <c r="BH45" i="26" s="1"/>
  <c r="BG71" i="26"/>
  <c r="BH71" i="26" s="1"/>
  <c r="BI71" i="26" s="1"/>
  <c r="BG30" i="26"/>
  <c r="BH30" i="26" s="1"/>
  <c r="BG53" i="26"/>
  <c r="BH53" i="26" s="1"/>
  <c r="BI53" i="26" s="1"/>
  <c r="BG67" i="26"/>
  <c r="BH67" i="26" s="1"/>
  <c r="BG62" i="26"/>
  <c r="BH62" i="26" s="1"/>
  <c r="BI62" i="26" s="1"/>
  <c r="BG81" i="26"/>
  <c r="BH81" i="26" s="1"/>
  <c r="BG49" i="26"/>
  <c r="BH49" i="26" s="1"/>
  <c r="BG80" i="26"/>
  <c r="BH80" i="26" s="1"/>
  <c r="BG98" i="26"/>
  <c r="BH98" i="26" s="1"/>
  <c r="BI98" i="26" s="1"/>
  <c r="BG33" i="26"/>
  <c r="BH33" i="26" s="1"/>
  <c r="BG75" i="26"/>
  <c r="BH75" i="26" s="1"/>
  <c r="BI75" i="26" s="1"/>
  <c r="BG26" i="26"/>
  <c r="BH26" i="26" s="1"/>
  <c r="BG77" i="26"/>
  <c r="BH77" i="26" s="1"/>
  <c r="BI77" i="26" s="1"/>
  <c r="BG38" i="26"/>
  <c r="BH38" i="26" s="1"/>
  <c r="BG47" i="26"/>
  <c r="BH47" i="26" s="1"/>
  <c r="BG55" i="26"/>
  <c r="BH55" i="26" s="1"/>
  <c r="BG76" i="26"/>
  <c r="BH76" i="26" s="1"/>
  <c r="BI76" i="26" s="1"/>
  <c r="BG88" i="26"/>
  <c r="BH88" i="26" s="1"/>
  <c r="BG96" i="26"/>
  <c r="BH96" i="26" s="1"/>
  <c r="BI96" i="26" s="1"/>
  <c r="BG72" i="26"/>
  <c r="BH72" i="26" s="1"/>
  <c r="BG66" i="26"/>
  <c r="BH66" i="26" s="1"/>
  <c r="BI66" i="26" s="1"/>
  <c r="BG31" i="26"/>
  <c r="BH31" i="26" s="1"/>
  <c r="BG23" i="26"/>
  <c r="BH23" i="26" s="1"/>
  <c r="BI23" i="26" s="1"/>
  <c r="BG64" i="26"/>
  <c r="BH64" i="26" s="1"/>
  <c r="BG32" i="26"/>
  <c r="BH32" i="26" s="1"/>
  <c r="BI32" i="26" s="1"/>
  <c r="BG24" i="26"/>
  <c r="BH24" i="26" s="1"/>
  <c r="BG65" i="26"/>
  <c r="BH65" i="26" s="1"/>
  <c r="BI65" i="26" s="1"/>
  <c r="BG79" i="26"/>
  <c r="BH79" i="26" s="1"/>
  <c r="BP35" i="26"/>
  <c r="BG40" i="26"/>
  <c r="BH40" i="26" s="1"/>
  <c r="BG44" i="26"/>
  <c r="BH44" i="26" s="1"/>
  <c r="BI44" i="26" s="1"/>
  <c r="BG48" i="26"/>
  <c r="BH48" i="26" s="1"/>
  <c r="BG52" i="26"/>
  <c r="BH52" i="26" s="1"/>
  <c r="BI52" i="26" s="1"/>
  <c r="BG56" i="26"/>
  <c r="BH56" i="26" s="1"/>
  <c r="BG69" i="26"/>
  <c r="BH69" i="26" s="1"/>
  <c r="BI69" i="26" s="1"/>
  <c r="BG78" i="26"/>
  <c r="BH78" i="26" s="1"/>
  <c r="BG85" i="26"/>
  <c r="BH85" i="26" s="1"/>
  <c r="BI85" i="26" s="1"/>
  <c r="BG89" i="26"/>
  <c r="BH89" i="26" s="1"/>
  <c r="BG93" i="26"/>
  <c r="BH93" i="26" s="1"/>
  <c r="BI93" i="26" s="1"/>
  <c r="BG97" i="26"/>
  <c r="BH97" i="26" s="1"/>
  <c r="BG39" i="26"/>
  <c r="BH39" i="26" s="1"/>
  <c r="BI39" i="26" s="1"/>
  <c r="BG19" i="26"/>
  <c r="BH19" i="26" s="1"/>
  <c r="BG28" i="26"/>
  <c r="BH28" i="26" s="1"/>
  <c r="BI28" i="26" s="1"/>
  <c r="BG73" i="26"/>
  <c r="BH73" i="26" s="1"/>
  <c r="BG37" i="26"/>
  <c r="BH37" i="26" s="1"/>
  <c r="BI37" i="26" s="1"/>
  <c r="BG46" i="26"/>
  <c r="BH46" i="26" s="1"/>
  <c r="BG54" i="26"/>
  <c r="BH54" i="26" s="1"/>
  <c r="BI54" i="26" s="1"/>
  <c r="BG74" i="26"/>
  <c r="BH74" i="26" s="1"/>
  <c r="BG87" i="26"/>
  <c r="BH87" i="26" s="1"/>
  <c r="BI87" i="26" s="1"/>
  <c r="BG95" i="26"/>
  <c r="BH95" i="26" s="1"/>
  <c r="BA15" i="16"/>
  <c r="BD14" i="16" s="1"/>
  <c r="R15" i="16" s="1"/>
  <c r="R24" i="16" s="1"/>
  <c r="AE23" i="23"/>
  <c r="AF23" i="23" s="1"/>
  <c r="AJ23" i="16" s="1"/>
  <c r="AK23" i="16" s="1"/>
  <c r="J19" i="16" s="1"/>
  <c r="AE25" i="23"/>
  <c r="AF25" i="23" s="1"/>
  <c r="AE22" i="23"/>
  <c r="AF22" i="23" s="1"/>
  <c r="AE20" i="23"/>
  <c r="AF20" i="23" s="1"/>
  <c r="AE21" i="23"/>
  <c r="AF21" i="23" s="1"/>
  <c r="AE26" i="23"/>
  <c r="AE24" i="23"/>
  <c r="AF24" i="23" s="1"/>
  <c r="AE27" i="23"/>
  <c r="AF27" i="23" s="1"/>
  <c r="AE19" i="23"/>
  <c r="AF19" i="23" s="1"/>
  <c r="AG72" i="26"/>
  <c r="AG64" i="26"/>
  <c r="AG59" i="26"/>
  <c r="AG33" i="26"/>
  <c r="AG29" i="26"/>
  <c r="AG25" i="26"/>
  <c r="AG21" i="26"/>
  <c r="AG67" i="26"/>
  <c r="AG68" i="26"/>
  <c r="AG57" i="26"/>
  <c r="AG32" i="26"/>
  <c r="AG28" i="26"/>
  <c r="AG24" i="26"/>
  <c r="AG20" i="26"/>
  <c r="AG65" i="26"/>
  <c r="AG73" i="26"/>
  <c r="AG79" i="26"/>
  <c r="AG83" i="26"/>
  <c r="AG36" i="26"/>
  <c r="AG38" i="26"/>
  <c r="AG41" i="26"/>
  <c r="AG43" i="26"/>
  <c r="AG45" i="26"/>
  <c r="AG47" i="26"/>
  <c r="AG49" i="26"/>
  <c r="AG51" i="26"/>
  <c r="AG53" i="26"/>
  <c r="AG55" i="26"/>
  <c r="AG58" i="26"/>
  <c r="AG61" i="26"/>
  <c r="AG71" i="26"/>
  <c r="AG76" i="26"/>
  <c r="AG80" i="26"/>
  <c r="AG84" i="26"/>
  <c r="AG86" i="26"/>
  <c r="AG88" i="26"/>
  <c r="AG90" i="26"/>
  <c r="AG92" i="26"/>
  <c r="AG94" i="26"/>
  <c r="AG96" i="26"/>
  <c r="AG98" i="26"/>
  <c r="AG100" i="26"/>
  <c r="AG70" i="26"/>
  <c r="AG77" i="26"/>
  <c r="AG81" i="26"/>
  <c r="AG35" i="26"/>
  <c r="AG37" i="26"/>
  <c r="AG40" i="26"/>
  <c r="AG42" i="26"/>
  <c r="AG44" i="26"/>
  <c r="AG46" i="26"/>
  <c r="AG48" i="26"/>
  <c r="AG50" i="26"/>
  <c r="AG52" i="26"/>
  <c r="AG54" i="26"/>
  <c r="AG56" i="26"/>
  <c r="AG60" i="26"/>
  <c r="AG69" i="26"/>
  <c r="AG74" i="26"/>
  <c r="AG78" i="26"/>
  <c r="AG82" i="26"/>
  <c r="AG85" i="26"/>
  <c r="AG87" i="26"/>
  <c r="AG89" i="26"/>
  <c r="AG91" i="26"/>
  <c r="AG93" i="26"/>
  <c r="AG95" i="26"/>
  <c r="AG97" i="26"/>
  <c r="AG99" i="26"/>
  <c r="AG101" i="26"/>
  <c r="BI47" i="26" l="1"/>
  <c r="BI49" i="26"/>
  <c r="BI99" i="26"/>
  <c r="BI57" i="26"/>
  <c r="BI43" i="26"/>
  <c r="BI95" i="26"/>
  <c r="BI74" i="26"/>
  <c r="BI46" i="26"/>
  <c r="BI73" i="26"/>
  <c r="BI19" i="26"/>
  <c r="BI97" i="26"/>
  <c r="BI89" i="26"/>
  <c r="BI78" i="26"/>
  <c r="BI56" i="26"/>
  <c r="BI48" i="26"/>
  <c r="BI40" i="26"/>
  <c r="BI79" i="26"/>
  <c r="BI24" i="26"/>
  <c r="BI64" i="26"/>
  <c r="BI31" i="26"/>
  <c r="BI72" i="26"/>
  <c r="BI88" i="26"/>
  <c r="BI55" i="26"/>
  <c r="BI38" i="26"/>
  <c r="BI26" i="26"/>
  <c r="BI33" i="26"/>
  <c r="BI80" i="26"/>
  <c r="BI81" i="26"/>
  <c r="BI67" i="26"/>
  <c r="BI30" i="26"/>
  <c r="BI45" i="26"/>
  <c r="BI91" i="26"/>
  <c r="BI60" i="26"/>
  <c r="BI42" i="26"/>
  <c r="BI20" i="26"/>
  <c r="BI27" i="26"/>
  <c r="BI100" i="26"/>
  <c r="BI84" i="26"/>
  <c r="BI51" i="26"/>
  <c r="BI35" i="26"/>
  <c r="BI34" i="26"/>
  <c r="BI68" i="26"/>
  <c r="BO38" i="26"/>
  <c r="BO34" i="26"/>
  <c r="BI58" i="26"/>
  <c r="BI22" i="26"/>
  <c r="BI86" i="26"/>
  <c r="BI59" i="26"/>
  <c r="BI21" i="26"/>
  <c r="BI101" i="26"/>
  <c r="I56" i="16"/>
  <c r="Z30" i="16"/>
  <c r="K56" i="16" s="1"/>
  <c r="BI25" i="26"/>
  <c r="BI90" i="26"/>
  <c r="BI41" i="26"/>
  <c r="BI29" i="26"/>
  <c r="BI36" i="26"/>
  <c r="BI70" i="26"/>
  <c r="BI94" i="26"/>
  <c r="AN23" i="16"/>
  <c r="AX23" i="16"/>
  <c r="AN14" i="16"/>
  <c r="AJ14" i="16"/>
  <c r="AX14" i="16"/>
  <c r="AN35" i="16"/>
  <c r="AJ35" i="16"/>
  <c r="AK35" i="16" s="1"/>
  <c r="J20" i="16" s="1"/>
  <c r="AX35" i="16"/>
  <c r="AX25" i="16"/>
  <c r="AJ25" i="16"/>
  <c r="AK25" i="16" s="1"/>
  <c r="J17" i="16" s="1"/>
  <c r="AN25" i="16"/>
  <c r="AX31" i="16"/>
  <c r="AN31" i="16"/>
  <c r="AJ31" i="16"/>
  <c r="AK31" i="16" s="1"/>
  <c r="J18" i="16" s="1"/>
  <c r="AJ41" i="16"/>
  <c r="AK41" i="16" s="1"/>
  <c r="J22" i="16" s="1"/>
  <c r="AX41" i="16"/>
  <c r="AN41" i="16"/>
  <c r="AJ16" i="16"/>
  <c r="AK16" i="16" s="1"/>
  <c r="J16" i="16" s="1"/>
  <c r="AN16" i="16"/>
  <c r="AX16" i="16"/>
  <c r="AX37" i="16"/>
  <c r="AN37" i="16"/>
  <c r="AJ37" i="16"/>
  <c r="AK37" i="16" s="1"/>
  <c r="J21" i="16" s="1"/>
  <c r="BP71" i="26"/>
  <c r="BQ71" i="26" s="1"/>
  <c r="BM43" i="16" s="1"/>
  <c r="K62" i="16" l="1"/>
  <c r="K64" i="16"/>
  <c r="K58" i="16"/>
  <c r="K60" i="16"/>
  <c r="I64" i="16"/>
  <c r="I58" i="16"/>
  <c r="I60" i="16"/>
  <c r="I62" i="16"/>
  <c r="AS101" i="26"/>
  <c r="AT101" i="26" s="1"/>
  <c r="AS99" i="26"/>
  <c r="AT99" i="26" s="1"/>
  <c r="AS97" i="26"/>
  <c r="AT97" i="26" s="1"/>
  <c r="AS95" i="26"/>
  <c r="AT95" i="26" s="1"/>
  <c r="AS93" i="26"/>
  <c r="AT93" i="26" s="1"/>
  <c r="AS91" i="26"/>
  <c r="AT91" i="26" s="1"/>
  <c r="AS89" i="26"/>
  <c r="AT89" i="26" s="1"/>
  <c r="AS87" i="26"/>
  <c r="AT87" i="26" s="1"/>
  <c r="AS85" i="26"/>
  <c r="AT85" i="26" s="1"/>
  <c r="AS83" i="26"/>
  <c r="AT83" i="26" s="1"/>
  <c r="AS79" i="26"/>
  <c r="AT79" i="26" s="1"/>
  <c r="AS73" i="26"/>
  <c r="AT73" i="26" s="1"/>
  <c r="AS65" i="26"/>
  <c r="AT65" i="26" s="1"/>
  <c r="AS58" i="26"/>
  <c r="AT58" i="26" s="1"/>
  <c r="AS55" i="26"/>
  <c r="AT55" i="26" s="1"/>
  <c r="AS53" i="26"/>
  <c r="AT53" i="26" s="1"/>
  <c r="AS51" i="26"/>
  <c r="AT51" i="26" s="1"/>
  <c r="AS49" i="26"/>
  <c r="AT49" i="26" s="1"/>
  <c r="AS47" i="26"/>
  <c r="AT47" i="26" s="1"/>
  <c r="AS45" i="26"/>
  <c r="AT45" i="26" s="1"/>
  <c r="AS43" i="26"/>
  <c r="AT43" i="26" s="1"/>
  <c r="AS41" i="26"/>
  <c r="AT41" i="26" s="1"/>
  <c r="AS38" i="26"/>
  <c r="AT38" i="26" s="1"/>
  <c r="AS36" i="26"/>
  <c r="AT36" i="26" s="1"/>
  <c r="AS82" i="26"/>
  <c r="AT82" i="26" s="1"/>
  <c r="AS78" i="26"/>
  <c r="AT78" i="26" s="1"/>
  <c r="AS74" i="26"/>
  <c r="AT74" i="26" s="1"/>
  <c r="AS69" i="26"/>
  <c r="AT69" i="26" s="1"/>
  <c r="BP34" i="26"/>
  <c r="BR34" i="26" s="1"/>
  <c r="AS21" i="26"/>
  <c r="AT21" i="26" s="1"/>
  <c r="AS25" i="26"/>
  <c r="AT25" i="26" s="1"/>
  <c r="AS29" i="26"/>
  <c r="AT29" i="26" s="1"/>
  <c r="AS33" i="26"/>
  <c r="AT33" i="26" s="1"/>
  <c r="AS59" i="26"/>
  <c r="AT59" i="26" s="1"/>
  <c r="AS72" i="26"/>
  <c r="AT72" i="26" s="1"/>
  <c r="AS64" i="26"/>
  <c r="AT64" i="26" s="1"/>
  <c r="AS68" i="26"/>
  <c r="AT68" i="26" s="1"/>
  <c r="AS18" i="26"/>
  <c r="AT18" i="26" s="1"/>
  <c r="AU18" i="26" s="1"/>
  <c r="AS22" i="26"/>
  <c r="AT22" i="26" s="1"/>
  <c r="AS26" i="26"/>
  <c r="AT26" i="26" s="1"/>
  <c r="AU26" i="26" s="1"/>
  <c r="AS30" i="26"/>
  <c r="AT30" i="26" s="1"/>
  <c r="AS34" i="26"/>
  <c r="AT34" i="26" s="1"/>
  <c r="AS63" i="26"/>
  <c r="AT63" i="26" s="1"/>
  <c r="AS100" i="26"/>
  <c r="AT100" i="26" s="1"/>
  <c r="AS98" i="26"/>
  <c r="AT98" i="26" s="1"/>
  <c r="AS96" i="26"/>
  <c r="AT96" i="26" s="1"/>
  <c r="AU96" i="26" s="1"/>
  <c r="AS94" i="26"/>
  <c r="AT94" i="26" s="1"/>
  <c r="AS92" i="26"/>
  <c r="AT92" i="26" s="1"/>
  <c r="AU92" i="26" s="1"/>
  <c r="AS90" i="26"/>
  <c r="AT90" i="26" s="1"/>
  <c r="AS88" i="26"/>
  <c r="AT88" i="26" s="1"/>
  <c r="AS86" i="26"/>
  <c r="AT86" i="26" s="1"/>
  <c r="AS84" i="26"/>
  <c r="AT84" i="26" s="1"/>
  <c r="AS81" i="26"/>
  <c r="AT81" i="26" s="1"/>
  <c r="AS77" i="26"/>
  <c r="AT77" i="26" s="1"/>
  <c r="AU77" i="26" s="1"/>
  <c r="AS70" i="26"/>
  <c r="AT70" i="26" s="1"/>
  <c r="AS60" i="26"/>
  <c r="AT60" i="26" s="1"/>
  <c r="AU60" i="26" s="1"/>
  <c r="AS56" i="26"/>
  <c r="AT56" i="26" s="1"/>
  <c r="AS54" i="26"/>
  <c r="AT54" i="26" s="1"/>
  <c r="AS52" i="26"/>
  <c r="AT52" i="26" s="1"/>
  <c r="AS50" i="26"/>
  <c r="AT50" i="26" s="1"/>
  <c r="AS48" i="26"/>
  <c r="AT48" i="26" s="1"/>
  <c r="AS46" i="26"/>
  <c r="AT46" i="26" s="1"/>
  <c r="AU46" i="26" s="1"/>
  <c r="AS44" i="26"/>
  <c r="AT44" i="26" s="1"/>
  <c r="AS42" i="26"/>
  <c r="AT42" i="26" s="1"/>
  <c r="AU42" i="26" s="1"/>
  <c r="AS40" i="26"/>
  <c r="AT40" i="26" s="1"/>
  <c r="AS37" i="26"/>
  <c r="AT37" i="26" s="1"/>
  <c r="AS35" i="26"/>
  <c r="AT35" i="26" s="1"/>
  <c r="AS80" i="26"/>
  <c r="AT80" i="26" s="1"/>
  <c r="AS76" i="26"/>
  <c r="AT76" i="26" s="1"/>
  <c r="AS71" i="26"/>
  <c r="AT71" i="26" s="1"/>
  <c r="AU71" i="26" s="1"/>
  <c r="AS61" i="26"/>
  <c r="AT61" i="26" s="1"/>
  <c r="AS19" i="26"/>
  <c r="AT19" i="26" s="1"/>
  <c r="AU19" i="26" s="1"/>
  <c r="AS23" i="26"/>
  <c r="AT23" i="26" s="1"/>
  <c r="AS27" i="26"/>
  <c r="AT27" i="26" s="1"/>
  <c r="AS31" i="26"/>
  <c r="AT31" i="26" s="1"/>
  <c r="AS39" i="26"/>
  <c r="AT39" i="26" s="1"/>
  <c r="AS67" i="26"/>
  <c r="AT67" i="26" s="1"/>
  <c r="AS62" i="26"/>
  <c r="AT62" i="26" s="1"/>
  <c r="AU62" i="26" s="1"/>
  <c r="AS66" i="26"/>
  <c r="AT66" i="26" s="1"/>
  <c r="AS75" i="26"/>
  <c r="AT75" i="26" s="1"/>
  <c r="AU75" i="26" s="1"/>
  <c r="AS20" i="26"/>
  <c r="AT20" i="26" s="1"/>
  <c r="AS24" i="26"/>
  <c r="AT24" i="26" s="1"/>
  <c r="AS28" i="26"/>
  <c r="AT28" i="26" s="1"/>
  <c r="AS32" i="26"/>
  <c r="AT32" i="26" s="1"/>
  <c r="AS57" i="26"/>
  <c r="AT57" i="26" s="1"/>
  <c r="BR23" i="16"/>
  <c r="BS23" i="16" s="1"/>
  <c r="Q19" i="16" s="1"/>
  <c r="AX56" i="16"/>
  <c r="BC23" i="16"/>
  <c r="BR16" i="16"/>
  <c r="BS16" i="16" s="1"/>
  <c r="Q16" i="16" s="1"/>
  <c r="BC16" i="16"/>
  <c r="BR41" i="16"/>
  <c r="BS41" i="16" s="1"/>
  <c r="Q22" i="16" s="1"/>
  <c r="BC41" i="16"/>
  <c r="BR31" i="16"/>
  <c r="BS31" i="16" s="1"/>
  <c r="Q18" i="16" s="1"/>
  <c r="BC31" i="16"/>
  <c r="BC25" i="16"/>
  <c r="BR25" i="16"/>
  <c r="BS25" i="16" s="1"/>
  <c r="Q17" i="16" s="1"/>
  <c r="BC14" i="16"/>
  <c r="BR14" i="16"/>
  <c r="BR37" i="16"/>
  <c r="BS37" i="16" s="1"/>
  <c r="Q21" i="16" s="1"/>
  <c r="BC37" i="16"/>
  <c r="BR35" i="16"/>
  <c r="BS35" i="16" s="1"/>
  <c r="Q20" i="16" s="1"/>
  <c r="BC35" i="16"/>
  <c r="AK14" i="16"/>
  <c r="J15" i="16" s="1"/>
  <c r="J24" i="16" s="1"/>
  <c r="AJ56" i="16"/>
  <c r="BM16" i="16"/>
  <c r="BM25" i="16"/>
  <c r="BM35" i="16"/>
  <c r="BM41" i="16"/>
  <c r="BM14" i="16"/>
  <c r="BM23" i="16"/>
  <c r="BM31" i="16"/>
  <c r="BM37" i="16"/>
  <c r="AU32" i="26" l="1"/>
  <c r="AU39" i="26"/>
  <c r="AU80" i="26"/>
  <c r="AU50" i="26"/>
  <c r="AU84" i="26"/>
  <c r="AU100" i="26"/>
  <c r="AU24" i="26"/>
  <c r="AU37" i="26"/>
  <c r="AU54" i="26"/>
  <c r="AU34" i="26"/>
  <c r="AU27" i="26"/>
  <c r="AU88" i="26"/>
  <c r="AU57" i="26"/>
  <c r="AU28" i="26"/>
  <c r="AU20" i="26"/>
  <c r="AU66" i="26"/>
  <c r="AU67" i="26"/>
  <c r="AU31" i="26"/>
  <c r="AU23" i="26"/>
  <c r="AU61" i="26"/>
  <c r="AU76" i="26"/>
  <c r="AU35" i="26"/>
  <c r="AU40" i="26"/>
  <c r="AU44" i="26"/>
  <c r="AU48" i="26"/>
  <c r="AU52" i="26"/>
  <c r="AU56" i="26"/>
  <c r="AU70" i="26"/>
  <c r="AU81" i="26"/>
  <c r="AU86" i="26"/>
  <c r="AU90" i="26"/>
  <c r="AU94" i="26"/>
  <c r="AU98" i="26"/>
  <c r="AU63" i="26"/>
  <c r="AU30" i="26"/>
  <c r="AU22" i="26"/>
  <c r="AU68" i="26"/>
  <c r="BO43" i="16"/>
  <c r="BO37" i="16"/>
  <c r="BO31" i="16"/>
  <c r="BO23" i="16"/>
  <c r="BO14" i="16"/>
  <c r="BO56" i="16" s="1"/>
  <c r="BO41" i="16"/>
  <c r="BO35" i="16"/>
  <c r="BO25" i="16"/>
  <c r="BO16" i="16"/>
  <c r="AU72" i="26"/>
  <c r="AU33" i="26"/>
  <c r="AU25" i="26"/>
  <c r="AU74" i="26"/>
  <c r="AU82" i="26"/>
  <c r="AU38" i="26"/>
  <c r="AU43" i="26"/>
  <c r="AU47" i="26"/>
  <c r="AU51" i="26"/>
  <c r="AU55" i="26"/>
  <c r="AU65" i="26"/>
  <c r="AU79" i="26"/>
  <c r="AU85" i="26"/>
  <c r="AU89" i="26"/>
  <c r="AU93" i="26"/>
  <c r="AU97" i="26"/>
  <c r="AU101" i="26"/>
  <c r="AU64" i="26"/>
  <c r="AU59" i="26"/>
  <c r="AU29" i="26"/>
  <c r="AU21" i="26"/>
  <c r="AU69" i="26"/>
  <c r="AU78" i="26"/>
  <c r="AU36" i="26"/>
  <c r="AU41" i="26"/>
  <c r="AU45" i="26"/>
  <c r="AU49" i="26"/>
  <c r="AU53" i="26"/>
  <c r="AU58" i="26"/>
  <c r="AU73" i="26"/>
  <c r="AU83" i="26"/>
  <c r="AU87" i="26"/>
  <c r="AU91" i="26"/>
  <c r="AU95" i="26"/>
  <c r="AU99" i="26"/>
  <c r="BR56" i="16"/>
  <c r="Z29" i="16" s="1"/>
  <c r="BS14" i="16"/>
  <c r="BM56" i="16"/>
  <c r="BS56" i="16" l="1"/>
  <c r="Q15" i="16"/>
  <c r="Q24" i="16" s="1"/>
</calcChain>
</file>

<file path=xl/sharedStrings.xml><?xml version="1.0" encoding="utf-8"?>
<sst xmlns="http://schemas.openxmlformats.org/spreadsheetml/2006/main" count="2000" uniqueCount="761">
  <si>
    <t>(select from list)</t>
  </si>
  <si>
    <t>Sector list</t>
  </si>
  <si>
    <t>Office</t>
  </si>
  <si>
    <t>Multi-Family</t>
  </si>
  <si>
    <t>Northern CA B: Urban</t>
  </si>
  <si>
    <t>Northern CA B: Rural</t>
  </si>
  <si>
    <t>Northern CA A: Urban</t>
  </si>
  <si>
    <t>Northern CA A: Rural</t>
  </si>
  <si>
    <t>Southern CA B: Urban</t>
  </si>
  <si>
    <t>Southern CA B: Rural</t>
  </si>
  <si>
    <t>Southern CA A: Urban</t>
  </si>
  <si>
    <t>Fullness</t>
  </si>
  <si>
    <t>Tons</t>
  </si>
  <si>
    <t>Paper</t>
  </si>
  <si>
    <t>Cardboard</t>
  </si>
  <si>
    <t>Mixed Metals</t>
  </si>
  <si>
    <t>Mixed Plastics</t>
  </si>
  <si>
    <t>Glass</t>
  </si>
  <si>
    <t>Food Scraps</t>
  </si>
  <si>
    <t>Yard Waste</t>
  </si>
  <si>
    <t>Lumber</t>
  </si>
  <si>
    <t>(select)</t>
  </si>
  <si>
    <t>$</t>
  </si>
  <si>
    <t>Results</t>
  </si>
  <si>
    <t>Cost</t>
  </si>
  <si>
    <t>Recycling</t>
  </si>
  <si>
    <t>Compost</t>
  </si>
  <si>
    <t>Shared dumpster?</t>
  </si>
  <si>
    <t>County</t>
  </si>
  <si>
    <t>Del Norte</t>
  </si>
  <si>
    <t>Siskiyou</t>
  </si>
  <si>
    <t>Modoc</t>
  </si>
  <si>
    <t>Humboldt</t>
  </si>
  <si>
    <t>Trinity</t>
  </si>
  <si>
    <t>Shasta</t>
  </si>
  <si>
    <t>Lassen</t>
  </si>
  <si>
    <t>Mendocino</t>
  </si>
  <si>
    <t>Tehama</t>
  </si>
  <si>
    <t>Plumas</t>
  </si>
  <si>
    <t>Glenn</t>
  </si>
  <si>
    <t>Sierra</t>
  </si>
  <si>
    <t>Lake</t>
  </si>
  <si>
    <t>Colusa</t>
  </si>
  <si>
    <t>Sutter</t>
  </si>
  <si>
    <t>Yuba</t>
  </si>
  <si>
    <t>Nevada</t>
  </si>
  <si>
    <t>Placer</t>
  </si>
  <si>
    <t>El Dorado</t>
  </si>
  <si>
    <t>Amador</t>
  </si>
  <si>
    <t>Calaveras</t>
  </si>
  <si>
    <t>Alpine</t>
  </si>
  <si>
    <t>Tuolumne</t>
  </si>
  <si>
    <t>Mariposa</t>
  </si>
  <si>
    <t>Merced</t>
  </si>
  <si>
    <t>Madera</t>
  </si>
  <si>
    <t>Fresno</t>
  </si>
  <si>
    <t>Monterey</t>
  </si>
  <si>
    <t>Tulare</t>
  </si>
  <si>
    <t>Sonoma</t>
  </si>
  <si>
    <t>Napa</t>
  </si>
  <si>
    <t>Yolo</t>
  </si>
  <si>
    <t>Sacramento</t>
  </si>
  <si>
    <t>Marin</t>
  </si>
  <si>
    <t>Solano</t>
  </si>
  <si>
    <t>Contra Costa</t>
  </si>
  <si>
    <t>San Joaquin</t>
  </si>
  <si>
    <t>San Francisco</t>
  </si>
  <si>
    <t>Santa Cruz</t>
  </si>
  <si>
    <t>Santa Clara</t>
  </si>
  <si>
    <t>Stanislaus</t>
  </si>
  <si>
    <t>San Benito</t>
  </si>
  <si>
    <t>Mono</t>
  </si>
  <si>
    <t>Inyo</t>
  </si>
  <si>
    <t>Kings</t>
  </si>
  <si>
    <t>San Luis Obispo</t>
  </si>
  <si>
    <t>Santa Barbara</t>
  </si>
  <si>
    <t>Kern</t>
  </si>
  <si>
    <t>Imperial</t>
  </si>
  <si>
    <t>Ventura</t>
  </si>
  <si>
    <t>Orange</t>
  </si>
  <si>
    <t>San Bernadino</t>
  </si>
  <si>
    <t>Riverside</t>
  </si>
  <si>
    <t>San Diego</t>
  </si>
  <si>
    <t>%</t>
  </si>
  <si>
    <t>tons</t>
  </si>
  <si>
    <t># pickups per week</t>
  </si>
  <si>
    <t>Share of trash</t>
  </si>
  <si>
    <t>Glass containers</t>
  </si>
  <si>
    <t>Food scraps</t>
  </si>
  <si>
    <t>Food Stores</t>
  </si>
  <si>
    <t>Venues</t>
  </si>
  <si>
    <t>Retail  - Automotive Dealers and Service</t>
  </si>
  <si>
    <t>Retail - Apparel and Furniture</t>
  </si>
  <si>
    <t>Retail - Misc.</t>
  </si>
  <si>
    <t>Trucking and Warehousing</t>
  </si>
  <si>
    <t>Motion Picture Industry</t>
  </si>
  <si>
    <t>Communications</t>
  </si>
  <si>
    <t>Finance, Insurance, Real Estate</t>
  </si>
  <si>
    <t>Services - Business Services</t>
  </si>
  <si>
    <t>Services - Education</t>
  </si>
  <si>
    <t>Services - Medical/Health</t>
  </si>
  <si>
    <t>Services - Other Misc.</t>
  </si>
  <si>
    <t>Services - Other Professional</t>
  </si>
  <si>
    <t>Government Facilities</t>
  </si>
  <si>
    <t>Other</t>
  </si>
  <si>
    <t>Don't have any specific information</t>
  </si>
  <si>
    <t>Have actual cost from trash bills</t>
  </si>
  <si>
    <t>Don't currently have recycling</t>
  </si>
  <si>
    <t>TQ</t>
  </si>
  <si>
    <t>TC</t>
  </si>
  <si>
    <t>Materials</t>
  </si>
  <si>
    <r>
      <t>MT CO</t>
    </r>
    <r>
      <rPr>
        <b/>
        <vertAlign val="subscript"/>
        <sz val="10"/>
        <color indexed="8"/>
        <rFont val="Calibri"/>
        <family val="2"/>
      </rPr>
      <t>2</t>
    </r>
    <r>
      <rPr>
        <b/>
        <sz val="10"/>
        <color indexed="8"/>
        <rFont val="Calibri"/>
        <family val="2"/>
      </rPr>
      <t>e</t>
    </r>
  </si>
  <si>
    <t>Select material:</t>
  </si>
  <si>
    <t>Revise</t>
  </si>
  <si>
    <t>gallons</t>
  </si>
  <si>
    <t>cubic yards</t>
  </si>
  <si>
    <t>(select unit)</t>
  </si>
  <si>
    <t>RC</t>
  </si>
  <si>
    <t>RQ</t>
  </si>
  <si>
    <t>RM</t>
  </si>
  <si>
    <t>Los Angeles</t>
  </si>
  <si>
    <t>yes</t>
  </si>
  <si>
    <t>no</t>
  </si>
  <si>
    <t>Current</t>
  </si>
  <si>
    <t>pounds</t>
  </si>
  <si>
    <t>Business Name</t>
  </si>
  <si>
    <t>Food and yard waste</t>
  </si>
  <si>
    <t>Cans/bottles (with deposit)</t>
  </si>
  <si>
    <t>Wood (lumber, pallets)</t>
  </si>
  <si>
    <t>Share of recycling</t>
  </si>
  <si>
    <t>Cubic Yards</t>
  </si>
  <si>
    <t>gallons/cubic yard</t>
  </si>
  <si>
    <t>pickup weeks per year</t>
  </si>
  <si>
    <t>Diversion</t>
  </si>
  <si>
    <t>Corrugated Cardboard</t>
  </si>
  <si>
    <t>Mixed Paper (general)</t>
  </si>
  <si>
    <t>Newspaper</t>
  </si>
  <si>
    <t>Office Paper</t>
  </si>
  <si>
    <t>Mixed Paper (primarily from offices)</t>
  </si>
  <si>
    <t>Magazines/Third-class Mail</t>
  </si>
  <si>
    <t>Phonebooks</t>
  </si>
  <si>
    <t>Steel Cans</t>
  </si>
  <si>
    <t>Aluminum Cans</t>
  </si>
  <si>
    <t>Copper Wire</t>
  </si>
  <si>
    <t>HDPE</t>
  </si>
  <si>
    <t>PET</t>
  </si>
  <si>
    <t>Leaves</t>
  </si>
  <si>
    <t>Yard Trimmings</t>
  </si>
  <si>
    <t>Branches</t>
  </si>
  <si>
    <t>Concrete</t>
  </si>
  <si>
    <t>Clay</t>
  </si>
  <si>
    <t>Dimensional Lumber</t>
  </si>
  <si>
    <t>Carpet</t>
  </si>
  <si>
    <t>Mixed Organics</t>
  </si>
  <si>
    <t>Mixed MSW</t>
  </si>
  <si>
    <t>Fly Ash</t>
  </si>
  <si>
    <t>Tires</t>
  </si>
  <si>
    <t>Venue</t>
  </si>
  <si>
    <t>MF</t>
  </si>
  <si>
    <t>Tag</t>
  </si>
  <si>
    <t>Business</t>
  </si>
  <si>
    <t>A</t>
  </si>
  <si>
    <t>B</t>
  </si>
  <si>
    <t>C</t>
  </si>
  <si>
    <t>D</t>
  </si>
  <si>
    <t>E</t>
  </si>
  <si>
    <t>Before</t>
  </si>
  <si>
    <t>After</t>
  </si>
  <si>
    <t>Total Tons</t>
  </si>
  <si>
    <t>Total Cost</t>
  </si>
  <si>
    <t>Saving</t>
  </si>
  <si>
    <t>Units</t>
  </si>
  <si>
    <t>Source</t>
  </si>
  <si>
    <t>No current</t>
  </si>
  <si>
    <t>Mixed</t>
  </si>
  <si>
    <t>Single material</t>
  </si>
  <si>
    <t>Cost per ton</t>
  </si>
  <si>
    <t>County list</t>
  </si>
  <si>
    <t>Material list</t>
  </si>
  <si>
    <t>selection lists</t>
  </si>
  <si>
    <t>Recycling Cost calc:</t>
  </si>
  <si>
    <t>Mixed recycling</t>
  </si>
  <si>
    <t>Calculating bin size:</t>
  </si>
  <si>
    <t>Lists:</t>
  </si>
  <si>
    <t>Emissions savings</t>
  </si>
  <si>
    <t>Tons to Diversion</t>
  </si>
  <si>
    <t>Emission savings</t>
  </si>
  <si>
    <t>Material</t>
  </si>
  <si>
    <t>SR emissions</t>
  </si>
  <si>
    <t>MATERIAL</t>
  </si>
  <si>
    <t>Diversion emissions</t>
  </si>
  <si>
    <t>Total Cost Savings</t>
  </si>
  <si>
    <t>Total Emission Savings</t>
  </si>
  <si>
    <t>SR Emissions Possible</t>
  </si>
  <si>
    <t>Diversion Emissions Possible</t>
  </si>
  <si>
    <t>Total quantity</t>
  </si>
  <si>
    <t>Total</t>
  </si>
  <si>
    <t>Volume Conversions</t>
  </si>
  <si>
    <t>Calculating recycling cost:</t>
  </si>
  <si>
    <t>$ sving (avoid disp)</t>
  </si>
  <si>
    <t>Cost of recycle</t>
  </si>
  <si>
    <t>Total cost</t>
  </si>
  <si>
    <t>Trash</t>
  </si>
  <si>
    <t>Conversion factor</t>
  </si>
  <si>
    <t>Final tons</t>
  </si>
  <si>
    <t>Final Est. Cost</t>
  </si>
  <si>
    <t>Annual tailpipe emissions from</t>
  </si>
  <si>
    <t>tree seedlings grown over 10 years.</t>
  </si>
  <si>
    <t>No error final est cost</t>
  </si>
  <si>
    <t>Final actual cost</t>
  </si>
  <si>
    <t>Increase Recycling Rate to _%</t>
  </si>
  <si>
    <t>Baseline Diversion tons</t>
  </si>
  <si>
    <t>Baseline Disposal tons</t>
  </si>
  <si>
    <t>Baseline Diversion Emissions</t>
  </si>
  <si>
    <t>Baseline cost saving</t>
  </si>
  <si>
    <t>Business type:</t>
  </si>
  <si>
    <t>NO:</t>
  </si>
  <si>
    <t>YES:</t>
  </si>
  <si>
    <t>No, use averages</t>
  </si>
  <si>
    <t>Yes, change makeup</t>
  </si>
  <si>
    <t>Occupied Multi-Family Units</t>
  </si>
  <si>
    <t>What do your savings look like?</t>
  </si>
  <si>
    <t>Introduction</t>
  </si>
  <si>
    <t>Tons from rec to SR</t>
  </si>
  <si>
    <t>Tons from lf to SR</t>
  </si>
  <si>
    <t>$ sving (no lf)</t>
  </si>
  <si>
    <t>$ sving (no rec)</t>
  </si>
  <si>
    <t>Emissions saved by not lfing</t>
  </si>
  <si>
    <t>Recycling emissions</t>
  </si>
  <si>
    <t>Emissions saved by not recing</t>
  </si>
  <si>
    <t>SR ton and cost savings</t>
  </si>
  <si>
    <t>Landfill emissions (tb avoided)</t>
  </si>
  <si>
    <t>Trash Reduced</t>
  </si>
  <si>
    <t>Avoided disposal cost:</t>
  </si>
  <si>
    <t>TOTALS</t>
  </si>
  <si>
    <t>Total Emission Reductions</t>
  </si>
  <si>
    <t>Once you have checked your current annual trash quantity, cost, and makeup, you are finished with this page.</t>
  </si>
  <si>
    <t>Wholesale Durables</t>
  </si>
  <si>
    <t>Wholesale Nondurables</t>
  </si>
  <si>
    <t>Retail Big Box Stores</t>
  </si>
  <si>
    <t>Building Material, &amp; Garden Big Box Stores</t>
  </si>
  <si>
    <t>Cost per ton:</t>
  </si>
  <si>
    <t>Diversion Rate</t>
  </si>
  <si>
    <t xml:space="preserve"> Total Cost Savings*</t>
  </si>
  <si>
    <t>Select business type, then fill in yellow cells below</t>
  </si>
  <si>
    <t>Restaurants - Fast Food</t>
  </si>
  <si>
    <t>Restaurants - Sit Down</t>
  </si>
  <si>
    <t>Hotels - Large</t>
  </si>
  <si>
    <t>Hotels - Small</t>
  </si>
  <si>
    <t>Mixed metals</t>
  </si>
  <si>
    <t>Mixed plastics</t>
  </si>
  <si>
    <t>Annual tons</t>
  </si>
  <si>
    <t>(estimated)</t>
  </si>
  <si>
    <t>Annual cost</t>
  </si>
  <si>
    <t>cu. yards</t>
  </si>
  <si>
    <t>Container size</t>
  </si>
  <si>
    <t># of containers</t>
  </si>
  <si>
    <t>"Multiple Container" section</t>
  </si>
  <si>
    <t>Have actual trash amount from bills</t>
  </si>
  <si>
    <t>The carbon dioxide captured by</t>
  </si>
  <si>
    <t>Finished reviewing these benefits?</t>
  </si>
  <si>
    <t>Annual Trash</t>
  </si>
  <si>
    <t>Annual Recycling</t>
  </si>
  <si>
    <t>Annual Total Material</t>
  </si>
  <si>
    <t>Annual Recycling Rate</t>
  </si>
  <si>
    <t>Future Actions</t>
  </si>
  <si>
    <t>Reduce _% of Total Material</t>
  </si>
  <si>
    <t>Annual cost*</t>
  </si>
  <si>
    <t>Annual amount</t>
  </si>
  <si>
    <t>What are these materials?</t>
  </si>
  <si>
    <t>Click here for definitions</t>
  </si>
  <si>
    <t>Once you have checked your current annual recycling quantity, cost, and makeup, you are finished with this page.</t>
  </si>
  <si>
    <t>U.S. cars.</t>
  </si>
  <si>
    <t>U.S. homes over a year.</t>
  </si>
  <si>
    <t>Click here for definitions of materials</t>
  </si>
  <si>
    <t>Have actual recycling amount from bills</t>
  </si>
  <si>
    <t>Have actual cost from recycling bills</t>
  </si>
  <si>
    <t>Tons (volume)</t>
  </si>
  <si>
    <t>Tons to use</t>
  </si>
  <si>
    <t>Actual tons calculation</t>
  </si>
  <si>
    <t>(select type of business from list)</t>
  </si>
  <si>
    <t>(select county from list)</t>
  </si>
  <si>
    <t>Container type A</t>
  </si>
  <si>
    <t>Container type B</t>
  </si>
  <si>
    <t>Container type D</t>
  </si>
  <si>
    <t>Container type E</t>
  </si>
  <si>
    <t>Container type C</t>
  </si>
  <si>
    <t>Total predicted/actual cost</t>
  </si>
  <si>
    <t>Predicted cost</t>
  </si>
  <si>
    <t>Actual cost</t>
  </si>
  <si>
    <t>Actual cost per ton</t>
  </si>
  <si>
    <t>U.S. EPA</t>
  </si>
  <si>
    <t>Average of HDPE and PET (29.5)</t>
  </si>
  <si>
    <t>cu. Yards</t>
  </si>
  <si>
    <t>Have information on number of containers and pickups</t>
  </si>
  <si>
    <r>
      <rPr>
        <b/>
        <i/>
        <sz val="9.5"/>
        <color theme="1"/>
        <rFont val="Calibri"/>
        <family val="2"/>
        <scheme val="minor"/>
      </rPr>
      <t xml:space="preserve">*Note: </t>
    </r>
    <r>
      <rPr>
        <i/>
        <sz val="9.5"/>
        <color theme="1"/>
        <rFont val="Calibri"/>
        <family val="2"/>
        <scheme val="minor"/>
      </rPr>
      <t xml:space="preserve"> Cost savings in the "Evaluate Future Actions" table include the savings you achieve by not having to pay the cost of disposal for materials that you move out of the trash.</t>
    </r>
  </si>
  <si>
    <t>What do my carbon footprint savings mean?</t>
  </si>
  <si>
    <t>Full-Time Employee equivalents</t>
  </si>
  <si>
    <t>Shared container?</t>
  </si>
  <si>
    <t>If you have multiple sizes of containers of trash and know information about your number of bins and pick-ups, enter information here:</t>
  </si>
  <si>
    <t>units</t>
  </si>
  <si>
    <t>Evaluate Future Actions:</t>
  </si>
  <si>
    <t>Click here to return to General_Info page and select your material recycling programs</t>
  </si>
  <si>
    <t>Click here to return to Current_Trash page and revise your material composition</t>
  </si>
  <si>
    <t>Click here to return to Current_Recycling page and revise your material composition</t>
  </si>
  <si>
    <t>Click here to return to Future_Benefits page and revise your material composition</t>
  </si>
  <si>
    <t>No Program</t>
  </si>
  <si>
    <t>Bottles and cans (with deposit)</t>
  </si>
  <si>
    <t>Alameda</t>
  </si>
  <si>
    <t>Butte</t>
  </si>
  <si>
    <t>San Mateo</t>
  </si>
  <si>
    <t>Source reduction cost savings</t>
  </si>
  <si>
    <t xml:space="preserve">Enter the amount of money that you will save each year by not purchasing as much material. </t>
  </si>
  <si>
    <t>Scroll down</t>
  </si>
  <si>
    <r>
      <t xml:space="preserve">One or More Progam(s) </t>
    </r>
    <r>
      <rPr>
        <i/>
        <u/>
        <sz val="11"/>
        <color theme="1"/>
        <rFont val="Calibri"/>
        <family val="2"/>
        <scheme val="minor"/>
      </rPr>
      <t>(select both boxes if applicable)</t>
    </r>
  </si>
  <si>
    <t>Select:</t>
  </si>
  <si>
    <t>(select material from list)</t>
  </si>
  <si>
    <t>1. General Business Information</t>
  </si>
  <si>
    <t>2. Current Trash</t>
  </si>
  <si>
    <t>3. Current Recycling</t>
  </si>
  <si>
    <t>Manufacturing - Food / Kindred</t>
  </si>
  <si>
    <t>Manufacturing - Apparel and Textiles</t>
  </si>
  <si>
    <t>Manufacturing - Lumber &amp; Wood Products</t>
  </si>
  <si>
    <t>Manufacturing - Paper and Allied Products</t>
  </si>
  <si>
    <t>Manufacturing - Printing / Publishing</t>
  </si>
  <si>
    <t>Manufacturing - Chemicals and Allied Products</t>
  </si>
  <si>
    <t>Manufacturing - Other</t>
  </si>
  <si>
    <t>Manufacturing - Primary and Fabricated Metal</t>
  </si>
  <si>
    <t>Manufacturing - Industrial / Machinery</t>
  </si>
  <si>
    <t>Manufacturing - Electronic Equipment</t>
  </si>
  <si>
    <t>Manufacturing - Transportation Equipment</t>
  </si>
  <si>
    <t>Manufacturing - Furniture and Fixtures</t>
  </si>
  <si>
    <t>Recycle</t>
  </si>
  <si>
    <t>Additional Trash Reduced</t>
  </si>
  <si>
    <t xml:space="preserve"> Additional Cost Savings*</t>
  </si>
  <si>
    <t>Additional Footprint Reductions</t>
  </si>
  <si>
    <t>Carbon Footprint  Reductions</t>
  </si>
  <si>
    <t>Baseline cost recycle</t>
  </si>
  <si>
    <t>Base tot cost savings</t>
  </si>
  <si>
    <t>Reduction and Recycling Examples</t>
  </si>
  <si>
    <t>Check out what other businesses are saving</t>
  </si>
  <si>
    <t>Source Reduction</t>
  </si>
  <si>
    <t>Estimate using trash cost from bills</t>
  </si>
  <si>
    <r>
      <t>MT CO</t>
    </r>
    <r>
      <rPr>
        <vertAlign val="subscript"/>
        <sz val="11"/>
        <color theme="1"/>
        <rFont val="Calibri"/>
        <family val="2"/>
        <scheme val="minor"/>
      </rPr>
      <t>2</t>
    </r>
    <r>
      <rPr>
        <sz val="11"/>
        <color theme="1"/>
        <rFont val="Calibri"/>
        <family val="2"/>
        <scheme val="minor"/>
      </rPr>
      <t xml:space="preserve">e stands for metric tons of carbon dioxide equivalent.  This is the standard unit used to measure a carbon footprint. Tons of carbon  dioxide, </t>
    </r>
  </si>
  <si>
    <r>
      <t xml:space="preserve">Annual tons </t>
    </r>
    <r>
      <rPr>
        <i/>
        <sz val="11"/>
        <color theme="0" tint="-0.249977111117893"/>
        <rFont val="Calibri"/>
        <family val="2"/>
        <scheme val="minor"/>
      </rPr>
      <t>(est.)</t>
    </r>
  </si>
  <si>
    <r>
      <t xml:space="preserve">Annual cost </t>
    </r>
    <r>
      <rPr>
        <i/>
        <sz val="11"/>
        <color theme="0" tint="-0.249977111117893"/>
        <rFont val="Calibri"/>
        <family val="2"/>
        <scheme val="minor"/>
      </rPr>
      <t>(actual)</t>
    </r>
  </si>
  <si>
    <r>
      <t xml:space="preserve">Annual cost </t>
    </r>
    <r>
      <rPr>
        <i/>
        <sz val="11"/>
        <color theme="0" tint="-0.249977111117893"/>
        <rFont val="Calibri"/>
        <family val="2"/>
        <scheme val="minor"/>
      </rPr>
      <t>(est.)</t>
    </r>
  </si>
  <si>
    <r>
      <t xml:space="preserve">Annual cost </t>
    </r>
    <r>
      <rPr>
        <i/>
        <sz val="11"/>
        <color theme="0" tint="-0.249977111117893"/>
        <rFont val="Calibri"/>
        <family val="2"/>
        <scheme val="minor"/>
      </rPr>
      <t>(actual)*</t>
    </r>
  </si>
  <si>
    <t>Graph data</t>
  </si>
  <si>
    <t>Baseline tons, cost savings, and emissions</t>
  </si>
  <si>
    <t>New source reduction tons, cost savings, and emissions reductions</t>
  </si>
  <si>
    <t>Additional tons to diversion, cost savings, and emission reductions</t>
  </si>
  <si>
    <t>Source reduction + Diversion Results</t>
  </si>
  <si>
    <t>Wood (pallets, etc.)</t>
  </si>
  <si>
    <t>Shared?</t>
  </si>
  <si>
    <t>Costs in the "Total Cost" graph above reflect your estimated current and future disposal and recycling costs.</t>
  </si>
  <si>
    <t>methane, and other greenhouse gases are all accounted for and converted to MT CO2e.  These gases are emitted when you dispose and recycle.</t>
  </si>
  <si>
    <t>Wood (pallets)</t>
  </si>
  <si>
    <t># pickups/week</t>
  </si>
  <si>
    <t>Shared ?</t>
  </si>
  <si>
    <r>
      <rPr>
        <b/>
        <i/>
        <sz val="9.5"/>
        <color theme="1"/>
        <rFont val="Calibri"/>
        <family val="2"/>
        <scheme val="minor"/>
      </rPr>
      <t>*Note:</t>
    </r>
    <r>
      <rPr>
        <i/>
        <sz val="9.5"/>
        <color theme="1"/>
        <rFont val="Calibri"/>
        <family val="2"/>
        <scheme val="minor"/>
      </rPr>
      <t xml:space="preserve"> Negative cost means revenue from selling recyclables</t>
    </r>
  </si>
  <si>
    <t>Container A</t>
  </si>
  <si>
    <t>Container type F</t>
  </si>
  <si>
    <t>F</t>
  </si>
  <si>
    <t>Container  type D</t>
  </si>
  <si>
    <r>
      <rPr>
        <b/>
        <i/>
        <sz val="9.5"/>
        <color theme="0" tint="-0.249977111117893"/>
        <rFont val="Calibri"/>
        <family val="2"/>
        <scheme val="minor"/>
      </rPr>
      <t>Tip:</t>
    </r>
    <r>
      <rPr>
        <i/>
        <sz val="9.5"/>
        <color theme="0" tint="-0.249977111117893"/>
        <rFont val="Calibri"/>
        <family val="2"/>
        <scheme val="minor"/>
      </rPr>
      <t xml:space="preserve">  If you have containers of multiple sizes or with different materials, enter information for the first here, and then additional sizes below in the  </t>
    </r>
  </si>
  <si>
    <t>Commercial Climate Calculator</t>
  </si>
  <si>
    <r>
      <t xml:space="preserve">Annual cost </t>
    </r>
    <r>
      <rPr>
        <i/>
        <sz val="11"/>
        <color theme="0" tint="-0.249977111117893"/>
        <rFont val="Calibri"/>
        <family val="2"/>
        <scheme val="minor"/>
      </rPr>
      <t>(revised)</t>
    </r>
  </si>
  <si>
    <r>
      <t xml:space="preserve">Annual cost </t>
    </r>
    <r>
      <rPr>
        <i/>
        <sz val="11"/>
        <color theme="0" tint="-0.249977111117893"/>
        <rFont val="Calibri"/>
        <family val="2"/>
        <scheme val="minor"/>
      </rPr>
      <t>(est.)</t>
    </r>
    <r>
      <rPr>
        <sz val="11"/>
        <color theme="0" tint="-0.249977111117893"/>
        <rFont val="Calibri"/>
        <family val="2"/>
        <scheme val="minor"/>
      </rPr>
      <t>*</t>
    </r>
  </si>
  <si>
    <r>
      <t xml:space="preserve">Cost </t>
    </r>
    <r>
      <rPr>
        <i/>
        <sz val="11"/>
        <color theme="0" tint="-0.249977111117893"/>
        <rFont val="Calibri"/>
        <family val="2"/>
        <scheme val="minor"/>
      </rPr>
      <t>(actual)</t>
    </r>
    <r>
      <rPr>
        <sz val="11"/>
        <color theme="0" tint="-0.249977111117893"/>
        <rFont val="Calibri"/>
        <family val="2"/>
        <scheme val="minor"/>
      </rPr>
      <t>*</t>
    </r>
  </si>
  <si>
    <r>
      <t xml:space="preserve">Cost </t>
    </r>
    <r>
      <rPr>
        <i/>
        <sz val="11"/>
        <color theme="0" tint="-0.249977111117893"/>
        <rFont val="Calibri"/>
        <family val="2"/>
        <scheme val="minor"/>
      </rPr>
      <t>(revised)</t>
    </r>
    <r>
      <rPr>
        <sz val="11"/>
        <color theme="0" tint="-0.249977111117893"/>
        <rFont val="Calibri"/>
        <family val="2"/>
        <scheme val="minor"/>
      </rPr>
      <t>*</t>
    </r>
  </si>
  <si>
    <t>Service Level</t>
  </si>
  <si>
    <t>Freq (or #)</t>
  </si>
  <si>
    <t>Size</t>
  </si>
  <si>
    <t>Unit</t>
  </si>
  <si>
    <t>Total Vol</t>
  </si>
  <si>
    <t>Monthly Cost</t>
  </si>
  <si>
    <t>Gal</t>
  </si>
  <si>
    <t>CY</t>
  </si>
  <si>
    <t>Collection Frequency (Pickups per Week)</t>
  </si>
  <si>
    <t>Custom Rate Information</t>
  </si>
  <si>
    <t>Use the tables below to enter custom rate information from your local hauler</t>
  </si>
  <si>
    <t>Amt Option 2</t>
  </si>
  <si>
    <t>Cost Option 1</t>
  </si>
  <si>
    <t>Annual cubic Yards</t>
  </si>
  <si>
    <t>Cap met?</t>
  </si>
  <si>
    <t>Cost of caps</t>
  </si>
  <si>
    <t>Final current annual cost</t>
  </si>
  <si>
    <t>Amt Option 1 or 3</t>
  </si>
  <si>
    <t>Cost Option 2</t>
  </si>
  <si>
    <t>Cost diff</t>
  </si>
  <si>
    <t>Annual CY</t>
  </si>
  <si>
    <t>Volume changes (for service level calculations, in Cys)</t>
  </si>
  <si>
    <t>Trash to SR</t>
  </si>
  <si>
    <t>Trash to Rec</t>
  </si>
  <si>
    <t>Trash to Org</t>
  </si>
  <si>
    <t>Rec to SR</t>
  </si>
  <si>
    <t>Density factors</t>
  </si>
  <si>
    <t>Current Calculations</t>
  </si>
  <si>
    <t>Future Calculations</t>
  </si>
  <si>
    <t>Baseline CY</t>
  </si>
  <si>
    <t>Final CY</t>
  </si>
  <si>
    <t>New Cost</t>
  </si>
  <si>
    <t xml:space="preserve">Check this box to use these custom solid waste collection rates </t>
  </si>
  <si>
    <t>% Vol Trash (for $)</t>
  </si>
  <si>
    <t>Cost Savings</t>
  </si>
  <si>
    <t>Cost:</t>
  </si>
  <si>
    <t>Cost Savings (from decreased waste)</t>
  </si>
  <si>
    <t>Use custom rates</t>
  </si>
  <si>
    <t>Amt Option 4</t>
  </si>
  <si>
    <t>Waste Cost Savings</t>
  </si>
  <si>
    <t>Click here for guidelines about actions</t>
  </si>
  <si>
    <t>WASTE: Standard Rate Info</t>
  </si>
  <si>
    <t>WASTE: Current Rate Estimation from Vol</t>
  </si>
  <si>
    <t>WASTE Future Rate Estimation from Vol</t>
  </si>
  <si>
    <t>WASTE</t>
  </si>
  <si>
    <t>RECYCLING</t>
  </si>
  <si>
    <t xml:space="preserve">Check this box to use these custom recycling collection rates </t>
  </si>
  <si>
    <t>WASTE CALCULATIONS</t>
  </si>
  <si>
    <t>ORGANICS</t>
  </si>
  <si>
    <t xml:space="preserve">Check this box to use these custom organics collection rates </t>
  </si>
  <si>
    <t>Recycling: Standard Rate Info</t>
  </si>
  <si>
    <t>REC: Current Rate Estimation from Vol</t>
  </si>
  <si>
    <t>WASTE Current Vol Estimation from Rate</t>
  </si>
  <si>
    <t>REC Future Rate Estimation from Vol</t>
  </si>
  <si>
    <t>Organics</t>
  </si>
  <si>
    <t>REC/ORG CALCULATIONS</t>
  </si>
  <si>
    <t>Annual Tons</t>
  </si>
  <si>
    <t>Organics: Standard Rate Info</t>
  </si>
  <si>
    <t>ORG: Current Rate Estimation from Vol</t>
  </si>
  <si>
    <t>ORG Future Rate Estimation from Vol</t>
  </si>
  <si>
    <t>Custom rates?</t>
  </si>
  <si>
    <t>Solid Waste Collection Monthly Rate Sheet</t>
  </si>
  <si>
    <t>Recycling Collection Monthly Rate Sheet</t>
  </si>
  <si>
    <t>Organics Collection Monthly Rate Sheet</t>
  </si>
  <si>
    <t>Org to SR</t>
  </si>
  <si>
    <t>CY Decrease</t>
  </si>
  <si>
    <t>CY Increase</t>
  </si>
  <si>
    <t>Diversion Cost Savings</t>
  </si>
  <si>
    <t>% Vol Rec (for $)</t>
  </si>
  <si>
    <t>Final Cost Savings (custom rates or no)</t>
  </si>
  <si>
    <t>Waste</t>
  </si>
  <si>
    <t>If you know your local service rates and would like to enter these into the calculator for more accurate results, click here</t>
  </si>
  <si>
    <t>To return to the Current_Trash tab, click here</t>
  </si>
  <si>
    <t>To return to the Current_Recycling tab, click here</t>
  </si>
  <si>
    <t>To return to the Future_Benefits tab, click here</t>
  </si>
  <si>
    <r>
      <t xml:space="preserve">Enter general business information in yellow cells </t>
    </r>
    <r>
      <rPr>
        <sz val="11"/>
        <color theme="1"/>
        <rFont val="Calibri"/>
        <family val="2"/>
        <scheme val="minor"/>
      </rPr>
      <t xml:space="preserve"> (Step 1.1, required)</t>
    </r>
  </si>
  <si>
    <r>
      <t xml:space="preserve">Select your current recycling programs </t>
    </r>
    <r>
      <rPr>
        <b/>
        <i/>
        <sz val="11"/>
        <color theme="1"/>
        <rFont val="Calibri"/>
        <family val="2"/>
        <scheme val="minor"/>
      </rPr>
      <t>(select one column)</t>
    </r>
    <r>
      <rPr>
        <sz val="11"/>
        <color theme="1"/>
        <rFont val="Calibri"/>
        <family val="2"/>
        <scheme val="minor"/>
      </rPr>
      <t xml:space="preserve">  (Step 1.2, required)</t>
    </r>
  </si>
  <si>
    <r>
      <t xml:space="preserve">Do you have any information about the amount, cost, or makeup of your current trash or recycling? </t>
    </r>
    <r>
      <rPr>
        <sz val="11"/>
        <color theme="1"/>
        <rFont val="Calibri"/>
        <family val="2"/>
        <scheme val="minor"/>
      </rPr>
      <t xml:space="preserve"> (Step 1.3, optional)</t>
    </r>
  </si>
  <si>
    <r>
      <t xml:space="preserve">Revise current landfilled trash information </t>
    </r>
    <r>
      <rPr>
        <i/>
        <sz val="11"/>
        <color theme="1"/>
        <rFont val="Calibri"/>
        <family val="2"/>
        <scheme val="minor"/>
      </rPr>
      <t xml:space="preserve">(if known) </t>
    </r>
    <r>
      <rPr>
        <sz val="11"/>
        <color theme="1"/>
        <rFont val="Calibri"/>
        <family val="2"/>
        <scheme val="minor"/>
      </rPr>
      <t>(Step 2.1, optional)</t>
    </r>
  </si>
  <si>
    <r>
      <t>What do you know about your trash amount?</t>
    </r>
    <r>
      <rPr>
        <sz val="13"/>
        <color theme="0"/>
        <rFont val="Calibri"/>
        <family val="2"/>
        <scheme val="minor"/>
      </rPr>
      <t xml:space="preserve"> </t>
    </r>
    <r>
      <rPr>
        <sz val="12"/>
        <color theme="0"/>
        <rFont val="Calibri"/>
        <family val="2"/>
        <scheme val="minor"/>
      </rPr>
      <t>(select one answer and enter annual data) (Step 2.1a.)</t>
    </r>
  </si>
  <si>
    <r>
      <t>What do you know about the cost of your trash?</t>
    </r>
    <r>
      <rPr>
        <sz val="13"/>
        <color theme="0"/>
        <rFont val="Calibri"/>
        <family val="2"/>
        <scheme val="minor"/>
      </rPr>
      <t xml:space="preserve"> </t>
    </r>
    <r>
      <rPr>
        <sz val="12"/>
        <color theme="0"/>
        <rFont val="Calibri"/>
        <family val="2"/>
        <scheme val="minor"/>
      </rPr>
      <t>(select one answer and enter annual data) (Step 2.1b.)</t>
    </r>
  </si>
  <si>
    <r>
      <t xml:space="preserve">Would you like to revise your current recycling information? </t>
    </r>
    <r>
      <rPr>
        <sz val="11"/>
        <color theme="1"/>
        <rFont val="Calibri"/>
        <family val="2"/>
        <scheme val="minor"/>
      </rPr>
      <t>(Step 2.2, optional)</t>
    </r>
  </si>
  <si>
    <r>
      <t xml:space="preserve">Revise current recycling information </t>
    </r>
    <r>
      <rPr>
        <i/>
        <sz val="11"/>
        <color theme="1"/>
        <rFont val="Calibri"/>
        <family val="2"/>
        <scheme val="minor"/>
      </rPr>
      <t>(if known)</t>
    </r>
    <r>
      <rPr>
        <sz val="11"/>
        <color theme="1"/>
        <rFont val="Calibri"/>
        <family val="2"/>
        <scheme val="minor"/>
      </rPr>
      <t xml:space="preserve"> (Step 3.1, optional)</t>
    </r>
  </si>
  <si>
    <r>
      <t>What do you know about the cost of your recycling?</t>
    </r>
    <r>
      <rPr>
        <sz val="13"/>
        <color theme="0"/>
        <rFont val="Calibri"/>
        <family val="2"/>
        <scheme val="minor"/>
      </rPr>
      <t xml:space="preserve"> </t>
    </r>
    <r>
      <rPr>
        <sz val="12"/>
        <color theme="0"/>
        <rFont val="Calibri"/>
        <family val="2"/>
        <scheme val="minor"/>
      </rPr>
      <t>(select one answer and enter annual data) (Step 3.1b.)</t>
    </r>
  </si>
  <si>
    <r>
      <t>What do you know about your recycling amount?</t>
    </r>
    <r>
      <rPr>
        <sz val="13"/>
        <color theme="0"/>
        <rFont val="Calibri"/>
        <family val="2"/>
        <scheme val="minor"/>
      </rPr>
      <t xml:space="preserve"> </t>
    </r>
    <r>
      <rPr>
        <sz val="12"/>
        <color theme="0"/>
        <rFont val="Calibri"/>
        <family val="2"/>
        <scheme val="minor"/>
      </rPr>
      <t>(select one answer and enter annual data) (Step 3.1a.)</t>
    </r>
  </si>
  <si>
    <r>
      <t xml:space="preserve">Enter information for multiple containers </t>
    </r>
    <r>
      <rPr>
        <sz val="11"/>
        <color theme="1"/>
        <rFont val="Calibri"/>
        <family val="2"/>
        <scheme val="minor"/>
      </rPr>
      <t>(Step 2.1a. continued)</t>
    </r>
  </si>
  <si>
    <r>
      <t xml:space="preserve">Would you like to revise your current trash information? </t>
    </r>
    <r>
      <rPr>
        <sz val="11"/>
        <color theme="1"/>
        <rFont val="Calibri"/>
        <family val="2"/>
        <scheme val="minor"/>
      </rPr>
      <t>(Step 3.2, optional)</t>
    </r>
  </si>
  <si>
    <r>
      <t xml:space="preserve">Enter information for multiple containers </t>
    </r>
    <r>
      <rPr>
        <sz val="11"/>
        <color theme="1"/>
        <rFont val="Calibri"/>
        <family val="2"/>
        <scheme val="minor"/>
      </rPr>
      <t>(Step 3.1a. continued)</t>
    </r>
  </si>
  <si>
    <r>
      <t xml:space="preserve">Check out the benefits </t>
    </r>
    <r>
      <rPr>
        <sz val="11"/>
        <color theme="1"/>
        <rFont val="Calibri"/>
        <family val="2"/>
        <scheme val="minor"/>
      </rPr>
      <t>(Step 4.1, required)</t>
    </r>
  </si>
  <si>
    <t>Too much Trash</t>
  </si>
  <si>
    <t>Max vol with cost</t>
  </si>
  <si>
    <t>Max Vol</t>
  </si>
  <si>
    <t xml:space="preserve">Cap CYs </t>
  </si>
  <si>
    <t>Max Cost</t>
  </si>
  <si>
    <t>Cap Cost</t>
  </si>
  <si>
    <t>Too much Recycle</t>
  </si>
  <si>
    <t>Max R Vol</t>
  </si>
  <si>
    <t>Max C Vol</t>
  </si>
  <si>
    <t>Current number</t>
  </si>
  <si>
    <t>Future number</t>
  </si>
  <si>
    <t>Business Sector</t>
  </si>
  <si>
    <t>Have mixed recycling (all materials go in one bin)</t>
  </si>
  <si>
    <t xml:space="preserve">If you have multiple sizes or separate containers for different materials, enter information here: </t>
  </si>
  <si>
    <t>Emissions from the electricity use of</t>
  </si>
  <si>
    <t>Cu. Yards</t>
  </si>
  <si>
    <t>Click here to return to Future Benefits</t>
  </si>
  <si>
    <t>Return to Future Benefits to review the cost and GHG savings of recycling and reduction</t>
  </si>
  <si>
    <t>If you know your local service rates and would like to enter these into the calculator for more accurate cost saving results, click here</t>
  </si>
  <si>
    <t>Cost shared?</t>
  </si>
  <si>
    <t>Quantity shared?</t>
  </si>
  <si>
    <t>To use this option, enter actual cost in Step 2.1b (cell K25).</t>
  </si>
  <si>
    <t>4. Future Benefits of Recycling &amp; Reduction</t>
  </si>
  <si>
    <t>Emissions from</t>
  </si>
  <si>
    <t>barrels of oil consumed.</t>
  </si>
  <si>
    <t>Additional</t>
  </si>
  <si>
    <t>NA</t>
  </si>
  <si>
    <t>Estimate annual tons</t>
  </si>
  <si>
    <t>Glass (Flat and Other)</t>
  </si>
  <si>
    <r>
      <t xml:space="preserve">Do you know what materials are in your trash? </t>
    </r>
    <r>
      <rPr>
        <sz val="12"/>
        <color theme="0"/>
        <rFont val="Calibri"/>
        <family val="2"/>
        <scheme val="minor"/>
      </rPr>
      <t>(Step 2.1c.)</t>
    </r>
  </si>
  <si>
    <t>No, use averages*</t>
  </si>
  <si>
    <t>Yes, change makeup*</t>
  </si>
  <si>
    <t>By weight</t>
  </si>
  <si>
    <r>
      <t xml:space="preserve">*How would you like to review and change what materials are in your trash? </t>
    </r>
    <r>
      <rPr>
        <i/>
        <sz val="11"/>
        <color theme="1"/>
        <rFont val="Calibri"/>
        <family val="2"/>
        <scheme val="minor"/>
      </rPr>
      <t>(select)</t>
    </r>
  </si>
  <si>
    <t>Changed makeup profile-- BY WEIGHT</t>
  </si>
  <si>
    <r>
      <t xml:space="preserve">*How would you like to review and change what materials are in your recycling? </t>
    </r>
    <r>
      <rPr>
        <i/>
        <sz val="11"/>
        <color theme="1"/>
        <rFont val="Calibri"/>
        <family val="2"/>
        <scheme val="minor"/>
      </rPr>
      <t>(select)</t>
    </r>
  </si>
  <si>
    <t>Error checking</t>
  </si>
  <si>
    <t>Sector entered?</t>
  </si>
  <si>
    <t>County entered?</t>
  </si>
  <si>
    <t>Visitors per year</t>
  </si>
  <si>
    <t>Materials?</t>
  </si>
  <si>
    <t>Multichecks?</t>
  </si>
  <si>
    <t>Possible errors</t>
  </si>
  <si>
    <t>Estimate using trash cost from bills, no trash cost entered in cell K25</t>
  </si>
  <si>
    <t>Estimate using information about containers and pickups, some information missing in cells K11:L16</t>
  </si>
  <si>
    <t>Estimate using actual trash from bills, some information missing in cells P10:Q14</t>
  </si>
  <si>
    <t>Estimate cost using actual cost, some information missing in cells K25:K27</t>
  </si>
  <si>
    <t>Changed makeup of trash doesn't add to 100%</t>
  </si>
  <si>
    <t>Some information missing on General Info tab</t>
  </si>
  <si>
    <r>
      <t>Have you entered all of the required information?</t>
    </r>
    <r>
      <rPr>
        <sz val="11"/>
        <color theme="1"/>
        <rFont val="Calibri"/>
        <family val="2"/>
        <scheme val="minor"/>
      </rPr>
      <t xml:space="preserve"> (error check for Step 2.1)</t>
    </r>
  </si>
  <si>
    <r>
      <t xml:space="preserve">Have you entered all of the required information? </t>
    </r>
    <r>
      <rPr>
        <sz val="11"/>
        <color theme="1"/>
        <rFont val="Calibri"/>
        <family val="2"/>
        <scheme val="minor"/>
      </rPr>
      <t>(error check for Steps 1.1 and 1.2)</t>
    </r>
  </si>
  <si>
    <t>Estimate cost using actual cost, some information missing in cells K27:K29</t>
  </si>
  <si>
    <t>Selected don't have recycling</t>
  </si>
  <si>
    <t>If your trash and recycling are billed together, contact your collection company to determine how best to split the costs for this analysis.</t>
  </si>
  <si>
    <t>If your trash and recycling are billed together, contact your collection company to determine how to split the costs for this analysis.</t>
  </si>
  <si>
    <r>
      <t>Have you entered all of the required information?</t>
    </r>
    <r>
      <rPr>
        <sz val="11"/>
        <color theme="1"/>
        <rFont val="Calibri"/>
        <family val="2"/>
        <scheme val="minor"/>
      </rPr>
      <t xml:space="preserve"> (error check for Step 3.1)</t>
    </r>
  </si>
  <si>
    <t>Matches current cost?</t>
  </si>
  <si>
    <t>Min</t>
  </si>
  <si>
    <t>Recycling and reduction are different; click here for definitions</t>
  </si>
  <si>
    <r>
      <t>metric tons of CO</t>
    </r>
    <r>
      <rPr>
        <b/>
        <vertAlign val="subscript"/>
        <sz val="11"/>
        <color theme="1"/>
        <rFont val="Calibri"/>
        <family val="2"/>
        <scheme val="minor"/>
      </rPr>
      <t>2</t>
    </r>
    <r>
      <rPr>
        <b/>
        <sz val="11"/>
        <color theme="1"/>
        <rFont val="Calibri"/>
        <family val="2"/>
        <scheme val="minor"/>
      </rPr>
      <t>e is roughly equal to:</t>
    </r>
  </si>
  <si>
    <r>
      <t>It can be difficu</t>
    </r>
    <r>
      <rPr>
        <sz val="11"/>
        <rFont val="Calibri"/>
        <family val="2"/>
        <scheme val="minor"/>
      </rPr>
      <t>lt to visualize</t>
    </r>
    <r>
      <rPr>
        <sz val="11"/>
        <color theme="1"/>
        <rFont val="Calibri"/>
        <family val="2"/>
        <scheme val="minor"/>
      </rPr>
      <t xml:space="preserve"> what a MT CO2e really means.  For this reason, </t>
    </r>
    <r>
      <rPr>
        <b/>
        <sz val="11"/>
        <color theme="1"/>
        <rFont val="Calibri"/>
        <family val="2"/>
        <scheme val="minor"/>
      </rPr>
      <t>your additional and total</t>
    </r>
    <r>
      <rPr>
        <sz val="11"/>
        <color theme="1"/>
        <rFont val="Calibri"/>
        <family val="2"/>
        <scheme val="minor"/>
      </rPr>
      <t xml:space="preserve"> future emission reductions, including your  </t>
    </r>
  </si>
  <si>
    <t>current estimated emission reductions and any reductions from future actions, are shown below in  easier-to-understand terms.</t>
  </si>
  <si>
    <t>No checks?</t>
  </si>
  <si>
    <r>
      <t xml:space="preserve">Tip:  </t>
    </r>
    <r>
      <rPr>
        <i/>
        <sz val="9.5"/>
        <color theme="0" tint="-0.249977111117893"/>
        <rFont val="Calibri"/>
        <family val="2"/>
        <scheme val="minor"/>
      </rPr>
      <t xml:space="preserve">If you have containers of multiple sizes, enter information for the first container here, and then additional sizes below in the  </t>
    </r>
  </si>
  <si>
    <r>
      <t>Annual cost for A</t>
    </r>
    <r>
      <rPr>
        <i/>
        <sz val="11"/>
        <color theme="0" tint="-0.249977111117893"/>
        <rFont val="Calibri"/>
        <family val="2"/>
        <scheme val="minor"/>
      </rPr>
      <t>(est.)*</t>
    </r>
  </si>
  <si>
    <t>Makes up MR</t>
  </si>
  <si>
    <r>
      <t xml:space="preserve">Do you know what materials are in </t>
    </r>
    <r>
      <rPr>
        <b/>
        <u/>
        <sz val="13"/>
        <color theme="0"/>
        <rFont val="Calibri"/>
        <family val="2"/>
        <scheme val="minor"/>
      </rPr>
      <t>all</t>
    </r>
    <r>
      <rPr>
        <b/>
        <sz val="13"/>
        <color theme="0"/>
        <rFont val="Calibri"/>
        <family val="2"/>
        <scheme val="minor"/>
      </rPr>
      <t xml:space="preserve"> of your recycling? </t>
    </r>
    <r>
      <rPr>
        <sz val="12"/>
        <color theme="0"/>
        <rFont val="Calibri"/>
        <family val="2"/>
        <scheme val="minor"/>
      </rPr>
      <t>(Step 3.1c.)</t>
    </r>
  </si>
  <si>
    <t>Click here to evaluate the benefits of recycling or eliminating your trash (tab 4)</t>
  </si>
  <si>
    <t>Click here to enter current trash information that is different than industry averages* (tab 2)</t>
  </si>
  <si>
    <t>Click here to enter current recycling information that is different than industry averages* (tab 3)</t>
  </si>
  <si>
    <t>Don't know your business sector?  Click here for Glossary (tab 7)</t>
  </si>
  <si>
    <t>Click here to evaluate the benefits of reducing or recycling/composting your trash (tab 4)</t>
  </si>
  <si>
    <t>Click here to enter current recycling information that is different than averages (tab 3)</t>
  </si>
  <si>
    <t>Click here to revise the general information you entered previously (tab 1)</t>
  </si>
  <si>
    <t>Click here to enter current trash information that is different than averages (tab 2)</t>
  </si>
  <si>
    <t xml:space="preserve">If you know your local service rates and would like to enter these into the calculator for more accurate results, click here </t>
  </si>
  <si>
    <t>Click here to view a printable report of your calculator results (tab 5)</t>
  </si>
  <si>
    <t>Click here to revise your trash information (tab 2)</t>
  </si>
  <si>
    <t>Click here to revise your recycling information (tab 3)</t>
  </si>
  <si>
    <r>
      <t xml:space="preserve">Have separate material program(s) </t>
    </r>
    <r>
      <rPr>
        <i/>
        <sz val="10"/>
        <color theme="1"/>
        <rFont val="Calibri"/>
        <family val="2"/>
        <scheme val="minor"/>
      </rPr>
      <t>[check box and then select up to 6 materials below]</t>
    </r>
  </si>
  <si>
    <t>What can your dumpster do for you?</t>
  </si>
  <si>
    <t>1. Plan Ahead</t>
  </si>
  <si>
    <t>Garbage</t>
  </si>
  <si>
    <t>Recyclable</t>
  </si>
  <si>
    <t>Compostable</t>
  </si>
  <si>
    <t>TEEST BIZ</t>
  </si>
  <si>
    <t>By volume</t>
  </si>
  <si>
    <t>Monthly cost</t>
  </si>
  <si>
    <t>Office paper</t>
  </si>
  <si>
    <t>Mixed paper</t>
  </si>
  <si>
    <t>Compostable paper</t>
  </si>
  <si>
    <t>Other paper</t>
  </si>
  <si>
    <t>Plastic containers</t>
  </si>
  <si>
    <t>Compostable plastic</t>
  </si>
  <si>
    <t>Other plastic</t>
  </si>
  <si>
    <t>Metal containers</t>
  </si>
  <si>
    <t>Recyclable metal</t>
  </si>
  <si>
    <t>Other metal</t>
  </si>
  <si>
    <t>Other glass</t>
  </si>
  <si>
    <t>Plant trimmings</t>
  </si>
  <si>
    <t>Electronics</t>
  </si>
  <si>
    <t>Clean wood</t>
  </si>
  <si>
    <t>Notes</t>
  </si>
  <si>
    <t>Misc. construction</t>
  </si>
  <si>
    <t>Plastic bags/wrap</t>
  </si>
  <si>
    <t>TOTAL</t>
  </si>
  <si>
    <t>Recycle 1</t>
  </si>
  <si>
    <t>Recycle 2</t>
  </si>
  <si>
    <t>Other (trash)</t>
  </si>
  <si>
    <t>gal</t>
  </si>
  <si>
    <t>Compactor?</t>
  </si>
  <si>
    <t>A. Before you dive in…</t>
  </si>
  <si>
    <t>Recyclables</t>
  </si>
  <si>
    <t>Compostables</t>
  </si>
  <si>
    <t>Current Service Levels</t>
  </si>
  <si>
    <t>Bin Size</t>
  </si>
  <si>
    <t>How full are bins at pickup?</t>
  </si>
  <si>
    <t>R</t>
  </si>
  <si>
    <t>T</t>
  </si>
  <si>
    <t>cubic yd</t>
  </si>
  <si>
    <t>Ctypes</t>
  </si>
  <si>
    <t>Rtypes1</t>
  </si>
  <si>
    <t>Rtypes2</t>
  </si>
  <si>
    <t>Mixed Recycling</t>
  </si>
  <si>
    <t>Plastic</t>
  </si>
  <si>
    <t>Metal</t>
  </si>
  <si>
    <t>Yard &amp; Food</t>
  </si>
  <si>
    <t>galtocy</t>
  </si>
  <si>
    <t>vol(cy)</t>
  </si>
  <si>
    <t>COM</t>
  </si>
  <si>
    <t>compaction ratio</t>
  </si>
  <si>
    <t>Cvol</t>
  </si>
  <si>
    <t>Tot capacity</t>
  </si>
  <si>
    <t>Actual Vol</t>
  </si>
  <si>
    <t>Full</t>
  </si>
  <si>
    <t>Current Svc Pie Graph</t>
  </si>
  <si>
    <t>Current Recycle Rate</t>
  </si>
  <si>
    <t>Material Categories</t>
  </si>
  <si>
    <t>weekly vol</t>
  </si>
  <si>
    <t>pounds/week</t>
  </si>
  <si>
    <t>tons/yr</t>
  </si>
  <si>
    <t>WARM factor</t>
  </si>
  <si>
    <t>Contents Graphs</t>
  </si>
  <si>
    <t>divert</t>
  </si>
  <si>
    <t>divert tonnage</t>
  </si>
  <si>
    <t>save GHGs</t>
  </si>
  <si>
    <t>save cost</t>
  </si>
  <si>
    <t>rank</t>
  </si>
  <si>
    <t>If you diverted all of the recyclable &amp; compostable material in your trash, you could:</t>
  </si>
  <si>
    <t>GHG reduc</t>
  </si>
  <si>
    <t>Classify</t>
  </si>
  <si>
    <t>MSDF (lb/CY)</t>
  </si>
  <si>
    <t>WARM (per Ton)</t>
  </si>
  <si>
    <t>pounds per ton</t>
  </si>
  <si>
    <t>labels</t>
  </si>
  <si>
    <t>Other bin contents</t>
  </si>
  <si>
    <t>Pickups per week</t>
  </si>
  <si>
    <t>Compacted?</t>
  </si>
  <si>
    <t># Bins</t>
  </si>
  <si>
    <t>Current 
Recycling Rate:</t>
  </si>
  <si>
    <t>Audit Notes</t>
  </si>
  <si>
    <t>If you diverted all recyclables in your trash, you could:</t>
  </si>
  <si>
    <t>If you diverted all compostables in your trash, you could:</t>
  </si>
  <si>
    <t>cubic yards per week</t>
  </si>
  <si>
    <t>reduce greenhouse gas emissions by</t>
  </si>
  <si>
    <t>mtCO2e per year</t>
  </si>
  <si>
    <t>tons of recyclable material from the landfill annually</t>
  </si>
  <si>
    <t>tons of compostable material from the landfill annually</t>
  </si>
  <si>
    <t>Potential
Recycling Rate:</t>
  </si>
  <si>
    <t>Potential Recycling Rate</t>
  </si>
  <si>
    <t>TOTAL potential R Rate</t>
  </si>
  <si>
    <t>Seattle Business Waste Assessment</t>
  </si>
  <si>
    <t>Supplies and information you'll need to conduct a waste assessment</t>
  </si>
  <si>
    <t>Other non-recoverable paper</t>
  </si>
  <si>
    <t>Other non-recoverable plastic</t>
  </si>
  <si>
    <t>Other non-recoverable metal</t>
  </si>
  <si>
    <t>Other non-recoverable glass</t>
  </si>
  <si>
    <t>Misc. construction (non-recoverable)</t>
  </si>
  <si>
    <t>Other non-recoverable materials</t>
  </si>
  <si>
    <t>Recycling Potential</t>
  </si>
  <si>
    <t>1. PLAN AHEAD</t>
  </si>
  <si>
    <t>2. GATHER DATA</t>
  </si>
  <si>
    <t>3. ANALYZE RESULTS</t>
  </si>
  <si>
    <t>Containers</t>
  </si>
  <si>
    <t>Material 
Stream</t>
  </si>
  <si>
    <t>SUPPLIES</t>
  </si>
  <si>
    <t>DATA TOOLS</t>
  </si>
  <si>
    <t xml:space="preserve"> 2. Gather Data/Conduct Assessment</t>
  </si>
  <si>
    <t>A. Print form or use a tablet computer to enter information directly.</t>
  </si>
  <si>
    <t xml:space="preserve">Seattle's New Food Packaging Requirements </t>
  </si>
  <si>
    <t xml:space="preserve">Seattle's C&amp;D Recycling Requirements </t>
  </si>
  <si>
    <t>50% or less     75%   Full  Overflow</t>
  </si>
  <si>
    <t>Date</t>
  </si>
  <si>
    <t>4. THEN…TAKE ACTION!</t>
  </si>
  <si>
    <t>Results for:</t>
  </si>
  <si>
    <t>Average of Steel Cans, Mixed Metals, Aluminum Cans, and Copper Wire</t>
  </si>
  <si>
    <t>FEECO, Tellus</t>
  </si>
  <si>
    <t>U.S. EPA, FEECO</t>
  </si>
  <si>
    <t>Average of Mixed Paper and Food Scraps</t>
  </si>
  <si>
    <t>Waste Stream Classification</t>
  </si>
  <si>
    <t>per Ton of Material Recycled</t>
  </si>
  <si>
    <t>per Ton of Material Landfilled</t>
  </si>
  <si>
    <t>per Ton of Material Composted</t>
  </si>
  <si>
    <t>N/A</t>
  </si>
  <si>
    <t xml:space="preserve">Average of CRT and TVs &amp; computer-related electronics </t>
  </si>
  <si>
    <r>
      <rPr>
        <sz val="10"/>
        <color theme="1"/>
        <rFont val="Wingdings"/>
        <charset val="2"/>
      </rPr>
      <t>ü</t>
    </r>
    <r>
      <rPr>
        <sz val="10"/>
        <color theme="1"/>
        <rFont val="Calibri"/>
        <family val="2"/>
      </rPr>
      <t xml:space="preserve"> </t>
    </r>
    <r>
      <rPr>
        <sz val="10"/>
        <color theme="1"/>
        <rFont val="Calibri"/>
        <family val="2"/>
        <scheme val="minor"/>
      </rPr>
      <t xml:space="preserve">puncture-proof gloves  
</t>
    </r>
    <r>
      <rPr>
        <sz val="10"/>
        <color theme="1"/>
        <rFont val="Wingdings"/>
        <charset val="2"/>
      </rPr>
      <t>ü</t>
    </r>
    <r>
      <rPr>
        <sz val="10"/>
        <color theme="1"/>
        <rFont val="Calibri"/>
        <family val="2"/>
        <scheme val="minor"/>
      </rPr>
      <t xml:space="preserve"> box cutter 
</t>
    </r>
    <r>
      <rPr>
        <sz val="10"/>
        <color theme="1"/>
        <rFont val="Wingdings"/>
        <charset val="2"/>
      </rPr>
      <t>ü</t>
    </r>
    <r>
      <rPr>
        <sz val="10"/>
        <color theme="1"/>
        <rFont val="Calibri"/>
        <family val="2"/>
        <scheme val="minor"/>
      </rPr>
      <t xml:space="preserve"> tape measure 
</t>
    </r>
    <r>
      <rPr>
        <sz val="10"/>
        <color theme="1"/>
        <rFont val="Wingdings"/>
        <charset val="2"/>
      </rPr>
      <t>ü</t>
    </r>
    <r>
      <rPr>
        <sz val="10"/>
        <color theme="1"/>
        <rFont val="Calibri"/>
        <family val="2"/>
        <scheme val="minor"/>
      </rPr>
      <t xml:space="preserve"> eye protection 
</t>
    </r>
    <r>
      <rPr>
        <sz val="10"/>
        <color theme="1"/>
        <rFont val="Wingdings"/>
        <charset val="2"/>
      </rPr>
      <t>ü</t>
    </r>
    <r>
      <rPr>
        <sz val="10"/>
        <color theme="1"/>
        <rFont val="Calibri"/>
        <family val="2"/>
        <scheme val="minor"/>
      </rPr>
      <t xml:space="preserve"> first aid kit 
</t>
    </r>
    <r>
      <rPr>
        <sz val="10"/>
        <color theme="1"/>
        <rFont val="Wingdings"/>
        <charset val="2"/>
      </rPr>
      <t>ü</t>
    </r>
    <r>
      <rPr>
        <sz val="10"/>
        <color theme="1"/>
        <rFont val="Calibri"/>
        <family val="2"/>
        <scheme val="minor"/>
      </rPr>
      <t xml:space="preserve"> camera</t>
    </r>
  </si>
  <si>
    <r>
      <rPr>
        <sz val="10"/>
        <color theme="1"/>
        <rFont val="Wingdings"/>
        <charset val="2"/>
      </rPr>
      <t>ü</t>
    </r>
    <r>
      <rPr>
        <sz val="10"/>
        <color theme="1"/>
        <rFont val="Calibri"/>
        <family val="2"/>
      </rPr>
      <t xml:space="preserve"> blank form (print Step 2.)
</t>
    </r>
    <r>
      <rPr>
        <sz val="10"/>
        <color theme="1"/>
        <rFont val="Wingdings"/>
        <charset val="2"/>
      </rPr>
      <t>ü</t>
    </r>
    <r>
      <rPr>
        <sz val="10"/>
        <color theme="1"/>
        <rFont val="Calibri"/>
        <family val="2"/>
      </rPr>
      <t xml:space="preserve"> clipboard
</t>
    </r>
    <r>
      <rPr>
        <sz val="10"/>
        <color theme="1"/>
        <rFont val="Wingdings"/>
        <charset val="2"/>
      </rPr>
      <t>ü</t>
    </r>
    <r>
      <rPr>
        <sz val="10"/>
        <color theme="1"/>
        <rFont val="Calibri"/>
        <family val="2"/>
      </rPr>
      <t xml:space="preserve"> pencil/pen
</t>
    </r>
    <r>
      <rPr>
        <sz val="10"/>
        <color theme="1"/>
        <rFont val="Wingdings"/>
        <charset val="2"/>
      </rPr>
      <t>ü</t>
    </r>
    <r>
      <rPr>
        <sz val="10"/>
        <color theme="1"/>
        <rFont val="Calibri"/>
        <family val="2"/>
      </rPr>
      <t xml:space="preserve"> calculator</t>
    </r>
  </si>
  <si>
    <t>Resources</t>
  </si>
  <si>
    <r>
      <rPr>
        <b/>
        <sz val="11"/>
        <rFont val="Calibri"/>
        <family val="2"/>
        <scheme val="minor"/>
      </rPr>
      <t>FEECO</t>
    </r>
    <r>
      <rPr>
        <sz val="11"/>
        <rFont val="Symbol"/>
        <family val="1"/>
        <charset val="2"/>
      </rPr>
      <t>¾</t>
    </r>
    <r>
      <rPr>
        <sz val="11"/>
        <rFont val="Calibri"/>
        <family val="2"/>
        <scheme val="minor"/>
      </rPr>
      <t xml:space="preserve">FEECO International, Inc.  FEECO International Handbook, 8th Printing (Section 22-45 to 22-510).  Green Bay, Wisconsin.  </t>
    </r>
  </si>
  <si>
    <r>
      <rPr>
        <b/>
        <sz val="11"/>
        <rFont val="Calibri"/>
        <family val="2"/>
        <scheme val="minor"/>
      </rPr>
      <t>Tellus</t>
    </r>
    <r>
      <rPr>
        <sz val="11"/>
        <rFont val="Symbol"/>
        <family val="1"/>
        <charset val="2"/>
      </rPr>
      <t>¾</t>
    </r>
    <r>
      <rPr>
        <sz val="11"/>
        <rFont val="Calibri"/>
        <family val="2"/>
        <scheme val="minor"/>
      </rPr>
      <t>Cal Recovery Inc., Tellus Institute, and ACT…now. Conversion Factors for Individual Material Types. Submitted to California Integrated Waste Management Board.  December 1991.</t>
    </r>
  </si>
  <si>
    <r>
      <rPr>
        <b/>
        <sz val="11"/>
        <color theme="1"/>
        <rFont val="Calibri"/>
        <family val="2"/>
        <scheme val="minor"/>
      </rPr>
      <t>U.S. EPA</t>
    </r>
    <r>
      <rPr>
        <sz val="11"/>
        <color theme="1"/>
        <rFont val="Symbol"/>
        <family val="1"/>
        <charset val="2"/>
      </rPr>
      <t>¾</t>
    </r>
    <r>
      <rPr>
        <sz val="11"/>
        <color theme="1"/>
        <rFont val="Calibri"/>
        <family val="2"/>
        <scheme val="minor"/>
      </rPr>
      <t xml:space="preserve">Measuring Recycling:  A Guide For State and Local Governments.  Washington, D.C.:  U. S. Environmental Protection Agency, 1997:  Phone 1-800-424-9346; http://www.epa.gov.  Publication number EPA530-R-97-011.  </t>
    </r>
  </si>
  <si>
    <t>CalRecycle</t>
  </si>
  <si>
    <t>U.S. EPA, CalRecycle</t>
  </si>
  <si>
    <t>Guide to Sources:</t>
  </si>
  <si>
    <r>
      <rPr>
        <b/>
        <sz val="11"/>
        <color theme="1"/>
        <rFont val="Calibri"/>
        <family val="2"/>
        <scheme val="minor"/>
      </rPr>
      <t>WARM</t>
    </r>
    <r>
      <rPr>
        <sz val="11"/>
        <color theme="1"/>
        <rFont val="Symbol"/>
        <family val="1"/>
        <charset val="2"/>
      </rPr>
      <t>¾</t>
    </r>
    <r>
      <rPr>
        <sz val="11"/>
        <color theme="1"/>
        <rFont val="Calibri"/>
        <family val="2"/>
        <scheme val="minor"/>
      </rPr>
      <t>EPA Waste Reduction Model: U.S. Environmental Protection Agency, 2012.  http://www.epa.gov/climatechange/wycd/waste/calculators/Warm_home.html. Analysis inputs set to defaults except: 3. Washington, 5a. LFG Recovery.</t>
    </r>
  </si>
  <si>
    <t>WARM v12</t>
  </si>
  <si>
    <t>Per Ton Estimates of GHG Emissions for Alternative Management Scenarios</t>
  </si>
  <si>
    <t>GHG Emissions per Ton of Material Source Reduced (MTCO2E)</t>
  </si>
  <si>
    <t>GHG Emissions per Ton of Material Landfilled (MTCO2E)</t>
  </si>
  <si>
    <t>GHG Emissions per Ton of Material Recycled (MTCO2E)</t>
  </si>
  <si>
    <t>GHG Emissions per Ton of Material Composted (MTCO2E)</t>
  </si>
  <si>
    <t>GHG Emissions per Ton of Material Combusted (MTCO2E)</t>
  </si>
  <si>
    <t>RV Category</t>
  </si>
  <si>
    <t>WARM Category</t>
  </si>
  <si>
    <t>Corrugated Containers</t>
  </si>
  <si>
    <t>Aluminum Ingot</t>
  </si>
  <si>
    <t>LDPE</t>
  </si>
  <si>
    <t>LLDPE</t>
  </si>
  <si>
    <t>PLA</t>
  </si>
  <si>
    <t>PP</t>
  </si>
  <si>
    <t>AVERAGE: Aluminum Cans, Steel Cans</t>
  </si>
  <si>
    <t>PS</t>
  </si>
  <si>
    <t>AVERAGE: Aluminum Ingot, Copper Wire</t>
  </si>
  <si>
    <t>PVC</t>
  </si>
  <si>
    <t>AVERAGE: Aluminum Cans, Steel Cans, Aluminum Ingot, Copper Wire</t>
  </si>
  <si>
    <t>Magazines/third-class mail</t>
  </si>
  <si>
    <t>AVERAGE: yard trimmings, grass, leaves, branches</t>
  </si>
  <si>
    <t>Personal Computers</t>
  </si>
  <si>
    <t>Textbooks</t>
  </si>
  <si>
    <t>AVERAGE: Drywall, Asphalt Shingles, Asphalt Concrete, Concrete, Medium-density Fiberboard</t>
  </si>
  <si>
    <t>Medium-density Fiberboard</t>
  </si>
  <si>
    <t>Grass</t>
  </si>
  <si>
    <t>Mixed Paper (primarily residential)</t>
  </si>
  <si>
    <t>Mixed Recyclables</t>
  </si>
  <si>
    <t>Clay Bricks</t>
  </si>
  <si>
    <t>Asphalt Concrete</t>
  </si>
  <si>
    <t>Asphalt Shingles</t>
  </si>
  <si>
    <t>Drywall</t>
  </si>
  <si>
    <t>Fiberglass Insulation</t>
  </si>
  <si>
    <t>Vinyl Flooring</t>
  </si>
  <si>
    <t>Wood Flooring</t>
  </si>
  <si>
    <t xml:space="preserve">TOTAL GHG Emissions Reduction per Ton </t>
  </si>
  <si>
    <t>Total Monthly Cost</t>
  </si>
  <si>
    <t>Recycle 1 (select)</t>
  </si>
  <si>
    <t>Recycle 2 (select)</t>
  </si>
  <si>
    <t>Compost (select)</t>
  </si>
  <si>
    <t>yellow cells</t>
  </si>
  <si>
    <t>divert vol (CY/week)</t>
  </si>
  <si>
    <t>Total volume of material to manage</t>
  </si>
  <si>
    <t>Current recycling volume</t>
  </si>
  <si>
    <t>New additional recycling volume</t>
  </si>
  <si>
    <t xml:space="preserve">Seattle Business Recycling and Composting 101 </t>
  </si>
  <si>
    <t>Read Up on Recycling Regulations:</t>
  </si>
  <si>
    <t xml:space="preserve">Complete Our Online Request Form </t>
  </si>
  <si>
    <t xml:space="preserve">Mandatory Recycling Requirements for Seattle Businesses </t>
  </si>
  <si>
    <t>Get Started:</t>
  </si>
  <si>
    <t>Find A Recycler:</t>
  </si>
  <si>
    <t>Request Free Posters And Bin Labels:</t>
  </si>
  <si>
    <t>Source: WARM</t>
  </si>
  <si>
    <t>Density Factor (lb/CY)</t>
  </si>
  <si>
    <t>C = Composting; R = Recycling; T = Trash</t>
  </si>
  <si>
    <t>Greenhouse Gas Emissions (Metric Tons of Carbon Dioxide Equivalents)</t>
  </si>
  <si>
    <t>Material Specific Density Factor (Pounds/Cubic Yard)</t>
  </si>
  <si>
    <r>
      <rPr>
        <b/>
        <sz val="11"/>
        <rFont val="Calibri"/>
        <family val="2"/>
        <scheme val="minor"/>
      </rPr>
      <t>CalRecycle</t>
    </r>
    <r>
      <rPr>
        <b/>
        <sz val="11"/>
        <rFont val="Symbol"/>
        <family val="1"/>
        <charset val="2"/>
      </rPr>
      <t>¾</t>
    </r>
    <r>
      <rPr>
        <sz val="11"/>
        <rFont val="Calibri"/>
        <family val="2"/>
        <scheme val="minor"/>
      </rPr>
      <t>2004 California Targeted Statewide Waste Characterization Study: Detailed Characterization of Construction and Demolition Waste. http://www.calrecycle.ca.gov/publications/default.asp?pubid=1185.</t>
    </r>
  </si>
  <si>
    <t>Date of Assessment:</t>
  </si>
  <si>
    <t>Trash Bin Contents</t>
  </si>
  <si>
    <r>
      <t xml:space="preserve">Greenhouse gas and tonnage estimates are based on your waste assessment and environmental standards published by the EPA. See </t>
    </r>
    <r>
      <rPr>
        <u/>
        <sz val="10"/>
        <color rgb="FF0000FF"/>
        <rFont val="Calibri"/>
        <family val="2"/>
      </rPr>
      <t>the 'Background Data' sheet</t>
    </r>
    <r>
      <rPr>
        <sz val="10"/>
        <color rgb="FF002060"/>
        <rFont val="Calibri"/>
        <family val="2"/>
      </rPr>
      <t xml:space="preserve"> for more information.</t>
    </r>
  </si>
  <si>
    <t>reduce trash service by</t>
  </si>
  <si>
    <t>Designate one or a few staff members to conduct the assessment.</t>
  </si>
  <si>
    <t>Determine current dumpster size, pickup frequency, and monthly cost for garbage and recycling services.</t>
  </si>
  <si>
    <t>Schedule a date and time to carry out the waste assessment. Preferably right before the hauler pickup time.</t>
  </si>
  <si>
    <t>If you do not know this information, contact your property manager or waste hauler to obtain it</t>
  </si>
  <si>
    <r>
      <t xml:space="preserve">Instructions: </t>
    </r>
    <r>
      <rPr>
        <sz val="11"/>
        <rFont val="Calibri"/>
        <family val="2"/>
        <scheme val="minor"/>
      </rPr>
      <t xml:space="preserve">Select the recycling materials you currently collect below.  For example, you may collect cardboard, glass, or paper separate from other materials. If you collect all materials together, choose "Mixed Recycling." </t>
    </r>
  </si>
  <si>
    <t>For each recycling material, enter info in</t>
  </si>
  <si>
    <t>C. Obtain supplies</t>
  </si>
  <si>
    <t xml:space="preserve">Make sure you have all the information and supplies you need to make this waste assessment worth it.   </t>
  </si>
  <si>
    <t>B. Enter basic information</t>
  </si>
  <si>
    <t>Follow these 4 simple steps:</t>
  </si>
  <si>
    <t>Observations about your current trash and recycling activities</t>
  </si>
  <si>
    <r>
      <t xml:space="preserve">(See Get Started section of the </t>
    </r>
    <r>
      <rPr>
        <u/>
        <sz val="11"/>
        <color rgb="FF0000FF"/>
        <rFont val="Calibri"/>
        <family val="2"/>
        <scheme val="minor"/>
      </rPr>
      <t>'Take Action'</t>
    </r>
    <r>
      <rPr>
        <sz val="11"/>
        <rFont val="Calibri"/>
        <family val="2"/>
        <scheme val="minor"/>
      </rPr>
      <t xml:space="preserve"> sheet, or go and look at your dumpsters.)</t>
    </r>
  </si>
  <si>
    <t>Report summarizing recycling potential and environmental benefits</t>
  </si>
  <si>
    <t>Gather all necessary supplies for conducting a waste assessment (see checklist below in part C).</t>
  </si>
  <si>
    <r>
      <t>If you have a compactor for your waste and/or recycling instead of a regular dumpster, select the</t>
    </r>
    <r>
      <rPr>
        <sz val="11"/>
        <color theme="3"/>
        <rFont val="Calibri"/>
        <family val="2"/>
        <scheme val="minor"/>
      </rPr>
      <t xml:space="preserve"> </t>
    </r>
    <r>
      <rPr>
        <b/>
        <sz val="11"/>
        <color theme="3"/>
        <rFont val="Calibri"/>
        <family val="2"/>
        <scheme val="minor"/>
      </rPr>
      <t>Compactor?</t>
    </r>
    <r>
      <rPr>
        <sz val="11"/>
        <rFont val="Calibri"/>
        <family val="2"/>
        <scheme val="minor"/>
      </rPr>
      <t xml:space="preserve"> checkbox. Also note how </t>
    </r>
    <r>
      <rPr>
        <b/>
        <sz val="11"/>
        <color theme="3"/>
        <rFont val="Calibri"/>
        <family val="2"/>
        <scheme val="minor"/>
      </rPr>
      <t>Full</t>
    </r>
    <r>
      <rPr>
        <sz val="11"/>
        <rFont val="Calibri"/>
        <family val="2"/>
        <scheme val="minor"/>
      </rPr>
      <t xml:space="preserve"> your bins usually are, just before they are picked up. </t>
    </r>
  </si>
  <si>
    <t>B. Estimate the percentages of each material found in your trash, recycling, and compost bins.</t>
  </si>
  <si>
    <t>For this waste assessment, we recommend you observe samples taken directly from your trash, recycling, and compost dumpsters. This will require a few essential items:</t>
  </si>
  <si>
    <t>Get on the Map!</t>
  </si>
  <si>
    <t>Share Your Success:</t>
  </si>
  <si>
    <t>MM/DD/YY</t>
  </si>
  <si>
    <t>Who Is Your Waste Hauling Company?</t>
  </si>
  <si>
    <t xml:space="preserve">Visit the King County What do I do With Database </t>
  </si>
  <si>
    <t>This Assessment Tool was developed for Seattle Public Utilities Green Business Program in 2012 by Cascadia Consulting Group.</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</si>
</sst>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5" formatCode="&quot;$&quot;#,##0_);\(&quot;$&quot;#,##0\)"/>
    <numFmt numFmtId="7" formatCode="&quot;$&quot;#,##0.00_);\(&quot;$&quot;#,##0.00\)"/>
    <numFmt numFmtId="44" formatCode="_(&quot;$&quot;* #,##0.00_);_(&quot;$&quot;* \(#,##0.00\);_(&quot;$&quot;* &quot;-&quot;??_);_(@_)"/>
    <numFmt numFmtId="43" formatCode="_(* #,##0.00_);_(* \(#,##0.00\);_(* &quot;-&quot;??_);_(@_)"/>
    <numFmt numFmtId="164" formatCode="_(* #,##0_);_(* \(#,##0\);_(* &quot;-&quot;??_);_(@_)"/>
    <numFmt numFmtId="165" formatCode="0.0"/>
    <numFmt numFmtId="166" formatCode="General_)"/>
    <numFmt numFmtId="167" formatCode="_(&quot;$&quot;* #,##0_);_(&quot;$&quot;* \(#,##0\);_(&quot;$&quot;* &quot;-&quot;??_);_(@_)"/>
    <numFmt numFmtId="168" formatCode="#,##0.0"/>
    <numFmt numFmtId="169" formatCode="&quot;$&quot;#,##0"/>
    <numFmt numFmtId="170" formatCode="[&lt;=9999999]###\-####;\(###\)\ ###\-####"/>
    <numFmt numFmtId="171" formatCode="&quot;$&quot;#,##0.00"/>
  </numFmts>
  <fonts count="175" x14ac:knownFonts="1">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11"/>
      <color theme="1"/>
      <name val="Calibri"/>
      <family val="2"/>
      <scheme val="minor"/>
    </font>
    <font>
      <sz val="14"/>
      <color theme="1"/>
      <name val="Calibri"/>
      <family val="2"/>
      <scheme val="minor"/>
    </font>
    <font>
      <sz val="8.8000000000000007"/>
      <color theme="1"/>
      <name val="Arial"/>
      <family val="2"/>
    </font>
    <font>
      <sz val="10"/>
      <color theme="1"/>
      <name val="Calibri"/>
      <family val="2"/>
      <scheme val="minor"/>
    </font>
    <font>
      <sz val="12"/>
      <color theme="1"/>
      <name val="Calibri"/>
      <family val="2"/>
      <scheme val="minor"/>
    </font>
    <font>
      <sz val="10"/>
      <color rgb="FF0070C0"/>
      <name val="Calibri"/>
      <family val="2"/>
      <scheme val="minor"/>
    </font>
    <font>
      <sz val="11"/>
      <name val="Calibri"/>
      <family val="2"/>
      <scheme val="minor"/>
    </font>
    <font>
      <b/>
      <sz val="10"/>
      <color theme="1"/>
      <name val="Calibri"/>
      <family val="2"/>
      <scheme val="minor"/>
    </font>
    <font>
      <u/>
      <sz val="11"/>
      <color theme="1"/>
      <name val="Calibri"/>
      <family val="2"/>
      <scheme val="minor"/>
    </font>
    <font>
      <b/>
      <vertAlign val="subscript"/>
      <sz val="10"/>
      <color indexed="8"/>
      <name val="Calibri"/>
      <family val="2"/>
    </font>
    <font>
      <b/>
      <sz val="10"/>
      <color indexed="8"/>
      <name val="Calibri"/>
      <family val="2"/>
    </font>
    <font>
      <sz val="11"/>
      <color theme="0"/>
      <name val="Calibri"/>
      <family val="2"/>
      <scheme val="minor"/>
    </font>
    <font>
      <b/>
      <sz val="11"/>
      <color theme="1"/>
      <name val="Calibri"/>
      <family val="2"/>
      <scheme val="minor"/>
    </font>
    <font>
      <b/>
      <sz val="11"/>
      <color theme="4" tint="-0.499984740745262"/>
      <name val="Calibri"/>
      <family val="2"/>
      <scheme val="minor"/>
    </font>
    <font>
      <i/>
      <sz val="11"/>
      <color theme="1"/>
      <name val="Calibri"/>
      <family val="2"/>
      <scheme val="minor"/>
    </font>
    <font>
      <sz val="11"/>
      <color theme="0" tint="-0.499984740745262"/>
      <name val="Calibri"/>
      <family val="2"/>
      <scheme val="minor"/>
    </font>
    <font>
      <sz val="8"/>
      <name val="helv"/>
    </font>
    <font>
      <sz val="11"/>
      <name val="Calibri"/>
      <family val="2"/>
    </font>
    <font>
      <sz val="10"/>
      <color indexed="8"/>
      <name val="Calibri"/>
      <family val="2"/>
    </font>
    <font>
      <u/>
      <sz val="13.75"/>
      <color indexed="12"/>
      <name val="Calibri"/>
      <family val="2"/>
    </font>
    <font>
      <vertAlign val="subscript"/>
      <sz val="11"/>
      <color theme="1"/>
      <name val="Calibri"/>
      <family val="2"/>
      <scheme val="minor"/>
    </font>
    <font>
      <b/>
      <sz val="12"/>
      <color theme="1"/>
      <name val="Calibri"/>
      <family val="2"/>
      <scheme val="minor"/>
    </font>
    <font>
      <u/>
      <sz val="11"/>
      <color indexed="12"/>
      <name val="Calibri"/>
      <family val="2"/>
    </font>
    <font>
      <i/>
      <sz val="10"/>
      <color theme="1"/>
      <name val="Calibri"/>
      <family val="2"/>
      <scheme val="minor"/>
    </font>
    <font>
      <i/>
      <u/>
      <sz val="10"/>
      <color indexed="12"/>
      <name val="Calibri"/>
      <family val="2"/>
    </font>
    <font>
      <b/>
      <i/>
      <sz val="11"/>
      <color theme="1"/>
      <name val="Calibri"/>
      <family val="2"/>
      <scheme val="minor"/>
    </font>
    <font>
      <u/>
      <sz val="13"/>
      <color theme="1"/>
      <name val="Calibri"/>
      <family val="2"/>
      <scheme val="minor"/>
    </font>
    <font>
      <b/>
      <sz val="14"/>
      <color theme="0"/>
      <name val="Calibri"/>
      <family val="2"/>
      <scheme val="minor"/>
    </font>
    <font>
      <b/>
      <sz val="18"/>
      <color theme="1"/>
      <name val="Calibri"/>
      <family val="2"/>
      <scheme val="minor"/>
    </font>
    <font>
      <b/>
      <sz val="13"/>
      <color theme="0"/>
      <name val="Calibri"/>
      <family val="2"/>
      <scheme val="minor"/>
    </font>
    <font>
      <sz val="13"/>
      <color theme="0"/>
      <name val="Calibri"/>
      <family val="2"/>
      <scheme val="minor"/>
    </font>
    <font>
      <sz val="14"/>
      <name val="Calibri"/>
      <family val="2"/>
      <scheme val="minor"/>
    </font>
    <font>
      <b/>
      <sz val="14"/>
      <color theme="1"/>
      <name val="Calibri"/>
      <family val="2"/>
      <scheme val="minor"/>
    </font>
    <font>
      <sz val="11"/>
      <color rgb="FF000000"/>
      <name val="Calibri"/>
      <family val="2"/>
      <scheme val="minor"/>
    </font>
    <font>
      <sz val="12"/>
      <color theme="0"/>
      <name val="Calibri"/>
      <family val="2"/>
      <scheme val="minor"/>
    </font>
    <font>
      <i/>
      <u/>
      <sz val="9.5"/>
      <color indexed="12"/>
      <name val="Calibri"/>
      <family val="2"/>
    </font>
    <font>
      <i/>
      <sz val="9"/>
      <color theme="1"/>
      <name val="Calibri"/>
      <family val="2"/>
      <scheme val="minor"/>
    </font>
    <font>
      <b/>
      <sz val="14"/>
      <name val="Calibri"/>
      <family val="2"/>
      <scheme val="minor"/>
    </font>
    <font>
      <i/>
      <sz val="9.5"/>
      <color theme="1"/>
      <name val="Calibri"/>
      <family val="2"/>
      <scheme val="minor"/>
    </font>
    <font>
      <b/>
      <i/>
      <sz val="9.5"/>
      <color theme="1"/>
      <name val="Calibri"/>
      <family val="2"/>
      <scheme val="minor"/>
    </font>
    <font>
      <sz val="11"/>
      <color rgb="FF000000"/>
      <name val="Calibri"/>
      <family val="2"/>
    </font>
    <font>
      <sz val="10"/>
      <color theme="1"/>
      <name val="Calibri"/>
      <family val="2"/>
    </font>
    <font>
      <i/>
      <u/>
      <sz val="11"/>
      <color theme="1"/>
      <name val="Calibri"/>
      <family val="2"/>
      <scheme val="minor"/>
    </font>
    <font>
      <i/>
      <sz val="9"/>
      <color rgb="FFFF0000"/>
      <name val="Calibri"/>
      <family val="2"/>
      <scheme val="minor"/>
    </font>
    <font>
      <sz val="11"/>
      <color theme="6" tint="0.79998168889431442"/>
      <name val="Calibri"/>
      <family val="2"/>
      <scheme val="minor"/>
    </font>
    <font>
      <sz val="11"/>
      <color theme="4" tint="0.79998168889431442"/>
      <name val="Calibri"/>
      <family val="2"/>
      <scheme val="minor"/>
    </font>
    <font>
      <sz val="18"/>
      <color theme="1"/>
      <name val="Calibri"/>
      <family val="2"/>
      <scheme val="minor"/>
    </font>
    <font>
      <b/>
      <i/>
      <sz val="9"/>
      <color rgb="FFFF0000"/>
      <name val="Calibri"/>
      <family val="2"/>
      <scheme val="minor"/>
    </font>
    <font>
      <b/>
      <sz val="8.5"/>
      <color theme="1"/>
      <name val="Calibri"/>
      <family val="2"/>
      <scheme val="minor"/>
    </font>
    <font>
      <sz val="11"/>
      <color theme="0" tint="-0.249977111117893"/>
      <name val="Calibri"/>
      <family val="2"/>
      <scheme val="minor"/>
    </font>
    <font>
      <i/>
      <sz val="11"/>
      <color theme="0" tint="-0.249977111117893"/>
      <name val="Calibri"/>
      <family val="2"/>
      <scheme val="minor"/>
    </font>
    <font>
      <u/>
      <sz val="13"/>
      <color theme="0" tint="-0.249977111117893"/>
      <name val="Calibri"/>
      <family val="2"/>
      <scheme val="minor"/>
    </font>
    <font>
      <i/>
      <u/>
      <sz val="9.5"/>
      <color theme="0" tint="-0.249977111117893"/>
      <name val="Calibri"/>
      <family val="2"/>
    </font>
    <font>
      <b/>
      <i/>
      <sz val="9.5"/>
      <color theme="0" tint="-0.249977111117893"/>
      <name val="Calibri"/>
      <family val="2"/>
      <scheme val="minor"/>
    </font>
    <font>
      <i/>
      <sz val="9.5"/>
      <color theme="0" tint="-0.249977111117893"/>
      <name val="Calibri"/>
      <family val="2"/>
      <scheme val="minor"/>
    </font>
    <font>
      <u/>
      <sz val="13"/>
      <color theme="4" tint="0.79998168889431442"/>
      <name val="Calibri"/>
      <family val="2"/>
      <scheme val="minor"/>
    </font>
    <font>
      <i/>
      <sz val="9"/>
      <color theme="0" tint="-0.249977111117893"/>
      <name val="Calibri"/>
      <family val="2"/>
      <scheme val="minor"/>
    </font>
    <font>
      <b/>
      <i/>
      <sz val="9.5"/>
      <color rgb="FFFF0000"/>
      <name val="Calibri"/>
      <family val="2"/>
      <scheme val="minor"/>
    </font>
    <font>
      <u/>
      <sz val="11"/>
      <color theme="0" tint="-0.249977111117893"/>
      <name val="Calibri"/>
      <family val="2"/>
      <scheme val="minor"/>
    </font>
    <font>
      <i/>
      <sz val="9.5"/>
      <name val="Calibri"/>
      <family val="2"/>
      <scheme val="minor"/>
    </font>
    <font>
      <i/>
      <u/>
      <sz val="9.5"/>
      <name val="Calibri"/>
      <family val="2"/>
    </font>
    <font>
      <i/>
      <u/>
      <sz val="9"/>
      <color indexed="12"/>
      <name val="Calibri"/>
      <family val="2"/>
    </font>
    <font>
      <sz val="12"/>
      <name val="Calibri"/>
      <family val="2"/>
      <scheme val="minor"/>
    </font>
    <font>
      <i/>
      <sz val="10"/>
      <color rgb="FFFF0000"/>
      <name val="Calibri"/>
      <family val="2"/>
      <scheme val="minor"/>
    </font>
    <font>
      <b/>
      <i/>
      <sz val="9.5"/>
      <color rgb="FF000000"/>
      <name val="Calibri"/>
      <family val="2"/>
      <scheme val="minor"/>
    </font>
    <font>
      <i/>
      <sz val="9.5"/>
      <color rgb="FF000000"/>
      <name val="Calibri"/>
      <family val="2"/>
      <scheme val="minor"/>
    </font>
    <font>
      <sz val="11"/>
      <color rgb="FFFF0000"/>
      <name val="Calibri"/>
      <family val="2"/>
      <scheme val="minor"/>
    </font>
    <font>
      <sz val="10"/>
      <color rgb="FF000000"/>
      <name val="Calibri"/>
      <family val="2"/>
      <scheme val="minor"/>
    </font>
    <font>
      <b/>
      <vertAlign val="subscript"/>
      <sz val="11"/>
      <color theme="1"/>
      <name val="Calibri"/>
      <family val="2"/>
      <scheme val="minor"/>
    </font>
    <font>
      <b/>
      <u/>
      <sz val="13"/>
      <color theme="0"/>
      <name val="Calibri"/>
      <family val="2"/>
      <scheme val="minor"/>
    </font>
    <font>
      <sz val="10"/>
      <color theme="0"/>
      <name val="Calibri"/>
      <family val="2"/>
      <scheme val="minor"/>
    </font>
    <font>
      <sz val="10"/>
      <color theme="0"/>
      <name val="Calibri"/>
      <family val="2"/>
    </font>
    <font>
      <i/>
      <u/>
      <sz val="9.5"/>
      <color rgb="FF0000FF"/>
      <name val="Calibri"/>
      <family val="2"/>
    </font>
    <font>
      <sz val="8"/>
      <color rgb="FF000000"/>
      <name val="Tahoma"/>
      <family val="2"/>
    </font>
    <font>
      <b/>
      <sz val="11"/>
      <color theme="0"/>
      <name val="Calibri"/>
      <family val="2"/>
      <scheme val="minor"/>
    </font>
    <font>
      <sz val="11"/>
      <color theme="2" tint="-0.749992370372631"/>
      <name val="Calibri"/>
      <family val="2"/>
      <scheme val="minor"/>
    </font>
    <font>
      <sz val="11"/>
      <color rgb="FF9E5B19"/>
      <name val="Wingdings"/>
      <charset val="2"/>
    </font>
    <font>
      <b/>
      <sz val="11"/>
      <color rgb="FF37809F"/>
      <name val="Century Gothic"/>
      <family val="2"/>
    </font>
    <font>
      <sz val="9"/>
      <name val="Calibri"/>
      <family val="2"/>
      <scheme val="minor"/>
    </font>
    <font>
      <b/>
      <sz val="11"/>
      <name val="Calibri"/>
      <family val="2"/>
      <scheme val="minor"/>
    </font>
    <font>
      <b/>
      <i/>
      <sz val="10"/>
      <name val="Calibri"/>
      <family val="2"/>
      <scheme val="minor"/>
    </font>
    <font>
      <b/>
      <i/>
      <sz val="10"/>
      <color rgb="FFFF0000"/>
      <name val="Calibri"/>
      <family val="2"/>
      <scheme val="minor"/>
    </font>
    <font>
      <sz val="11"/>
      <color rgb="FFECECF8"/>
      <name val="Calibri"/>
      <family val="2"/>
      <scheme val="minor"/>
    </font>
    <font>
      <u/>
      <sz val="11"/>
      <color theme="10"/>
      <name val="Calibri"/>
      <family val="2"/>
    </font>
    <font>
      <sz val="12"/>
      <color rgb="FF5C6388"/>
      <name val="Calibri"/>
      <family val="2"/>
    </font>
    <font>
      <sz val="12"/>
      <color rgb="FF002060"/>
      <name val="Calibri"/>
      <family val="2"/>
    </font>
    <font>
      <b/>
      <sz val="18"/>
      <color theme="0"/>
      <name val="Calibri"/>
      <family val="2"/>
      <scheme val="minor"/>
    </font>
    <font>
      <sz val="14"/>
      <color theme="0"/>
      <name val="Calibri"/>
      <family val="2"/>
      <scheme val="minor"/>
    </font>
    <font>
      <b/>
      <u/>
      <sz val="11"/>
      <color theme="1"/>
      <name val="Calibri"/>
      <family val="2"/>
    </font>
    <font>
      <b/>
      <i/>
      <sz val="11"/>
      <name val="Calibri"/>
      <family val="2"/>
      <scheme val="minor"/>
    </font>
    <font>
      <i/>
      <sz val="11"/>
      <color theme="1" tint="0.499984740745262"/>
      <name val="Calibri"/>
      <family val="2"/>
      <scheme val="minor"/>
    </font>
    <font>
      <sz val="9"/>
      <color theme="1"/>
      <name val="Calibri"/>
      <family val="2"/>
      <scheme val="minor"/>
    </font>
    <font>
      <i/>
      <sz val="11"/>
      <color rgb="FFFF0000"/>
      <name val="Calibri"/>
      <family val="2"/>
      <scheme val="minor"/>
    </font>
    <font>
      <sz val="11"/>
      <color theme="1" tint="0.34998626667073579"/>
      <name val="Calibri"/>
      <family val="2"/>
      <scheme val="minor"/>
    </font>
    <font>
      <b/>
      <sz val="12"/>
      <color rgb="FF002060"/>
      <name val="Calibri"/>
      <family val="2"/>
    </font>
    <font>
      <b/>
      <i/>
      <sz val="12"/>
      <color rgb="FF5C6388"/>
      <name val="Calibri"/>
      <family val="2"/>
    </font>
    <font>
      <sz val="12"/>
      <color rgb="FF002060"/>
      <name val="Calibri"/>
      <family val="2"/>
      <scheme val="minor"/>
    </font>
    <font>
      <b/>
      <sz val="16"/>
      <color theme="0"/>
      <name val="Calibri"/>
      <family val="2"/>
      <scheme val="minor"/>
    </font>
    <font>
      <sz val="12"/>
      <name val="Calibri"/>
      <family val="2"/>
    </font>
    <font>
      <sz val="12"/>
      <color theme="0"/>
      <name val="Calibri"/>
      <family val="2"/>
    </font>
    <font>
      <sz val="12"/>
      <color rgb="FFFF0000"/>
      <name val="Calibri"/>
      <family val="2"/>
    </font>
    <font>
      <b/>
      <i/>
      <sz val="14"/>
      <color rgb="FF547198"/>
      <name val="Calibri"/>
      <family val="2"/>
      <scheme val="minor"/>
    </font>
    <font>
      <sz val="14"/>
      <color rgb="FF547198"/>
      <name val="Calibri"/>
      <family val="2"/>
      <scheme val="minor"/>
    </font>
    <font>
      <b/>
      <i/>
      <u/>
      <sz val="12"/>
      <color theme="0"/>
      <name val="Calibri"/>
      <family val="2"/>
    </font>
    <font>
      <b/>
      <u/>
      <sz val="12"/>
      <color theme="0"/>
      <name val="Calibri"/>
      <family val="2"/>
    </font>
    <font>
      <b/>
      <sz val="12"/>
      <color rgb="FF498D19"/>
      <name val="Calibri"/>
      <family val="2"/>
      <scheme val="minor"/>
    </font>
    <font>
      <b/>
      <sz val="11"/>
      <color rgb="FF9D4E13"/>
      <name val="Calibri"/>
      <family val="2"/>
      <scheme val="minor"/>
    </font>
    <font>
      <b/>
      <sz val="14"/>
      <color rgb="FF9D4E13"/>
      <name val="Calibri"/>
      <family val="2"/>
      <scheme val="minor"/>
    </font>
    <font>
      <sz val="18"/>
      <color rgb="FFFF0000"/>
      <name val="Calibri"/>
      <family val="2"/>
      <scheme val="minor"/>
    </font>
    <font>
      <sz val="18"/>
      <color theme="0"/>
      <name val="Calibri"/>
      <family val="2"/>
      <scheme val="minor"/>
    </font>
    <font>
      <sz val="9"/>
      <color rgb="FF9D4E13"/>
      <name val="Calibri"/>
      <family val="2"/>
      <scheme val="minor"/>
    </font>
    <font>
      <sz val="9"/>
      <color theme="0"/>
      <name val="Calibri"/>
      <family val="2"/>
      <scheme val="minor"/>
    </font>
    <font>
      <b/>
      <sz val="10"/>
      <color theme="0"/>
      <name val="Calibri"/>
      <family val="2"/>
      <scheme val="minor"/>
    </font>
    <font>
      <b/>
      <sz val="16"/>
      <color rgb="FF9D4E13"/>
      <name val="Calibri"/>
      <family val="2"/>
      <scheme val="minor"/>
    </font>
    <font>
      <sz val="14"/>
      <color rgb="FF547198"/>
      <name val="Calibri"/>
      <family val="2"/>
    </font>
    <font>
      <b/>
      <sz val="12"/>
      <color rgb="FF498D19"/>
      <name val="Calibri"/>
      <family val="2"/>
    </font>
    <font>
      <sz val="48"/>
      <color rgb="FF498D19"/>
      <name val="Calibri"/>
      <family val="2"/>
    </font>
    <font>
      <b/>
      <sz val="12"/>
      <color theme="4"/>
      <name val="Calibri"/>
      <family val="2"/>
      <scheme val="minor"/>
    </font>
    <font>
      <sz val="12"/>
      <color theme="4"/>
      <name val="Calibri"/>
      <family val="2"/>
      <scheme val="minor"/>
    </font>
    <font>
      <b/>
      <sz val="12"/>
      <color theme="4" tint="-0.249977111117893"/>
      <name val="Calibri"/>
      <family val="2"/>
      <scheme val="minor"/>
    </font>
    <font>
      <sz val="12"/>
      <color theme="4" tint="-0.249977111117893"/>
      <name val="Calibri"/>
      <family val="2"/>
      <scheme val="minor"/>
    </font>
    <font>
      <b/>
      <sz val="12"/>
      <color theme="6" tint="-0.249977111117893"/>
      <name val="Calibri"/>
      <family val="2"/>
      <scheme val="minor"/>
    </font>
    <font>
      <sz val="12"/>
      <color theme="6" tint="-0.249977111117893"/>
      <name val="Calibri"/>
      <family val="2"/>
      <scheme val="minor"/>
    </font>
    <font>
      <b/>
      <i/>
      <sz val="14"/>
      <color rgb="FF547198"/>
      <name val="Calibri"/>
      <family val="2"/>
    </font>
    <font>
      <sz val="9"/>
      <color rgb="FF002060"/>
      <name val="Calibri"/>
      <family val="2"/>
    </font>
    <font>
      <sz val="12"/>
      <color rgb="FF498D19"/>
      <name val="Calibri"/>
      <family val="2"/>
      <scheme val="minor"/>
    </font>
    <font>
      <b/>
      <sz val="12"/>
      <color theme="1"/>
      <name val="Calibri"/>
      <family val="2"/>
    </font>
    <font>
      <b/>
      <sz val="18"/>
      <name val="Calibri"/>
      <family val="2"/>
      <scheme val="minor"/>
    </font>
    <font>
      <i/>
      <sz val="11"/>
      <name val="Calibri"/>
      <family val="2"/>
      <scheme val="minor"/>
    </font>
    <font>
      <sz val="10"/>
      <color theme="1"/>
      <name val="Wingdings"/>
      <charset val="2"/>
    </font>
    <font>
      <i/>
      <sz val="9"/>
      <name val="Calibri"/>
      <family val="2"/>
      <scheme val="minor"/>
    </font>
    <font>
      <b/>
      <sz val="12"/>
      <color theme="9" tint="-0.499984740745262"/>
      <name val="Calibri"/>
      <family val="2"/>
      <scheme val="minor"/>
    </font>
    <font>
      <u/>
      <sz val="12"/>
      <color indexed="12"/>
      <name val="Calibri"/>
      <family val="2"/>
      <scheme val="minor"/>
    </font>
    <font>
      <b/>
      <sz val="11"/>
      <color rgb="FF547198"/>
      <name val="Calibri"/>
      <family val="2"/>
      <scheme val="minor"/>
    </font>
    <font>
      <b/>
      <i/>
      <sz val="11"/>
      <color rgb="FF547198"/>
      <name val="Calibri"/>
      <family val="2"/>
      <scheme val="minor"/>
    </font>
    <font>
      <b/>
      <sz val="10"/>
      <color theme="6" tint="-0.499984740745262"/>
      <name val="Calibri"/>
      <family val="2"/>
      <scheme val="minor"/>
    </font>
    <font>
      <sz val="10"/>
      <color rgb="FF002060"/>
      <name val="Calibri"/>
      <family val="2"/>
    </font>
    <font>
      <b/>
      <i/>
      <sz val="14"/>
      <color theme="9" tint="-0.499984740745262"/>
      <name val="Calibri"/>
      <family val="2"/>
      <scheme val="minor"/>
    </font>
    <font>
      <sz val="11"/>
      <name val="Symbol"/>
      <family val="1"/>
      <charset val="2"/>
    </font>
    <font>
      <sz val="11"/>
      <color theme="1"/>
      <name val="Symbol"/>
      <family val="1"/>
      <charset val="2"/>
    </font>
    <font>
      <b/>
      <sz val="11"/>
      <name val="Symbol"/>
      <family val="1"/>
      <charset val="2"/>
    </font>
    <font>
      <b/>
      <i/>
      <sz val="11"/>
      <color theme="6" tint="-0.249977111117893"/>
      <name val="Calibri"/>
      <family val="2"/>
      <scheme val="minor"/>
    </font>
    <font>
      <i/>
      <sz val="11"/>
      <color theme="6" tint="-0.249977111117893"/>
      <name val="Calibri"/>
      <family val="2"/>
      <scheme val="minor"/>
    </font>
    <font>
      <b/>
      <sz val="10"/>
      <name val="Calibri"/>
      <family val="2"/>
      <scheme val="minor"/>
    </font>
    <font>
      <u/>
      <sz val="10"/>
      <color indexed="12"/>
      <name val="Arial"/>
      <family val="2"/>
    </font>
    <font>
      <sz val="11"/>
      <color theme="0" tint="-0.34998626667073579"/>
      <name val="Calibri"/>
      <family val="2"/>
      <scheme val="minor"/>
    </font>
    <font>
      <b/>
      <sz val="11"/>
      <color theme="0" tint="-0.34998626667073579"/>
      <name val="Calibri"/>
      <family val="2"/>
      <scheme val="minor"/>
    </font>
    <font>
      <b/>
      <sz val="12"/>
      <name val="Calibri"/>
      <family val="2"/>
    </font>
    <font>
      <u/>
      <sz val="10"/>
      <color rgb="FF0000FF"/>
      <name val="Calibri"/>
      <family val="2"/>
    </font>
    <font>
      <i/>
      <sz val="10"/>
      <name val="Calibri"/>
      <family val="2"/>
      <scheme val="minor"/>
    </font>
    <font>
      <sz val="10"/>
      <name val="Calibri"/>
      <family val="2"/>
      <scheme val="minor"/>
    </font>
    <font>
      <b/>
      <i/>
      <sz val="11"/>
      <color theme="6" tint="-0.499984740745262"/>
      <name val="Calibri"/>
      <family val="2"/>
      <scheme val="minor"/>
    </font>
    <font>
      <u/>
      <sz val="11"/>
      <color rgb="FF0000FF"/>
      <name val="Calibri"/>
      <family val="2"/>
      <scheme val="minor"/>
    </font>
    <font>
      <b/>
      <sz val="11"/>
      <color theme="3"/>
      <name val="Calibri"/>
      <family val="2"/>
      <scheme val="minor"/>
    </font>
    <font>
      <sz val="11"/>
      <color theme="3"/>
      <name val="Calibri"/>
      <family val="2"/>
      <scheme val="minor"/>
    </font>
    <font>
      <i/>
      <sz val="12"/>
      <color theme="1"/>
      <name val="Calibri"/>
      <family val="2"/>
      <scheme val="minor"/>
    </font>
  </fonts>
  <fills count="52">
    <fill>
      <patternFill patternType="none"/>
    </fill>
    <fill>
      <patternFill patternType="gray125"/>
    </fill>
    <fill>
      <patternFill patternType="solid">
        <fgColor indexed="46"/>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27"/>
      </patternFill>
    </fill>
    <fill>
      <patternFill patternType="solid">
        <fgColor indexed="44"/>
      </patternFill>
    </fill>
    <fill>
      <patternFill patternType="solid">
        <fgColor indexed="22"/>
      </patternFill>
    </fill>
    <fill>
      <patternFill patternType="solid">
        <fgColor indexed="29"/>
      </patternFill>
    </fill>
    <fill>
      <patternFill patternType="solid">
        <fgColor indexed="11"/>
      </patternFill>
    </fill>
    <fill>
      <patternFill patternType="solid">
        <fgColor indexed="49"/>
      </patternFill>
    </fill>
    <fill>
      <patternFill patternType="solid">
        <fgColor indexed="10"/>
      </patternFill>
    </fill>
    <fill>
      <patternFill patternType="solid">
        <fgColor indexed="54"/>
      </patternFill>
    </fill>
    <fill>
      <patternFill patternType="solid">
        <fgColor indexed="53"/>
      </patternFill>
    </fill>
    <fill>
      <patternFill patternType="solid">
        <fgColor indexed="55"/>
      </patternFill>
    </fill>
    <fill>
      <patternFill patternType="solid">
        <fgColor indexed="43"/>
      </patternFill>
    </fill>
    <fill>
      <patternFill patternType="solid">
        <fgColor theme="6" tint="0.39997558519241921"/>
        <bgColor indexed="64"/>
      </patternFill>
    </fill>
    <fill>
      <patternFill patternType="solid">
        <fgColor rgb="FF0070C0"/>
        <bgColor indexed="64"/>
      </patternFill>
    </fill>
    <fill>
      <patternFill patternType="solid">
        <fgColor theme="4" tint="0.79998168889431442"/>
        <bgColor indexed="64"/>
      </patternFill>
    </fill>
    <fill>
      <patternFill patternType="solid">
        <fgColor theme="6" tint="-0.49998474074526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indexed="9"/>
        <bgColor indexed="64"/>
      </patternFill>
    </fill>
    <fill>
      <patternFill patternType="solid">
        <fgColor indexed="22"/>
        <bgColor indexed="8"/>
      </patternFill>
    </fill>
    <fill>
      <patternFill patternType="solid">
        <fgColor rgb="FFFFFFCC"/>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5" tint="-0.499984740745262"/>
        <bgColor indexed="64"/>
      </patternFill>
    </fill>
    <fill>
      <patternFill patternType="solid">
        <fgColor theme="3" tint="-0.249977111117893"/>
        <bgColor indexed="64"/>
      </patternFill>
    </fill>
    <fill>
      <patternFill patternType="solid">
        <fgColor theme="4" tint="-0.249977111117893"/>
        <bgColor indexed="64"/>
      </patternFill>
    </fill>
    <fill>
      <patternFill patternType="solid">
        <fgColor theme="6" tint="0.3999450666829432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rgb="FFFFFFA7"/>
        <bgColor indexed="64"/>
      </patternFill>
    </fill>
    <fill>
      <patternFill patternType="solid">
        <fgColor theme="1" tint="0.499984740745262"/>
        <bgColor indexed="64"/>
      </patternFill>
    </fill>
    <fill>
      <patternFill patternType="solid">
        <fgColor theme="0"/>
        <bgColor indexed="64"/>
      </patternFill>
    </fill>
    <fill>
      <patternFill patternType="solid">
        <fgColor theme="4"/>
        <bgColor indexed="64"/>
      </patternFill>
    </fill>
    <fill>
      <patternFill patternType="solid">
        <fgColor theme="6"/>
        <bgColor indexed="64"/>
      </patternFill>
    </fill>
    <fill>
      <patternFill patternType="solid">
        <fgColor rgb="FF547198"/>
        <bgColor indexed="64"/>
      </patternFill>
    </fill>
    <fill>
      <patternFill patternType="solid">
        <fgColor rgb="FFF4F2E8"/>
        <bgColor indexed="64"/>
      </patternFill>
    </fill>
    <fill>
      <patternFill patternType="solid">
        <fgColor rgb="FFEEF1F6"/>
        <bgColor indexed="64"/>
      </patternFill>
    </fill>
    <fill>
      <patternFill patternType="solid">
        <fgColor rgb="FF498D19"/>
        <bgColor indexed="64"/>
      </patternFill>
    </fill>
    <fill>
      <patternFill patternType="solid">
        <fgColor theme="0" tint="-0.499984740745262"/>
        <bgColor indexed="64"/>
      </patternFill>
    </fill>
    <fill>
      <patternFill patternType="solid">
        <fgColor rgb="FF849BBA"/>
        <bgColor indexed="64"/>
      </patternFill>
    </fill>
    <fill>
      <patternFill patternType="solid">
        <fgColor theme="6" tint="-0.249977111117893"/>
        <bgColor indexed="64"/>
      </patternFill>
    </fill>
    <fill>
      <patternFill patternType="solid">
        <fgColor rgb="FFFFFFE7"/>
        <bgColor indexed="64"/>
      </patternFill>
    </fill>
    <fill>
      <patternFill patternType="solid">
        <fgColor theme="3" tint="0.59999389629810485"/>
        <bgColor indexed="64"/>
      </patternFill>
    </fill>
    <fill>
      <patternFill patternType="solid">
        <fgColor rgb="FFFFFF00"/>
        <bgColor indexed="64"/>
      </patternFill>
    </fill>
    <fill>
      <patternFill patternType="solid">
        <fgColor rgb="FFF7FCFF"/>
        <bgColor indexed="64"/>
      </patternFill>
    </fill>
  </fills>
  <borders count="12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theme="6" tint="-0.24994659260841701"/>
      </left>
      <right/>
      <top style="medium">
        <color theme="6" tint="-0.24994659260841701"/>
      </top>
      <bottom/>
      <diagonal/>
    </border>
    <border>
      <left/>
      <right/>
      <top style="medium">
        <color theme="6" tint="-0.24994659260841701"/>
      </top>
      <bottom/>
      <diagonal/>
    </border>
    <border>
      <left style="medium">
        <color theme="6" tint="-0.24994659260841701"/>
      </left>
      <right/>
      <top/>
      <bottom/>
      <diagonal/>
    </border>
    <border>
      <left/>
      <right style="medium">
        <color theme="6" tint="-0.24994659260841701"/>
      </right>
      <top/>
      <bottom/>
      <diagonal/>
    </border>
    <border>
      <left style="medium">
        <color theme="6" tint="-0.24994659260841701"/>
      </left>
      <right/>
      <top/>
      <bottom style="medium">
        <color theme="6" tint="-0.24994659260841701"/>
      </bottom>
      <diagonal/>
    </border>
    <border>
      <left/>
      <right/>
      <top/>
      <bottom style="medium">
        <color theme="6" tint="-0.24994659260841701"/>
      </bottom>
      <diagonal/>
    </border>
    <border>
      <left/>
      <right style="medium">
        <color theme="6" tint="-0.24994659260841701"/>
      </right>
      <top/>
      <bottom style="medium">
        <color theme="6" tint="-0.24994659260841701"/>
      </bottom>
      <diagonal/>
    </border>
    <border>
      <left/>
      <right/>
      <top style="medium">
        <color theme="6" tint="0.39994506668294322"/>
      </top>
      <bottom/>
      <diagonal/>
    </border>
    <border>
      <left style="medium">
        <color theme="6" tint="0.39994506668294322"/>
      </left>
      <right/>
      <top/>
      <bottom/>
      <diagonal/>
    </border>
    <border>
      <left/>
      <right style="medium">
        <color theme="6" tint="0.39994506668294322"/>
      </right>
      <top/>
      <bottom/>
      <diagonal/>
    </border>
    <border>
      <left style="medium">
        <color theme="6" tint="0.39994506668294322"/>
      </left>
      <right/>
      <top/>
      <bottom style="medium">
        <color theme="6" tint="0.39994506668294322"/>
      </bottom>
      <diagonal/>
    </border>
    <border>
      <left/>
      <right/>
      <top/>
      <bottom style="medium">
        <color theme="6" tint="0.39994506668294322"/>
      </bottom>
      <diagonal/>
    </border>
    <border>
      <left/>
      <right style="medium">
        <color theme="6" tint="0.39994506668294322"/>
      </right>
      <top/>
      <bottom style="medium">
        <color theme="6" tint="0.39994506668294322"/>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medium">
        <color theme="6"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style="thin">
        <color theme="0" tint="-0.24994659260841701"/>
      </right>
      <top style="thin">
        <color theme="0" tint="-0.24994659260841701"/>
      </top>
      <bottom style="thin">
        <color theme="0" tint="-0.24994659260841701"/>
      </bottom>
      <diagonal/>
    </border>
    <border>
      <left/>
      <right style="medium">
        <color theme="4" tint="-0.499984740745262"/>
      </right>
      <top style="thin">
        <color theme="0" tint="-0.24994659260841701"/>
      </top>
      <bottom style="thin">
        <color theme="0" tint="-0.24994659260841701"/>
      </bottom>
      <diagonal/>
    </border>
    <border>
      <left/>
      <right/>
      <top style="thin">
        <color theme="0" tint="-0.24994659260841701"/>
      </top>
      <bottom/>
      <diagonal/>
    </border>
    <border>
      <left/>
      <right/>
      <top style="thin">
        <color theme="0" tint="-0.24994659260841701"/>
      </top>
      <bottom style="thin">
        <color theme="0" tint="-0.24994659260841701"/>
      </bottom>
      <diagonal/>
    </border>
    <border>
      <left style="thin">
        <color theme="0" tint="-0.24994659260841701"/>
      </left>
      <right/>
      <top/>
      <bottom/>
      <diagonal/>
    </border>
    <border>
      <left style="thin">
        <color indexed="64"/>
      </left>
      <right style="thin">
        <color indexed="64"/>
      </right>
      <top style="thin">
        <color indexed="64"/>
      </top>
      <bottom/>
      <diagonal/>
    </border>
    <border>
      <left style="medium">
        <color theme="6" tint="0.39994506668294322"/>
      </left>
      <right/>
      <top style="medium">
        <color theme="6" tint="0.39994506668294322"/>
      </top>
      <bottom style="medium">
        <color theme="6" tint="0.39994506668294322"/>
      </bottom>
      <diagonal/>
    </border>
    <border>
      <left/>
      <right/>
      <top style="medium">
        <color theme="6" tint="0.39994506668294322"/>
      </top>
      <bottom style="medium">
        <color theme="6" tint="0.39994506668294322"/>
      </bottom>
      <diagonal/>
    </border>
    <border>
      <left/>
      <right style="medium">
        <color theme="6" tint="0.39994506668294322"/>
      </right>
      <top style="medium">
        <color theme="6" tint="0.39991454817346722"/>
      </top>
      <bottom style="medium">
        <color theme="6" tint="0.39994506668294322"/>
      </bottom>
      <diagonal/>
    </border>
    <border>
      <left/>
      <right/>
      <top style="medium">
        <color theme="6" tint="0.39991454817346722"/>
      </top>
      <bottom style="medium">
        <color theme="6" tint="0.3999450666829432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ck">
        <color auto="1"/>
      </left>
      <right style="thin">
        <color auto="1"/>
      </right>
      <top style="thin">
        <color auto="1"/>
      </top>
      <bottom style="thin">
        <color auto="1"/>
      </bottom>
      <diagonal/>
    </border>
    <border>
      <left/>
      <right/>
      <top/>
      <bottom style="thin">
        <color rgb="FF547198"/>
      </bottom>
      <diagonal/>
    </border>
    <border>
      <left style="thin">
        <color indexed="64"/>
      </left>
      <right style="thin">
        <color indexed="64"/>
      </right>
      <top style="thin">
        <color rgb="FF547198"/>
      </top>
      <bottom style="thin">
        <color rgb="FF547198"/>
      </bottom>
      <diagonal/>
    </border>
    <border>
      <left style="thin">
        <color indexed="64"/>
      </left>
      <right style="thin">
        <color rgb="FF547198"/>
      </right>
      <top style="thin">
        <color rgb="FF547198"/>
      </top>
      <bottom style="thin">
        <color rgb="FF547198"/>
      </bottom>
      <diagonal/>
    </border>
    <border>
      <left style="thin">
        <color rgb="FF547198"/>
      </left>
      <right style="thin">
        <color rgb="FF547198"/>
      </right>
      <top style="thin">
        <color rgb="FF547198"/>
      </top>
      <bottom style="thin">
        <color rgb="FF547198"/>
      </bottom>
      <diagonal/>
    </border>
    <border>
      <left style="thin">
        <color indexed="64"/>
      </left>
      <right/>
      <top style="thin">
        <color rgb="FF547198"/>
      </top>
      <bottom style="thin">
        <color rgb="FF547198"/>
      </bottom>
      <diagonal/>
    </border>
    <border>
      <left style="thin">
        <color rgb="FF547198"/>
      </left>
      <right style="thin">
        <color indexed="64"/>
      </right>
      <top style="thin">
        <color rgb="FF547198"/>
      </top>
      <bottom style="thin">
        <color rgb="FF547198"/>
      </bottom>
      <diagonal/>
    </border>
    <border>
      <left/>
      <right/>
      <top style="thin">
        <color rgb="FF547198"/>
      </top>
      <bottom/>
      <diagonal/>
    </border>
    <border>
      <left style="thin">
        <color rgb="FF547198"/>
      </left>
      <right/>
      <top/>
      <bottom/>
      <diagonal/>
    </border>
    <border>
      <left style="thin">
        <color rgb="FFF4F2E8"/>
      </left>
      <right style="thin">
        <color indexed="64"/>
      </right>
      <top style="thin">
        <color rgb="FF547198"/>
      </top>
      <bottom style="thin">
        <color rgb="FF547198"/>
      </bottom>
      <diagonal/>
    </border>
    <border>
      <left style="thin">
        <color rgb="FFF4F2E8"/>
      </left>
      <right style="thin">
        <color rgb="FF547198"/>
      </right>
      <top style="thin">
        <color rgb="FF547198"/>
      </top>
      <bottom style="thin">
        <color rgb="FF547198"/>
      </bottom>
      <diagonal/>
    </border>
    <border>
      <left style="thin">
        <color rgb="FF547198"/>
      </left>
      <right style="thin">
        <color rgb="FF547198"/>
      </right>
      <top/>
      <bottom style="thin">
        <color rgb="FF547198"/>
      </bottom>
      <diagonal/>
    </border>
    <border>
      <left style="thin">
        <color indexed="64"/>
      </left>
      <right style="thin">
        <color rgb="FFF4F2E8"/>
      </right>
      <top style="thin">
        <color rgb="FF547198"/>
      </top>
      <bottom style="thin">
        <color rgb="FF547198"/>
      </bottom>
      <diagonal/>
    </border>
    <border>
      <left style="thin">
        <color rgb="FF547198"/>
      </left>
      <right style="thin">
        <color rgb="FF547198"/>
      </right>
      <top style="thin">
        <color rgb="FF547198"/>
      </top>
      <bottom/>
      <diagonal/>
    </border>
    <border>
      <left style="thin">
        <color rgb="FF547198"/>
      </left>
      <right style="thin">
        <color rgb="FF547198"/>
      </right>
      <top/>
      <bottom/>
      <diagonal/>
    </border>
    <border>
      <left style="thin">
        <color rgb="FF547198"/>
      </left>
      <right style="thin">
        <color rgb="FF547198"/>
      </right>
      <top style="thin">
        <color rgb="FF547198"/>
      </top>
      <bottom style="thin">
        <color theme="0"/>
      </bottom>
      <diagonal/>
    </border>
    <border>
      <left style="thin">
        <color rgb="FF547198"/>
      </left>
      <right/>
      <top style="thin">
        <color rgb="FF547198"/>
      </top>
      <bottom style="thin">
        <color theme="0"/>
      </bottom>
      <diagonal/>
    </border>
    <border>
      <left style="thin">
        <color theme="0"/>
      </left>
      <right style="thin">
        <color rgb="FF547198"/>
      </right>
      <top style="thin">
        <color rgb="FF547198"/>
      </top>
      <bottom style="thin">
        <color rgb="FF547198"/>
      </bottom>
      <diagonal/>
    </border>
    <border>
      <left style="thin">
        <color theme="0"/>
      </left>
      <right/>
      <top style="thin">
        <color rgb="FF547198"/>
      </top>
      <bottom style="thin">
        <color rgb="FF547198"/>
      </bottom>
      <diagonal/>
    </border>
    <border>
      <left style="thin">
        <color theme="0"/>
      </left>
      <right style="thin">
        <color theme="0"/>
      </right>
      <top style="thin">
        <color rgb="FF547198"/>
      </top>
      <bottom style="thin">
        <color rgb="FF547198"/>
      </bottom>
      <diagonal/>
    </border>
    <border>
      <left style="thin">
        <color rgb="FF547198"/>
      </left>
      <right style="thin">
        <color rgb="FF547198"/>
      </right>
      <top/>
      <bottom style="thin">
        <color theme="0"/>
      </bottom>
      <diagonal/>
    </border>
    <border>
      <left style="thin">
        <color rgb="FF547198"/>
      </left>
      <right/>
      <top style="thin">
        <color rgb="FF547198"/>
      </top>
      <bottom/>
      <diagonal/>
    </border>
    <border>
      <left/>
      <right style="thin">
        <color rgb="FF547198"/>
      </right>
      <top style="thin">
        <color rgb="FF547198"/>
      </top>
      <bottom/>
      <diagonal/>
    </border>
    <border>
      <left style="thin">
        <color rgb="FF547198"/>
      </left>
      <right/>
      <top/>
      <bottom style="thin">
        <color rgb="FF547198"/>
      </bottom>
      <diagonal/>
    </border>
    <border>
      <left/>
      <right style="thin">
        <color rgb="FF547198"/>
      </right>
      <top/>
      <bottom style="thin">
        <color rgb="FF547198"/>
      </bottom>
      <diagonal/>
    </border>
    <border>
      <left/>
      <right style="thin">
        <color rgb="FF547198"/>
      </right>
      <top/>
      <bottom/>
      <diagonal/>
    </border>
    <border>
      <left style="thin">
        <color theme="0"/>
      </left>
      <right/>
      <top/>
      <bottom/>
      <diagonal/>
    </border>
    <border>
      <left style="thin">
        <color theme="0"/>
      </left>
      <right style="thin">
        <color theme="0"/>
      </right>
      <top style="thin">
        <color rgb="FF547198"/>
      </top>
      <bottom/>
      <diagonal/>
    </border>
    <border>
      <left style="thin">
        <color theme="0"/>
      </left>
      <right/>
      <top style="thin">
        <color rgb="FF547198"/>
      </top>
      <bottom/>
      <diagonal/>
    </border>
    <border>
      <left style="thin">
        <color theme="0"/>
      </left>
      <right style="thin">
        <color rgb="FF547198"/>
      </right>
      <top style="thin">
        <color rgb="FF547198"/>
      </top>
      <bottom/>
      <diagonal/>
    </border>
    <border>
      <left style="thin">
        <color rgb="FF547198"/>
      </left>
      <right/>
      <top style="thin">
        <color rgb="FF547198"/>
      </top>
      <bottom style="thin">
        <color rgb="FF547198"/>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right style="thin">
        <color rgb="FF547198"/>
      </right>
      <top style="thin">
        <color rgb="FF547198"/>
      </top>
      <bottom style="thin">
        <color rgb="FF547198"/>
      </bottom>
      <diagonal/>
    </border>
    <border>
      <left style="thin">
        <color rgb="FF547198"/>
      </left>
      <right style="thin">
        <color rgb="FF547198"/>
      </right>
      <top style="thin">
        <color theme="0"/>
      </top>
      <bottom/>
      <diagonal/>
    </border>
    <border>
      <left/>
      <right/>
      <top style="thin">
        <color rgb="FF547198"/>
      </top>
      <bottom style="thin">
        <color rgb="FF547198"/>
      </bottom>
      <diagonal/>
    </border>
  </borders>
  <cellStyleXfs count="57">
    <xf numFmtId="0" fontId="0" fillId="0" borderId="0"/>
    <xf numFmtId="0" fontId="2" fillId="2" borderId="0" applyNumberFormat="0" applyBorder="0" applyAlignment="0" applyProtection="0"/>
    <xf numFmtId="0" fontId="2" fillId="4" borderId="0" applyNumberFormat="0" applyBorder="0" applyAlignment="0" applyProtection="0"/>
    <xf numFmtId="0" fontId="2" fillId="6" borderId="0" applyNumberFormat="0" applyBorder="0" applyAlignment="0" applyProtection="0"/>
    <xf numFmtId="0" fontId="2" fillId="2" borderId="0" applyNumberFormat="0" applyBorder="0" applyAlignment="0" applyProtection="0"/>
    <xf numFmtId="0" fontId="2" fillId="7" borderId="0" applyNumberFormat="0" applyBorder="0" applyAlignment="0" applyProtection="0"/>
    <xf numFmtId="0" fontId="2" fillId="4"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9" borderId="0" applyNumberFormat="0" applyBorder="0" applyAlignment="0" applyProtection="0"/>
    <xf numFmtId="0" fontId="2" fillId="8" borderId="0" applyNumberFormat="0" applyBorder="0" applyAlignment="0" applyProtection="0"/>
    <xf numFmtId="0" fontId="2" fillId="4" borderId="0" applyNumberFormat="0" applyBorder="0" applyAlignment="0" applyProtection="0"/>
    <xf numFmtId="0" fontId="3" fillId="12"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9" borderId="0" applyNumberFormat="0" applyBorder="0" applyAlignment="0" applyProtection="0"/>
    <xf numFmtId="0" fontId="3" fillId="12" borderId="0" applyNumberFormat="0" applyBorder="0" applyAlignment="0" applyProtection="0"/>
    <xf numFmtId="0" fontId="3" fillId="4"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4" fillId="3" borderId="0" applyNumberFormat="0" applyBorder="0" applyAlignment="0" applyProtection="0"/>
    <xf numFmtId="0" fontId="5" fillId="2" borderId="1" applyNumberFormat="0" applyAlignment="0" applyProtection="0"/>
    <xf numFmtId="0" fontId="6" fillId="16" borderId="2" applyNumberFormat="0" applyAlignment="0" applyProtection="0"/>
    <xf numFmtId="44" fontId="19" fillId="0" borderId="0" applyFont="0" applyFill="0" applyBorder="0" applyAlignment="0" applyProtection="0"/>
    <xf numFmtId="0" fontId="7" fillId="0" borderId="0" applyNumberFormat="0" applyFill="0" applyBorder="0" applyAlignment="0" applyProtection="0"/>
    <xf numFmtId="0" fontId="8" fillId="5"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4" borderId="1" applyNumberFormat="0" applyAlignment="0" applyProtection="0"/>
    <xf numFmtId="0" fontId="13" fillId="0" borderId="6" applyNumberFormat="0" applyFill="0" applyAlignment="0" applyProtection="0"/>
    <xf numFmtId="0" fontId="14" fillId="17" borderId="0" applyNumberFormat="0" applyBorder="0" applyAlignment="0" applyProtection="0"/>
    <xf numFmtId="0" fontId="1" fillId="6" borderId="7" applyNumberFormat="0" applyFont="0" applyAlignment="0" applyProtection="0"/>
    <xf numFmtId="0" fontId="15" fillId="2" borderId="8" applyNumberFormat="0" applyAlignment="0" applyProtection="0"/>
    <xf numFmtId="9" fontId="19" fillId="0" borderId="0" applyFont="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43" fontId="19" fillId="0" borderId="0" applyFont="0" applyFill="0" applyBorder="0" applyAlignment="0" applyProtection="0"/>
    <xf numFmtId="166" fontId="35" fillId="0" borderId="0"/>
    <xf numFmtId="0" fontId="38" fillId="0" borderId="0" applyNumberFormat="0" applyFill="0" applyBorder="0" applyAlignment="0" applyProtection="0">
      <alignment vertical="top"/>
      <protection locked="0"/>
    </xf>
    <xf numFmtId="43" fontId="1" fillId="0" borderId="0" applyFont="0" applyFill="0" applyBorder="0" applyAlignment="0" applyProtection="0"/>
    <xf numFmtId="0" fontId="1" fillId="0" borderId="0"/>
    <xf numFmtId="0" fontId="102" fillId="0" borderId="0" applyNumberFormat="0" applyFill="0" applyBorder="0" applyAlignment="0" applyProtection="0">
      <alignment vertical="top"/>
      <protection locked="0"/>
    </xf>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63" fillId="0" borderId="0" applyNumberFormat="0" applyFill="0" applyBorder="0" applyAlignment="0" applyProtection="0">
      <alignment vertical="top"/>
      <protection locked="0"/>
    </xf>
  </cellStyleXfs>
  <cellXfs count="1161">
    <xf numFmtId="0" fontId="0" fillId="0" borderId="0" xfId="0"/>
    <xf numFmtId="0" fontId="20" fillId="0" borderId="0" xfId="0" applyFont="1"/>
    <xf numFmtId="0" fontId="21" fillId="0" borderId="0" xfId="0" applyFont="1"/>
    <xf numFmtId="0" fontId="0" fillId="19" borderId="0" xfId="0" applyFill="1"/>
    <xf numFmtId="0" fontId="22" fillId="0" borderId="0" xfId="0" applyFont="1" applyAlignment="1">
      <alignment horizontal="center" wrapText="1"/>
    </xf>
    <xf numFmtId="0" fontId="22" fillId="0" borderId="0" xfId="0" applyFont="1"/>
    <xf numFmtId="0" fontId="0" fillId="0" borderId="0" xfId="0" applyBorder="1"/>
    <xf numFmtId="0" fontId="0" fillId="0" borderId="0" xfId="0" applyFill="1" applyBorder="1"/>
    <xf numFmtId="0" fontId="0" fillId="0" borderId="0" xfId="0" applyProtection="1"/>
    <xf numFmtId="0" fontId="21" fillId="0" borderId="0" xfId="0" applyFont="1" applyProtection="1"/>
    <xf numFmtId="0" fontId="20" fillId="0" borderId="0" xfId="0" applyFont="1" applyProtection="1"/>
    <xf numFmtId="0" fontId="0" fillId="0" borderId="10" xfId="0" applyBorder="1" applyProtection="1"/>
    <xf numFmtId="0" fontId="0" fillId="18" borderId="0" xfId="0" applyFill="1" applyProtection="1"/>
    <xf numFmtId="0" fontId="0" fillId="0" borderId="0" xfId="0" applyAlignment="1" applyProtection="1">
      <alignment horizontal="center" wrapText="1"/>
    </xf>
    <xf numFmtId="0" fontId="22" fillId="0" borderId="0" xfId="0" applyFont="1" applyAlignment="1" applyProtection="1">
      <alignment horizontal="center" wrapText="1"/>
    </xf>
    <xf numFmtId="0" fontId="24" fillId="0" borderId="0" xfId="0" applyFont="1" applyAlignment="1" applyProtection="1">
      <alignment horizontal="center" wrapText="1"/>
    </xf>
    <xf numFmtId="0" fontId="0" fillId="0" borderId="0" xfId="0" applyAlignment="1" applyProtection="1">
      <alignment horizontal="left"/>
    </xf>
    <xf numFmtId="0" fontId="0" fillId="0" borderId="0" xfId="0" applyFill="1"/>
    <xf numFmtId="0" fontId="0" fillId="20" borderId="0" xfId="0" applyFill="1" applyBorder="1"/>
    <xf numFmtId="0" fontId="0" fillId="20" borderId="0" xfId="0" applyFill="1" applyBorder="1" applyAlignment="1">
      <alignment vertical="center" wrapText="1"/>
    </xf>
    <xf numFmtId="0" fontId="0" fillId="20" borderId="0" xfId="0" applyFill="1" applyBorder="1" applyAlignment="1">
      <alignment horizontal="center"/>
    </xf>
    <xf numFmtId="0" fontId="0" fillId="0" borderId="10" xfId="0" applyBorder="1"/>
    <xf numFmtId="0" fontId="0" fillId="22" borderId="0" xfId="0" applyFill="1" applyBorder="1"/>
    <xf numFmtId="0" fontId="0" fillId="22" borderId="0" xfId="0" applyFill="1" applyBorder="1" applyAlignment="1">
      <alignment vertical="center" wrapText="1"/>
    </xf>
    <xf numFmtId="0" fontId="0" fillId="22" borderId="0" xfId="0" applyFill="1" applyBorder="1" applyAlignment="1">
      <alignment horizontal="center" vertical="center" wrapText="1"/>
    </xf>
    <xf numFmtId="0" fontId="0" fillId="22" borderId="0" xfId="0" applyFont="1" applyFill="1" applyBorder="1" applyAlignment="1">
      <alignment horizontal="left" indent="1"/>
    </xf>
    <xf numFmtId="0" fontId="0" fillId="22" borderId="0" xfId="0" applyFill="1" applyBorder="1" applyAlignment="1">
      <alignment horizontal="left" indent="1"/>
    </xf>
    <xf numFmtId="0" fontId="0" fillId="22" borderId="22" xfId="0" applyFill="1" applyBorder="1"/>
    <xf numFmtId="0" fontId="0" fillId="22" borderId="23" xfId="0" applyFill="1" applyBorder="1"/>
    <xf numFmtId="0" fontId="0" fillId="22" borderId="24" xfId="0" applyFill="1" applyBorder="1"/>
    <xf numFmtId="0" fontId="0" fillId="22" borderId="25" xfId="0" applyFill="1" applyBorder="1"/>
    <xf numFmtId="0" fontId="0" fillId="22" borderId="26" xfId="0" applyFill="1" applyBorder="1"/>
    <xf numFmtId="0" fontId="25" fillId="0" borderId="0" xfId="0" applyFont="1" applyFill="1"/>
    <xf numFmtId="0" fontId="0" fillId="0" borderId="0" xfId="0" applyBorder="1" applyAlignment="1"/>
    <xf numFmtId="0" fontId="0" fillId="22" borderId="28" xfId="0" applyFill="1" applyBorder="1" applyAlignment="1" applyProtection="1">
      <alignment horizontal="center" wrapText="1"/>
    </xf>
    <xf numFmtId="0" fontId="22" fillId="22" borderId="0" xfId="0" applyFont="1" applyFill="1" applyBorder="1" applyAlignment="1" applyProtection="1">
      <alignment horizontal="center" wrapText="1"/>
    </xf>
    <xf numFmtId="0" fontId="22" fillId="22" borderId="29" xfId="0" applyFont="1" applyFill="1" applyBorder="1" applyAlignment="1" applyProtection="1">
      <alignment horizontal="center" wrapText="1"/>
    </xf>
    <xf numFmtId="0" fontId="0" fillId="22" borderId="28" xfId="0" applyFill="1" applyBorder="1" applyProtection="1"/>
    <xf numFmtId="0" fontId="22" fillId="22" borderId="0" xfId="0" applyFont="1" applyFill="1" applyBorder="1" applyAlignment="1" applyProtection="1">
      <alignment horizontal="left"/>
    </xf>
    <xf numFmtId="0" fontId="22" fillId="22" borderId="29" xfId="0" applyFont="1" applyFill="1" applyBorder="1" applyAlignment="1" applyProtection="1">
      <alignment horizontal="right"/>
    </xf>
    <xf numFmtId="0" fontId="0" fillId="22" borderId="0" xfId="0" applyFill="1" applyBorder="1" applyProtection="1"/>
    <xf numFmtId="0" fontId="0" fillId="22" borderId="29" xfId="0" applyFill="1" applyBorder="1" applyProtection="1"/>
    <xf numFmtId="0" fontId="0" fillId="22" borderId="30" xfId="0" applyFill="1" applyBorder="1" applyProtection="1"/>
    <xf numFmtId="0" fontId="0" fillId="22" borderId="31" xfId="0" applyFill="1" applyBorder="1" applyProtection="1"/>
    <xf numFmtId="0" fontId="0" fillId="22" borderId="32" xfId="0" applyFill="1" applyBorder="1" applyProtection="1"/>
    <xf numFmtId="0" fontId="0" fillId="0" borderId="0" xfId="0" applyBorder="1"/>
    <xf numFmtId="0" fontId="0" fillId="0" borderId="0" xfId="0" applyAlignment="1" applyProtection="1">
      <alignment horizontal="center"/>
    </xf>
    <xf numFmtId="0" fontId="32" fillId="0" borderId="0" xfId="0" applyFont="1" applyBorder="1"/>
    <xf numFmtId="0" fontId="0" fillId="0" borderId="18" xfId="0" applyBorder="1" applyProtection="1"/>
    <xf numFmtId="0" fontId="0" fillId="0" borderId="19" xfId="0" applyBorder="1" applyProtection="1"/>
    <xf numFmtId="0" fontId="0" fillId="0" borderId="0" xfId="0" applyFont="1"/>
    <xf numFmtId="0" fontId="27" fillId="22" borderId="22" xfId="0" applyFont="1" applyFill="1" applyBorder="1"/>
    <xf numFmtId="0" fontId="27" fillId="22" borderId="0" xfId="0" applyFont="1" applyFill="1"/>
    <xf numFmtId="9" fontId="0" fillId="22" borderId="0" xfId="0" applyNumberFormat="1" applyFill="1" applyBorder="1"/>
    <xf numFmtId="0" fontId="0" fillId="22" borderId="0" xfId="0" applyFill="1" applyBorder="1" applyAlignment="1">
      <alignment horizontal="right"/>
    </xf>
    <xf numFmtId="0" fontId="0" fillId="22" borderId="0" xfId="0" applyFill="1"/>
    <xf numFmtId="0" fontId="0" fillId="0" borderId="0" xfId="0" applyFont="1" applyProtection="1"/>
    <xf numFmtId="0" fontId="25" fillId="24" borderId="0" xfId="0" applyFont="1" applyFill="1" applyBorder="1"/>
    <xf numFmtId="0" fontId="27" fillId="22" borderId="22" xfId="0" applyFont="1" applyFill="1" applyBorder="1" applyAlignment="1">
      <alignment vertical="center" wrapText="1"/>
    </xf>
    <xf numFmtId="0" fontId="27" fillId="20" borderId="0" xfId="0" applyFont="1" applyFill="1" applyBorder="1" applyAlignment="1">
      <alignment vertical="center" wrapText="1"/>
    </xf>
    <xf numFmtId="0" fontId="27" fillId="22" borderId="0" xfId="0" applyFont="1" applyFill="1" applyBorder="1" applyAlignment="1">
      <alignment vertical="center" wrapText="1"/>
    </xf>
    <xf numFmtId="0" fontId="27" fillId="22" borderId="23" xfId="0" applyFont="1" applyFill="1" applyBorder="1" applyAlignment="1">
      <alignment vertical="center" wrapText="1"/>
    </xf>
    <xf numFmtId="0" fontId="37" fillId="0" borderId="0" xfId="0" applyFont="1"/>
    <xf numFmtId="0" fontId="0" fillId="0" borderId="0" xfId="0" applyBorder="1" applyProtection="1"/>
    <xf numFmtId="0" fontId="0" fillId="0" borderId="16" xfId="0" applyBorder="1"/>
    <xf numFmtId="0" fontId="0" fillId="0" borderId="17" xfId="0" applyBorder="1"/>
    <xf numFmtId="0" fontId="0" fillId="0" borderId="35" xfId="0" applyFill="1" applyBorder="1"/>
    <xf numFmtId="0" fontId="0" fillId="0" borderId="12" xfId="0" applyBorder="1"/>
    <xf numFmtId="0" fontId="0" fillId="0" borderId="33" xfId="0" applyFill="1" applyBorder="1"/>
    <xf numFmtId="0" fontId="0" fillId="0" borderId="36" xfId="0" applyBorder="1"/>
    <xf numFmtId="0" fontId="0" fillId="0" borderId="34" xfId="0" applyBorder="1"/>
    <xf numFmtId="0" fontId="26" fillId="0" borderId="0" xfId="0" applyFont="1" applyAlignment="1" applyProtection="1">
      <alignment horizontal="center"/>
    </xf>
    <xf numFmtId="0" fontId="22" fillId="0" borderId="0" xfId="0" applyFont="1" applyAlignment="1" applyProtection="1"/>
    <xf numFmtId="0" fontId="0" fillId="24" borderId="0" xfId="0" applyFont="1" applyFill="1" applyBorder="1"/>
    <xf numFmtId="3" fontId="25" fillId="24" borderId="0" xfId="44" applyNumberFormat="1" applyFont="1" applyFill="1" applyBorder="1" applyAlignment="1">
      <alignment horizontal="right" vertical="center"/>
    </xf>
    <xf numFmtId="0" fontId="25" fillId="24" borderId="0" xfId="0" applyFont="1" applyFill="1"/>
    <xf numFmtId="3" fontId="25" fillId="24" borderId="0" xfId="44" applyNumberFormat="1" applyFont="1" applyFill="1" applyBorder="1" applyAlignment="1">
      <alignment vertical="center"/>
    </xf>
    <xf numFmtId="0" fontId="25" fillId="24" borderId="0" xfId="0" applyFont="1" applyFill="1" applyBorder="1" applyAlignment="1">
      <alignment horizontal="left" indent="4"/>
    </xf>
    <xf numFmtId="0" fontId="25" fillId="24" borderId="0" xfId="0" applyFont="1" applyFill="1" applyBorder="1" applyAlignment="1">
      <alignment horizontal="right"/>
    </xf>
    <xf numFmtId="0" fontId="22" fillId="0" borderId="15" xfId="0" applyFont="1" applyBorder="1" applyAlignment="1">
      <alignment horizontal="center" wrapText="1"/>
    </xf>
    <xf numFmtId="0" fontId="22" fillId="0" borderId="35" xfId="0" applyFont="1" applyBorder="1" applyAlignment="1">
      <alignment horizontal="center" wrapText="1"/>
    </xf>
    <xf numFmtId="0" fontId="0" fillId="0" borderId="35" xfId="0" applyBorder="1"/>
    <xf numFmtId="0" fontId="22" fillId="0" borderId="35" xfId="0" applyFont="1" applyBorder="1"/>
    <xf numFmtId="0" fontId="22" fillId="0" borderId="33" xfId="0" applyFont="1" applyBorder="1"/>
    <xf numFmtId="0" fontId="22" fillId="0" borderId="18" xfId="0" applyFont="1" applyBorder="1" applyAlignment="1">
      <alignment horizontal="center" wrapText="1"/>
    </xf>
    <xf numFmtId="0" fontId="0" fillId="0" borderId="19" xfId="0" applyBorder="1"/>
    <xf numFmtId="0" fontId="22" fillId="0" borderId="19" xfId="0" applyFont="1" applyBorder="1" applyAlignment="1">
      <alignment horizontal="center" wrapText="1"/>
    </xf>
    <xf numFmtId="0" fontId="22" fillId="0" borderId="17" xfId="0" applyFont="1" applyBorder="1" applyAlignment="1">
      <alignment horizontal="center" wrapText="1"/>
    </xf>
    <xf numFmtId="0" fontId="22" fillId="0" borderId="12" xfId="0" applyFont="1" applyBorder="1"/>
    <xf numFmtId="0" fontId="22" fillId="0" borderId="35" xfId="0" applyFont="1" applyBorder="1" applyAlignment="1">
      <alignment horizontal="left"/>
    </xf>
    <xf numFmtId="0" fontId="22" fillId="0" borderId="12" xfId="0" applyFont="1" applyBorder="1" applyAlignment="1">
      <alignment horizontal="left"/>
    </xf>
    <xf numFmtId="0" fontId="22" fillId="0" borderId="33" xfId="0" applyFont="1" applyBorder="1" applyAlignment="1">
      <alignment horizontal="left"/>
    </xf>
    <xf numFmtId="0" fontId="22" fillId="0" borderId="34" xfId="0" applyFont="1" applyBorder="1" applyAlignment="1">
      <alignment horizontal="left"/>
    </xf>
    <xf numFmtId="0" fontId="0" fillId="0" borderId="18" xfId="0" applyBorder="1"/>
    <xf numFmtId="0" fontId="0" fillId="0" borderId="15" xfId="0" applyBorder="1"/>
    <xf numFmtId="0" fontId="2" fillId="25" borderId="35" xfId="0" applyFont="1" applyFill="1" applyBorder="1"/>
    <xf numFmtId="0" fontId="2" fillId="0" borderId="35" xfId="0" applyFont="1" applyBorder="1"/>
    <xf numFmtId="166" fontId="36" fillId="25" borderId="35" xfId="45" applyNumberFormat="1" applyFont="1" applyFill="1" applyBorder="1" applyAlignment="1" applyProtection="1">
      <alignment horizontal="left"/>
    </xf>
    <xf numFmtId="166" fontId="36" fillId="0" borderId="35" xfId="45" applyNumberFormat="1" applyFont="1" applyBorder="1" applyAlignment="1" applyProtection="1">
      <alignment horizontal="left"/>
    </xf>
    <xf numFmtId="166" fontId="36" fillId="0" borderId="35" xfId="45" applyNumberFormat="1" applyFont="1" applyFill="1" applyBorder="1" applyAlignment="1" applyProtection="1">
      <alignment horizontal="left"/>
    </xf>
    <xf numFmtId="0" fontId="2" fillId="0" borderId="33" xfId="0" applyFont="1" applyBorder="1"/>
    <xf numFmtId="0" fontId="2" fillId="0" borderId="36" xfId="0" applyFont="1" applyFill="1" applyBorder="1"/>
    <xf numFmtId="0" fontId="0" fillId="0" borderId="33" xfId="0" applyBorder="1"/>
    <xf numFmtId="0" fontId="0" fillId="0" borderId="14" xfId="0" applyBorder="1"/>
    <xf numFmtId="0" fontId="0" fillId="0" borderId="11" xfId="0" applyBorder="1"/>
    <xf numFmtId="0" fontId="0" fillId="0" borderId="37" xfId="0" applyBorder="1"/>
    <xf numFmtId="0" fontId="0" fillId="0" borderId="13" xfId="0" applyBorder="1"/>
    <xf numFmtId="44" fontId="0" fillId="0" borderId="18" xfId="0" applyNumberFormat="1" applyBorder="1"/>
    <xf numFmtId="44" fontId="0" fillId="0" borderId="0" xfId="0" applyNumberFormat="1"/>
    <xf numFmtId="0" fontId="0" fillId="0" borderId="18" xfId="0" applyFill="1" applyBorder="1"/>
    <xf numFmtId="2" fontId="0" fillId="0" borderId="0" xfId="0" applyNumberFormat="1" applyProtection="1"/>
    <xf numFmtId="2" fontId="36" fillId="0" borderId="0" xfId="28" applyNumberFormat="1" applyFont="1" applyFill="1" applyBorder="1" applyAlignment="1" applyProtection="1">
      <alignment horizontal="right"/>
    </xf>
    <xf numFmtId="2" fontId="36" fillId="0" borderId="0" xfId="45" applyNumberFormat="1" applyFont="1" applyFill="1" applyBorder="1" applyAlignment="1" applyProtection="1">
      <alignment horizontal="right"/>
    </xf>
    <xf numFmtId="2" fontId="2" fillId="25" borderId="0" xfId="28" applyNumberFormat="1" applyFont="1" applyFill="1" applyBorder="1" applyAlignment="1">
      <alignment horizontal="right"/>
    </xf>
    <xf numFmtId="2" fontId="2" fillId="25" borderId="0" xfId="0" applyNumberFormat="1" applyFont="1" applyFill="1" applyBorder="1" applyAlignment="1">
      <alignment horizontal="right"/>
    </xf>
    <xf numFmtId="2" fontId="2" fillId="0" borderId="0" xfId="28" applyNumberFormat="1" applyFont="1" applyFill="1" applyBorder="1" applyAlignment="1">
      <alignment horizontal="right"/>
    </xf>
    <xf numFmtId="2" fontId="2" fillId="0" borderId="0" xfId="0" applyNumberFormat="1" applyFont="1" applyFill="1" applyBorder="1" applyAlignment="1">
      <alignment horizontal="right"/>
    </xf>
    <xf numFmtId="2" fontId="36" fillId="25" borderId="0" xfId="28" applyNumberFormat="1" applyFont="1" applyFill="1" applyBorder="1" applyAlignment="1" applyProtection="1">
      <alignment horizontal="right"/>
    </xf>
    <xf numFmtId="2" fontId="36" fillId="25" borderId="0" xfId="45" applyNumberFormat="1" applyFont="1" applyFill="1" applyBorder="1" applyAlignment="1" applyProtection="1">
      <alignment horizontal="right"/>
    </xf>
    <xf numFmtId="2" fontId="36" fillId="0" borderId="0" xfId="28" applyNumberFormat="1" applyFont="1" applyFill="1" applyBorder="1" applyAlignment="1">
      <alignment horizontal="right"/>
    </xf>
    <xf numFmtId="2" fontId="36" fillId="0" borderId="0" xfId="0" applyNumberFormat="1" applyFont="1" applyFill="1" applyBorder="1" applyAlignment="1">
      <alignment horizontal="right"/>
    </xf>
    <xf numFmtId="2" fontId="36" fillId="25" borderId="0" xfId="28" applyNumberFormat="1" applyFont="1" applyFill="1" applyBorder="1" applyAlignment="1">
      <alignment horizontal="right"/>
    </xf>
    <xf numFmtId="2" fontId="36" fillId="25" borderId="0" xfId="0" applyNumberFormat="1" applyFont="1" applyFill="1" applyBorder="1" applyAlignment="1">
      <alignment horizontal="right"/>
    </xf>
    <xf numFmtId="0" fontId="23" fillId="0" borderId="0" xfId="0" applyFont="1"/>
    <xf numFmtId="0" fontId="0" fillId="0" borderId="0" xfId="0" applyAlignment="1" applyProtection="1">
      <alignment horizontal="right"/>
    </xf>
    <xf numFmtId="0" fontId="0" fillId="0" borderId="0" xfId="0" applyFill="1" applyProtection="1"/>
    <xf numFmtId="0" fontId="42" fillId="22" borderId="25" xfId="0" applyFont="1" applyFill="1" applyBorder="1"/>
    <xf numFmtId="0" fontId="22" fillId="22" borderId="25" xfId="0" applyFont="1" applyFill="1" applyBorder="1"/>
    <xf numFmtId="0" fontId="43" fillId="22" borderId="25" xfId="46" applyFont="1" applyFill="1" applyBorder="1" applyAlignment="1" applyProtection="1"/>
    <xf numFmtId="2" fontId="0" fillId="0" borderId="12" xfId="0" applyNumberFormat="1" applyBorder="1"/>
    <xf numFmtId="44" fontId="0" fillId="0" borderId="0" xfId="28" applyFont="1"/>
    <xf numFmtId="0" fontId="0" fillId="0" borderId="15" xfId="0" applyBorder="1" applyAlignment="1" applyProtection="1">
      <alignment horizontal="center" wrapText="1"/>
    </xf>
    <xf numFmtId="0" fontId="0" fillId="0" borderId="16" xfId="0" applyBorder="1" applyAlignment="1" applyProtection="1">
      <alignment horizontal="center" wrapText="1"/>
    </xf>
    <xf numFmtId="0" fontId="0" fillId="0" borderId="17" xfId="0" applyBorder="1" applyAlignment="1" applyProtection="1">
      <alignment horizontal="center" wrapText="1"/>
    </xf>
    <xf numFmtId="2" fontId="2" fillId="25" borderId="35" xfId="0" applyNumberFormat="1" applyFont="1" applyFill="1" applyBorder="1" applyAlignment="1">
      <alignment horizontal="right"/>
    </xf>
    <xf numFmtId="2" fontId="2" fillId="25" borderId="12" xfId="0" applyNumberFormat="1" applyFont="1" applyFill="1" applyBorder="1" applyAlignment="1">
      <alignment horizontal="right"/>
    </xf>
    <xf numFmtId="2" fontId="0" fillId="0" borderId="35" xfId="0" applyNumberFormat="1" applyBorder="1" applyAlignment="1" applyProtection="1">
      <alignment horizontal="right" wrapText="1"/>
    </xf>
    <xf numFmtId="2" fontId="0" fillId="0" borderId="0" xfId="0" applyNumberFormat="1" applyBorder="1" applyAlignment="1" applyProtection="1">
      <alignment horizontal="right" wrapText="1"/>
    </xf>
    <xf numFmtId="2" fontId="0" fillId="0" borderId="12" xfId="0" applyNumberFormat="1" applyBorder="1" applyAlignment="1" applyProtection="1">
      <alignment horizontal="right" wrapText="1"/>
    </xf>
    <xf numFmtId="2" fontId="2" fillId="0" borderId="35" xfId="0" applyNumberFormat="1" applyFont="1" applyFill="1" applyBorder="1" applyAlignment="1">
      <alignment horizontal="right"/>
    </xf>
    <xf numFmtId="2" fontId="2" fillId="0" borderId="12" xfId="0" applyNumberFormat="1" applyFont="1" applyFill="1" applyBorder="1" applyAlignment="1">
      <alignment horizontal="right"/>
    </xf>
    <xf numFmtId="2" fontId="36" fillId="25" borderId="35" xfId="45" applyNumberFormat="1" applyFont="1" applyFill="1" applyBorder="1" applyAlignment="1" applyProtection="1">
      <alignment horizontal="right"/>
    </xf>
    <xf numFmtId="2" fontId="36" fillId="25" borderId="12" xfId="45" applyNumberFormat="1" applyFont="1" applyFill="1" applyBorder="1" applyAlignment="1" applyProtection="1">
      <alignment horizontal="right"/>
    </xf>
    <xf numFmtId="2" fontId="36" fillId="0" borderId="35" xfId="45" applyNumberFormat="1" applyFont="1" applyFill="1" applyBorder="1" applyAlignment="1" applyProtection="1">
      <alignment horizontal="right"/>
    </xf>
    <xf numFmtId="2" fontId="36" fillId="0" borderId="12" xfId="45" applyNumberFormat="1" applyFont="1" applyFill="1" applyBorder="1" applyAlignment="1" applyProtection="1">
      <alignment horizontal="right"/>
    </xf>
    <xf numFmtId="2" fontId="36" fillId="0" borderId="35" xfId="0" applyNumberFormat="1" applyFont="1" applyFill="1" applyBorder="1" applyAlignment="1">
      <alignment horizontal="right"/>
    </xf>
    <xf numFmtId="2" fontId="36" fillId="0" borderId="12" xfId="0" applyNumberFormat="1" applyFont="1" applyFill="1" applyBorder="1" applyAlignment="1">
      <alignment horizontal="right"/>
    </xf>
    <xf numFmtId="2" fontId="36" fillId="25" borderId="35" xfId="0" applyNumberFormat="1" applyFont="1" applyFill="1" applyBorder="1" applyAlignment="1">
      <alignment horizontal="right"/>
    </xf>
    <xf numFmtId="2" fontId="36" fillId="25" borderId="12" xfId="0" applyNumberFormat="1" applyFont="1" applyFill="1" applyBorder="1" applyAlignment="1">
      <alignment horizontal="right"/>
    </xf>
    <xf numFmtId="2" fontId="0" fillId="0" borderId="33" xfId="0" applyNumberFormat="1" applyBorder="1" applyAlignment="1" applyProtection="1">
      <alignment horizontal="right" wrapText="1"/>
    </xf>
    <xf numFmtId="2" fontId="0" fillId="0" borderId="36" xfId="0" applyNumberFormat="1" applyBorder="1" applyAlignment="1" applyProtection="1">
      <alignment horizontal="right" wrapText="1"/>
    </xf>
    <xf numFmtId="2" fontId="0" fillId="0" borderId="34" xfId="0" applyNumberFormat="1" applyBorder="1" applyAlignment="1" applyProtection="1">
      <alignment horizontal="right" wrapText="1"/>
    </xf>
    <xf numFmtId="0" fontId="0" fillId="0" borderId="15" xfId="0" applyBorder="1" applyAlignment="1" applyProtection="1">
      <alignment horizontal="left"/>
    </xf>
    <xf numFmtId="0" fontId="2" fillId="25" borderId="12" xfId="0" applyFont="1" applyFill="1" applyBorder="1"/>
    <xf numFmtId="0" fontId="2" fillId="0" borderId="12" xfId="0" applyFont="1" applyFill="1" applyBorder="1"/>
    <xf numFmtId="166" fontId="36" fillId="25" borderId="12" xfId="45" applyNumberFormat="1" applyFont="1" applyFill="1" applyBorder="1" applyAlignment="1" applyProtection="1">
      <alignment horizontal="left"/>
    </xf>
    <xf numFmtId="166" fontId="36" fillId="0" borderId="12" xfId="45" applyNumberFormat="1" applyFont="1" applyFill="1" applyBorder="1" applyAlignment="1" applyProtection="1">
      <alignment horizontal="left"/>
    </xf>
    <xf numFmtId="0" fontId="36" fillId="0" borderId="12" xfId="0" applyFont="1" applyFill="1" applyBorder="1"/>
    <xf numFmtId="0" fontId="36" fillId="25" borderId="12" xfId="0" applyFont="1" applyFill="1" applyBorder="1"/>
    <xf numFmtId="0" fontId="2" fillId="0" borderId="34" xfId="0" applyFont="1" applyFill="1" applyBorder="1"/>
    <xf numFmtId="0" fontId="0" fillId="20" borderId="0" xfId="0" applyFill="1" applyBorder="1" applyAlignment="1">
      <alignment horizontal="right"/>
    </xf>
    <xf numFmtId="0" fontId="27" fillId="20" borderId="0" xfId="0" applyFont="1" applyFill="1" applyBorder="1" applyAlignment="1">
      <alignment horizontal="right" vertical="center"/>
    </xf>
    <xf numFmtId="0" fontId="34" fillId="22" borderId="0" xfId="0" applyFont="1" applyFill="1" applyBorder="1" applyAlignment="1">
      <alignment horizontal="left"/>
    </xf>
    <xf numFmtId="0" fontId="45" fillId="22" borderId="0" xfId="0" applyFont="1" applyFill="1" applyBorder="1" applyAlignment="1">
      <alignment horizontal="center" vertical="center"/>
    </xf>
    <xf numFmtId="0" fontId="0" fillId="0" borderId="10" xfId="0" applyBorder="1" applyAlignment="1"/>
    <xf numFmtId="0" fontId="0" fillId="0" borderId="0" xfId="0" applyAlignment="1">
      <alignment horizontal="left" indent="3"/>
    </xf>
    <xf numFmtId="0" fontId="31" fillId="0" borderId="10" xfId="0" applyFont="1" applyBorder="1" applyAlignment="1">
      <alignment vertical="center"/>
    </xf>
    <xf numFmtId="0" fontId="0" fillId="0" borderId="0" xfId="0" applyAlignment="1">
      <alignment vertical="center"/>
    </xf>
    <xf numFmtId="0" fontId="0" fillId="0" borderId="10" xfId="0" applyBorder="1" applyAlignment="1">
      <alignment vertical="center"/>
    </xf>
    <xf numFmtId="0" fontId="0" fillId="0" borderId="0" xfId="0" applyBorder="1" applyAlignment="1">
      <alignment vertical="center"/>
    </xf>
    <xf numFmtId="0" fontId="47" fillId="0" borderId="0" xfId="0" applyFont="1"/>
    <xf numFmtId="0" fontId="0" fillId="22" borderId="0" xfId="0" applyFill="1" applyAlignment="1">
      <alignment horizontal="center"/>
    </xf>
    <xf numFmtId="0" fontId="47" fillId="0" borderId="0" xfId="0" applyFont="1" applyBorder="1" applyAlignment="1">
      <alignment vertical="top"/>
    </xf>
    <xf numFmtId="0" fontId="0" fillId="0" borderId="16" xfId="0" applyBorder="1" applyAlignment="1">
      <alignment vertical="center"/>
    </xf>
    <xf numFmtId="0" fontId="0" fillId="0" borderId="0" xfId="0" applyAlignment="1">
      <alignment vertical="center" wrapText="1"/>
    </xf>
    <xf numFmtId="0" fontId="0" fillId="0" borderId="0" xfId="0" applyAlignment="1">
      <alignment horizontal="left" vertical="center" wrapText="1"/>
    </xf>
    <xf numFmtId="0" fontId="41" fillId="0" borderId="0" xfId="46" applyFont="1" applyAlignment="1" applyProtection="1"/>
    <xf numFmtId="0" fontId="40" fillId="0" borderId="0" xfId="0" applyFont="1" applyAlignment="1">
      <alignment horizontal="right" indent="1"/>
    </xf>
    <xf numFmtId="0" fontId="23" fillId="0" borderId="0" xfId="0" applyFont="1" applyAlignment="1">
      <alignment horizontal="right" indent="1"/>
    </xf>
    <xf numFmtId="0" fontId="46" fillId="21" borderId="21" xfId="0" applyFont="1" applyFill="1" applyBorder="1" applyAlignment="1"/>
    <xf numFmtId="0" fontId="45" fillId="22" borderId="0" xfId="0" applyFont="1" applyFill="1" applyBorder="1" applyAlignment="1">
      <alignment vertical="center" wrapText="1"/>
    </xf>
    <xf numFmtId="0" fontId="45" fillId="22" borderId="0" xfId="0" applyFont="1" applyFill="1" applyBorder="1" applyAlignment="1">
      <alignment vertical="center"/>
    </xf>
    <xf numFmtId="0" fontId="45" fillId="22" borderId="22" xfId="0" applyFont="1" applyFill="1" applyBorder="1" applyAlignment="1">
      <alignment vertical="center" wrapText="1"/>
    </xf>
    <xf numFmtId="0" fontId="45" fillId="22" borderId="23" xfId="0" applyFont="1" applyFill="1" applyBorder="1" applyAlignment="1">
      <alignment vertical="center"/>
    </xf>
    <xf numFmtId="0" fontId="0" fillId="22" borderId="0" xfId="0" applyFill="1" applyBorder="1" applyAlignment="1">
      <alignment vertical="top" wrapText="1"/>
    </xf>
    <xf numFmtId="0" fontId="48" fillId="21" borderId="20" xfId="0" applyFont="1" applyFill="1" applyBorder="1" applyAlignment="1"/>
    <xf numFmtId="0" fontId="22" fillId="22" borderId="0" xfId="0" applyFont="1" applyFill="1" applyBorder="1" applyAlignment="1" applyProtection="1">
      <alignment horizontal="center" wrapText="1"/>
    </xf>
    <xf numFmtId="0" fontId="45" fillId="22" borderId="0" xfId="0" applyFont="1" applyFill="1" applyBorder="1" applyAlignment="1">
      <alignment horizontal="left" vertical="center" indent="2"/>
    </xf>
    <xf numFmtId="0" fontId="42" fillId="22" borderId="0" xfId="0" applyFont="1" applyFill="1" applyBorder="1" applyAlignment="1">
      <alignment vertical="center"/>
    </xf>
    <xf numFmtId="0" fontId="34" fillId="22" borderId="0" xfId="0" applyFont="1" applyFill="1" applyBorder="1" applyAlignment="1"/>
    <xf numFmtId="9" fontId="34" fillId="22" borderId="0" xfId="40" applyFont="1" applyFill="1" applyBorder="1" applyAlignment="1"/>
    <xf numFmtId="9" fontId="34" fillId="22" borderId="0" xfId="0" applyNumberFormat="1" applyFont="1" applyFill="1" applyBorder="1" applyAlignment="1"/>
    <xf numFmtId="165" fontId="34" fillId="22" borderId="0" xfId="0" applyNumberFormat="1" applyFont="1" applyFill="1" applyBorder="1" applyAlignment="1"/>
    <xf numFmtId="0" fontId="31" fillId="0" borderId="10" xfId="0" applyFont="1" applyBorder="1" applyAlignment="1" applyProtection="1">
      <alignment vertical="center"/>
    </xf>
    <xf numFmtId="0" fontId="0" fillId="22" borderId="0" xfId="0" applyFont="1" applyFill="1" applyBorder="1" applyAlignment="1" applyProtection="1">
      <alignment horizontal="left"/>
    </xf>
    <xf numFmtId="0" fontId="0" fillId="22" borderId="0" xfId="0" applyFont="1" applyFill="1" applyBorder="1" applyAlignment="1" applyProtection="1">
      <alignment horizontal="right"/>
    </xf>
    <xf numFmtId="9" fontId="0" fillId="26" borderId="14" xfId="40" applyFont="1" applyFill="1" applyBorder="1" applyAlignment="1" applyProtection="1">
      <alignment horizontal="right"/>
      <protection locked="0"/>
    </xf>
    <xf numFmtId="0" fontId="0" fillId="22" borderId="0" xfId="0" applyFont="1" applyFill="1" applyBorder="1" applyAlignment="1" applyProtection="1"/>
    <xf numFmtId="0" fontId="0" fillId="22" borderId="0" xfId="0" applyFont="1" applyFill="1" applyBorder="1" applyProtection="1"/>
    <xf numFmtId="9" fontId="0" fillId="26" borderId="14" xfId="40" applyFont="1" applyFill="1" applyBorder="1" applyProtection="1">
      <protection locked="0"/>
    </xf>
    <xf numFmtId="0" fontId="0" fillId="22" borderId="16" xfId="0" applyFont="1" applyFill="1" applyBorder="1" applyProtection="1"/>
    <xf numFmtId="165" fontId="0" fillId="22" borderId="0" xfId="0" applyNumberFormat="1" applyFont="1" applyFill="1" applyBorder="1" applyAlignment="1" applyProtection="1">
      <alignment horizontal="right"/>
    </xf>
    <xf numFmtId="9" fontId="0" fillId="22" borderId="0" xfId="40" applyFont="1" applyFill="1" applyBorder="1" applyAlignment="1" applyProtection="1">
      <alignment horizontal="right"/>
    </xf>
    <xf numFmtId="2" fontId="0" fillId="0" borderId="18" xfId="0" applyNumberFormat="1" applyBorder="1" applyProtection="1"/>
    <xf numFmtId="2" fontId="0" fillId="0" borderId="33" xfId="0" applyNumberFormat="1" applyBorder="1" applyAlignment="1" applyProtection="1">
      <alignment horizontal="center" wrapText="1"/>
    </xf>
    <xf numFmtId="0" fontId="0" fillId="0" borderId="36" xfId="0" applyBorder="1" applyAlignment="1" applyProtection="1">
      <alignment horizontal="center" wrapText="1"/>
    </xf>
    <xf numFmtId="0" fontId="0" fillId="0" borderId="34" xfId="0" applyBorder="1" applyAlignment="1" applyProtection="1">
      <alignment horizontal="center" wrapText="1"/>
    </xf>
    <xf numFmtId="0" fontId="0" fillId="0" borderId="33" xfId="0" applyBorder="1" applyAlignment="1" applyProtection="1">
      <alignment horizontal="center" wrapText="1"/>
    </xf>
    <xf numFmtId="0" fontId="31" fillId="0" borderId="0" xfId="0" applyFont="1" applyBorder="1" applyAlignment="1">
      <alignment vertical="center"/>
    </xf>
    <xf numFmtId="0" fontId="22" fillId="22" borderId="0" xfId="0" applyFont="1" applyFill="1" applyBorder="1" applyAlignment="1" applyProtection="1">
      <alignment horizontal="center" wrapText="1"/>
    </xf>
    <xf numFmtId="2" fontId="0" fillId="0" borderId="35" xfId="0" applyNumberFormat="1" applyBorder="1" applyAlignment="1" applyProtection="1">
      <alignment horizontal="right"/>
    </xf>
    <xf numFmtId="2" fontId="0" fillId="0" borderId="0" xfId="0" applyNumberFormat="1" applyBorder="1" applyAlignment="1" applyProtection="1">
      <alignment horizontal="right"/>
    </xf>
    <xf numFmtId="2" fontId="0" fillId="0" borderId="0" xfId="28" applyNumberFormat="1" applyFont="1" applyBorder="1" applyAlignment="1" applyProtection="1">
      <alignment horizontal="right" wrapText="1"/>
    </xf>
    <xf numFmtId="2" fontId="0" fillId="0" borderId="12" xfId="0" applyNumberFormat="1" applyBorder="1" applyAlignment="1" applyProtection="1">
      <alignment horizontal="right"/>
    </xf>
    <xf numFmtId="2" fontId="0" fillId="0" borderId="33" xfId="0" applyNumberFormat="1" applyBorder="1" applyAlignment="1" applyProtection="1">
      <alignment horizontal="right"/>
    </xf>
    <xf numFmtId="2" fontId="0" fillId="0" borderId="36" xfId="0" applyNumberFormat="1" applyBorder="1" applyAlignment="1" applyProtection="1">
      <alignment horizontal="right"/>
    </xf>
    <xf numFmtId="2" fontId="0" fillId="0" borderId="34" xfId="0" applyNumberFormat="1" applyBorder="1" applyAlignment="1" applyProtection="1">
      <alignment horizontal="right"/>
    </xf>
    <xf numFmtId="2" fontId="0" fillId="0" borderId="0" xfId="28" applyNumberFormat="1" applyFont="1" applyBorder="1" applyAlignment="1" applyProtection="1">
      <alignment horizontal="right"/>
    </xf>
    <xf numFmtId="2" fontId="0" fillId="0" borderId="10" xfId="0" applyNumberFormat="1" applyBorder="1" applyProtection="1"/>
    <xf numFmtId="0" fontId="22" fillId="0" borderId="0" xfId="0" applyFont="1" applyBorder="1"/>
    <xf numFmtId="0" fontId="0" fillId="0" borderId="0" xfId="0"/>
    <xf numFmtId="0" fontId="0" fillId="0" borderId="0" xfId="0" applyFill="1"/>
    <xf numFmtId="2" fontId="0" fillId="0" borderId="0" xfId="0" applyNumberFormat="1"/>
    <xf numFmtId="0" fontId="0" fillId="0" borderId="0" xfId="0" applyFont="1"/>
    <xf numFmtId="0" fontId="0" fillId="0" borderId="0" xfId="0" applyFill="1" applyBorder="1"/>
    <xf numFmtId="0" fontId="22" fillId="22" borderId="0" xfId="0" applyFont="1" applyFill="1" applyBorder="1" applyAlignment="1" applyProtection="1">
      <alignment horizontal="center" vertical="center" wrapText="1"/>
    </xf>
    <xf numFmtId="1" fontId="0" fillId="0" borderId="0" xfId="0" applyNumberFormat="1" applyAlignment="1" applyProtection="1">
      <alignment horizontal="center" wrapText="1"/>
    </xf>
    <xf numFmtId="1" fontId="51" fillId="0" borderId="0" xfId="0" applyNumberFormat="1" applyFont="1" applyProtection="1"/>
    <xf numFmtId="0" fontId="26" fillId="27" borderId="13" xfId="0" applyFont="1" applyFill="1" applyBorder="1" applyAlignment="1" applyProtection="1">
      <alignment horizontal="center" wrapText="1"/>
    </xf>
    <xf numFmtId="0" fontId="26" fillId="27" borderId="14" xfId="0" applyFont="1" applyFill="1" applyBorder="1" applyAlignment="1" applyProtection="1">
      <alignment horizontal="center" wrapText="1"/>
    </xf>
    <xf numFmtId="0" fontId="26" fillId="28" borderId="13" xfId="0" applyFont="1" applyFill="1" applyBorder="1" applyAlignment="1" applyProtection="1">
      <alignment horizontal="center" wrapText="1"/>
    </xf>
    <xf numFmtId="0" fontId="26" fillId="28" borderId="14" xfId="0" applyFont="1" applyFill="1" applyBorder="1" applyAlignment="1" applyProtection="1">
      <alignment horizontal="center" wrapText="1"/>
    </xf>
    <xf numFmtId="0" fontId="29" fillId="28" borderId="37" xfId="0" applyFont="1" applyFill="1" applyBorder="1" applyAlignment="1" applyProtection="1">
      <alignment horizontal="center" wrapText="1"/>
    </xf>
    <xf numFmtId="0" fontId="40" fillId="0" borderId="0" xfId="0" applyFont="1" applyAlignment="1" applyProtection="1">
      <alignment horizontal="right" indent="1"/>
      <protection locked="0"/>
    </xf>
    <xf numFmtId="0" fontId="23" fillId="0" borderId="0" xfId="0" applyFont="1" applyAlignment="1" applyProtection="1">
      <alignment horizontal="right" indent="1"/>
      <protection locked="0"/>
    </xf>
    <xf numFmtId="0" fontId="41" fillId="0" borderId="0" xfId="46" applyFont="1" applyAlignment="1" applyProtection="1">
      <protection locked="0"/>
    </xf>
    <xf numFmtId="0" fontId="0" fillId="0" borderId="0" xfId="0" applyProtection="1">
      <protection locked="0"/>
    </xf>
    <xf numFmtId="0" fontId="0" fillId="0" borderId="33" xfId="0" applyBorder="1" applyProtection="1">
      <protection locked="0"/>
    </xf>
    <xf numFmtId="0" fontId="0" fillId="0" borderId="36" xfId="0" applyBorder="1" applyProtection="1">
      <protection locked="0"/>
    </xf>
    <xf numFmtId="0" fontId="0" fillId="0" borderId="34" xfId="0" applyBorder="1" applyProtection="1">
      <protection locked="0"/>
    </xf>
    <xf numFmtId="0" fontId="34" fillId="20" borderId="0" xfId="0" applyFont="1" applyFill="1" applyBorder="1" applyAlignment="1">
      <alignment horizontal="left"/>
    </xf>
    <xf numFmtId="0" fontId="42" fillId="0" borderId="0" xfId="0" applyFont="1" applyBorder="1" applyAlignment="1">
      <alignment horizontal="left" vertical="top" indent="3"/>
    </xf>
    <xf numFmtId="169" fontId="51" fillId="0" borderId="0" xfId="0" applyNumberFormat="1" applyFont="1" applyProtection="1"/>
    <xf numFmtId="0" fontId="31" fillId="0" borderId="0" xfId="0" applyFont="1" applyBorder="1" applyAlignment="1" applyProtection="1">
      <alignment vertical="center"/>
    </xf>
    <xf numFmtId="0" fontId="0" fillId="0" borderId="0" xfId="0" applyAlignment="1" applyProtection="1">
      <alignment horizontal="left" indent="5"/>
    </xf>
    <xf numFmtId="0" fontId="0" fillId="0" borderId="0" xfId="0" applyAlignment="1" applyProtection="1">
      <alignment vertical="center"/>
    </xf>
    <xf numFmtId="0" fontId="0" fillId="0" borderId="10" xfId="0" applyBorder="1" applyAlignment="1" applyProtection="1">
      <alignment vertical="center"/>
    </xf>
    <xf numFmtId="165" fontId="0" fillId="22" borderId="14" xfId="0" applyNumberFormat="1" applyFont="1" applyFill="1" applyBorder="1" applyAlignment="1" applyProtection="1">
      <alignment horizontal="right"/>
    </xf>
    <xf numFmtId="9" fontId="0" fillId="22" borderId="14" xfId="40" applyFont="1" applyFill="1" applyBorder="1" applyAlignment="1" applyProtection="1">
      <alignment horizontal="right"/>
    </xf>
    <xf numFmtId="0" fontId="0" fillId="22" borderId="14" xfId="0" applyFont="1" applyFill="1" applyBorder="1" applyAlignment="1" applyProtection="1">
      <alignment horizontal="left"/>
    </xf>
    <xf numFmtId="0" fontId="26" fillId="18" borderId="11" xfId="0" applyFont="1" applyFill="1" applyBorder="1" applyAlignment="1" applyProtection="1">
      <alignment horizontal="center" wrapText="1"/>
    </xf>
    <xf numFmtId="0" fontId="26" fillId="18" borderId="14" xfId="0" applyFont="1" applyFill="1" applyBorder="1" applyAlignment="1" applyProtection="1">
      <alignment horizontal="center" wrapText="1"/>
    </xf>
    <xf numFmtId="168" fontId="0" fillId="20" borderId="14" xfId="0" applyNumberFormat="1" applyFont="1" applyFill="1" applyBorder="1" applyAlignment="1" applyProtection="1"/>
    <xf numFmtId="2" fontId="0" fillId="20" borderId="14" xfId="28" applyNumberFormat="1" applyFont="1" applyFill="1" applyBorder="1" applyAlignment="1" applyProtection="1">
      <alignment horizontal="right"/>
    </xf>
    <xf numFmtId="0" fontId="25" fillId="0" borderId="0" xfId="0" applyFont="1" applyAlignment="1" applyProtection="1">
      <alignment horizontal="left"/>
    </xf>
    <xf numFmtId="1" fontId="51" fillId="0" borderId="0" xfId="0" applyNumberFormat="1" applyFont="1" applyAlignment="1" applyProtection="1">
      <alignment horizontal="right" wrapText="1"/>
    </xf>
    <xf numFmtId="169" fontId="56" fillId="0" borderId="0" xfId="0" applyNumberFormat="1" applyFont="1" applyAlignment="1" applyProtection="1">
      <alignment wrapText="1"/>
    </xf>
    <xf numFmtId="0" fontId="22" fillId="0" borderId="0" xfId="0" applyFont="1" applyAlignment="1" applyProtection="1">
      <alignment horizontal="center"/>
    </xf>
    <xf numFmtId="0" fontId="57" fillId="0" borderId="0" xfId="0" applyFont="1" applyAlignment="1" applyProtection="1">
      <alignment horizontal="left" vertical="top"/>
    </xf>
    <xf numFmtId="0" fontId="57" fillId="0" borderId="0" xfId="0" applyFont="1" applyAlignment="1" applyProtection="1">
      <alignment horizontal="left" indent="1"/>
    </xf>
    <xf numFmtId="0" fontId="19" fillId="0" borderId="0" xfId="0" applyFont="1" applyProtection="1"/>
    <xf numFmtId="0" fontId="45" fillId="20" borderId="0" xfId="0" applyFont="1" applyFill="1" applyBorder="1" applyAlignment="1">
      <alignment vertical="center" wrapText="1"/>
    </xf>
    <xf numFmtId="0" fontId="0" fillId="20" borderId="0" xfId="0" applyFill="1" applyBorder="1" applyAlignment="1">
      <alignment vertical="top" wrapText="1"/>
    </xf>
    <xf numFmtId="0" fontId="0" fillId="20" borderId="41" xfId="0" applyFill="1" applyBorder="1"/>
    <xf numFmtId="0" fontId="45" fillId="20" borderId="42" xfId="0" applyFont="1" applyFill="1" applyBorder="1" applyAlignment="1">
      <alignment vertical="center"/>
    </xf>
    <xf numFmtId="0" fontId="0" fillId="20" borderId="43" xfId="0" applyFill="1" applyBorder="1"/>
    <xf numFmtId="0" fontId="0" fillId="20" borderId="44" xfId="0" applyFill="1" applyBorder="1"/>
    <xf numFmtId="0" fontId="0" fillId="20" borderId="45" xfId="0" applyFill="1" applyBorder="1"/>
    <xf numFmtId="0" fontId="0" fillId="0" borderId="0" xfId="0" applyBorder="1" applyAlignment="1">
      <alignment vertical="top" wrapText="1"/>
    </xf>
    <xf numFmtId="0" fontId="45" fillId="20" borderId="41" xfId="0" applyFont="1" applyFill="1" applyBorder="1" applyAlignment="1">
      <alignment vertical="center" wrapText="1"/>
    </xf>
    <xf numFmtId="0" fontId="57" fillId="20" borderId="44" xfId="0" applyFont="1" applyFill="1" applyBorder="1"/>
    <xf numFmtId="0" fontId="57" fillId="22" borderId="0" xfId="0" applyFont="1" applyFill="1" applyBorder="1" applyAlignment="1">
      <alignment horizontal="left" indent="2"/>
    </xf>
    <xf numFmtId="0" fontId="45" fillId="20" borderId="0" xfId="0" applyFont="1" applyFill="1" applyBorder="1" applyAlignment="1">
      <alignment vertical="center"/>
    </xf>
    <xf numFmtId="0" fontId="45" fillId="20" borderId="0" xfId="0" applyFont="1" applyFill="1" applyBorder="1" applyAlignment="1">
      <alignment horizontal="left" vertical="center" indent="2"/>
    </xf>
    <xf numFmtId="0" fontId="57" fillId="20" borderId="0" xfId="0" applyFont="1" applyFill="1" applyBorder="1" applyAlignment="1">
      <alignment horizontal="left" indent="2"/>
    </xf>
    <xf numFmtId="0" fontId="42" fillId="20" borderId="0" xfId="0" applyFont="1" applyFill="1" applyBorder="1" applyAlignment="1">
      <alignment vertical="center"/>
    </xf>
    <xf numFmtId="0" fontId="34" fillId="20" borderId="0" xfId="0" applyFont="1" applyFill="1" applyBorder="1" applyAlignment="1"/>
    <xf numFmtId="165" fontId="34" fillId="20" borderId="0" xfId="0" applyNumberFormat="1" applyFont="1" applyFill="1" applyBorder="1" applyAlignment="1"/>
    <xf numFmtId="0" fontId="27" fillId="20" borderId="41" xfId="0" applyFont="1" applyFill="1" applyBorder="1" applyAlignment="1">
      <alignment vertical="center" wrapText="1"/>
    </xf>
    <xf numFmtId="0" fontId="27" fillId="20" borderId="42" xfId="0" applyFont="1" applyFill="1" applyBorder="1" applyAlignment="1">
      <alignment vertical="center" wrapText="1"/>
    </xf>
    <xf numFmtId="0" fontId="0" fillId="20" borderId="42" xfId="0" applyFill="1" applyBorder="1"/>
    <xf numFmtId="0" fontId="27" fillId="20" borderId="41" xfId="0" applyFont="1" applyFill="1" applyBorder="1"/>
    <xf numFmtId="0" fontId="27" fillId="20" borderId="0" xfId="0" applyFont="1" applyFill="1" applyBorder="1"/>
    <xf numFmtId="0" fontId="0" fillId="20" borderId="0" xfId="0" applyFont="1" applyFill="1" applyBorder="1" applyAlignment="1">
      <alignment horizontal="center"/>
    </xf>
    <xf numFmtId="0" fontId="43" fillId="20" borderId="44" xfId="46" applyFont="1" applyFill="1" applyBorder="1" applyAlignment="1" applyProtection="1"/>
    <xf numFmtId="0" fontId="27" fillId="20" borderId="0" xfId="0" applyFont="1" applyFill="1" applyBorder="1" applyAlignment="1">
      <alignment horizontal="center" vertical="center" wrapText="1"/>
    </xf>
    <xf numFmtId="0" fontId="0" fillId="20" borderId="0" xfId="0" applyFont="1" applyFill="1" applyBorder="1" applyAlignment="1">
      <alignment horizontal="center" wrapText="1"/>
    </xf>
    <xf numFmtId="169" fontId="0" fillId="0" borderId="0" xfId="0" applyNumberFormat="1" applyProtection="1"/>
    <xf numFmtId="0" fontId="0" fillId="0" borderId="0" xfId="0" applyNumberFormat="1"/>
    <xf numFmtId="0" fontId="0" fillId="0" borderId="0" xfId="0" applyFont="1" applyFill="1" applyProtection="1"/>
    <xf numFmtId="0" fontId="0" fillId="0" borderId="15" xfId="0" applyFill="1" applyBorder="1"/>
    <xf numFmtId="0" fontId="55" fillId="0" borderId="36" xfId="0" applyFont="1" applyFill="1" applyBorder="1" applyAlignment="1">
      <alignment horizontal="left" vertical="top" wrapText="1" indent="5"/>
    </xf>
    <xf numFmtId="0" fontId="0" fillId="0" borderId="0" xfId="0" applyAlignment="1" applyProtection="1">
      <alignment horizontal="left"/>
      <protection locked="0"/>
    </xf>
    <xf numFmtId="0" fontId="0" fillId="0" borderId="0" xfId="0" applyFill="1" applyAlignment="1">
      <alignment horizontal="left" indent="1"/>
    </xf>
    <xf numFmtId="0" fontId="0" fillId="0" borderId="0" xfId="0" applyFill="1" applyAlignment="1">
      <alignment horizontal="left" indent="2"/>
    </xf>
    <xf numFmtId="0" fontId="27" fillId="0" borderId="0" xfId="0" applyFont="1" applyBorder="1"/>
    <xf numFmtId="0" fontId="27" fillId="0" borderId="0" xfId="0" applyFont="1" applyBorder="1" applyAlignment="1"/>
    <xf numFmtId="169" fontId="0" fillId="20" borderId="14" xfId="28" applyNumberFormat="1" applyFont="1" applyFill="1" applyBorder="1" applyAlignment="1" applyProtection="1">
      <alignment horizontal="right"/>
    </xf>
    <xf numFmtId="169" fontId="0" fillId="22" borderId="0" xfId="28" applyNumberFormat="1" applyFont="1" applyFill="1" applyBorder="1" applyAlignment="1" applyProtection="1">
      <alignment horizontal="right"/>
    </xf>
    <xf numFmtId="0" fontId="0" fillId="22" borderId="0" xfId="0" applyFill="1" applyBorder="1" applyAlignment="1" applyProtection="1">
      <alignment horizontal="left"/>
    </xf>
    <xf numFmtId="9" fontId="55" fillId="22" borderId="0" xfId="40" applyFont="1" applyFill="1" applyBorder="1" applyAlignment="1" applyProtection="1">
      <alignment horizontal="left"/>
    </xf>
    <xf numFmtId="0" fontId="63" fillId="22" borderId="0" xfId="0" applyFont="1" applyFill="1" applyBorder="1"/>
    <xf numFmtId="9" fontId="63" fillId="22" borderId="0" xfId="0" applyNumberFormat="1" applyFont="1" applyFill="1" applyBorder="1" applyProtection="1">
      <protection locked="0"/>
    </xf>
    <xf numFmtId="0" fontId="64" fillId="20" borderId="0" xfId="0" applyFont="1" applyFill="1" applyBorder="1"/>
    <xf numFmtId="9" fontId="64" fillId="20" borderId="0" xfId="40" applyFont="1" applyFill="1" applyBorder="1" applyProtection="1">
      <protection locked="0"/>
    </xf>
    <xf numFmtId="0" fontId="55" fillId="0" borderId="0" xfId="0" applyFont="1" applyBorder="1"/>
    <xf numFmtId="0" fontId="55" fillId="0" borderId="0" xfId="0" applyFont="1" applyBorder="1" applyAlignment="1">
      <alignment horizontal="right"/>
    </xf>
    <xf numFmtId="0" fontId="62" fillId="0" borderId="0" xfId="0" applyFont="1" applyFill="1" applyAlignment="1">
      <alignment horizontal="left" vertical="center" wrapText="1"/>
    </xf>
    <xf numFmtId="0" fontId="41" fillId="0" borderId="0" xfId="46" applyFont="1" applyAlignment="1" applyProtection="1">
      <alignment horizontal="left"/>
    </xf>
    <xf numFmtId="0" fontId="22" fillId="22" borderId="0" xfId="0" applyFont="1" applyFill="1" applyBorder="1" applyAlignment="1" applyProtection="1">
      <alignment horizontal="center" wrapText="1"/>
    </xf>
    <xf numFmtId="0" fontId="45" fillId="22" borderId="0" xfId="0" applyFont="1" applyFill="1" applyBorder="1" applyAlignment="1">
      <alignment horizontal="left" vertical="center"/>
    </xf>
    <xf numFmtId="1" fontId="51" fillId="0" borderId="0" xfId="0" applyNumberFormat="1" applyFont="1" applyAlignment="1" applyProtection="1">
      <alignment horizontal="right"/>
    </xf>
    <xf numFmtId="0" fontId="54" fillId="22" borderId="0" xfId="46" applyFont="1" applyFill="1" applyBorder="1" applyAlignment="1" applyProtection="1">
      <alignment horizontal="left" vertical="center" wrapText="1"/>
    </xf>
    <xf numFmtId="0" fontId="59" fillId="0" borderId="0" xfId="0" applyFont="1" applyBorder="1"/>
    <xf numFmtId="0" fontId="37" fillId="0" borderId="0" xfId="0" applyFont="1" applyBorder="1"/>
    <xf numFmtId="0" fontId="67" fillId="18" borderId="14" xfId="0" applyFont="1" applyFill="1" applyBorder="1" applyAlignment="1" applyProtection="1">
      <alignment horizontal="center" wrapText="1"/>
    </xf>
    <xf numFmtId="0" fontId="0" fillId="0" borderId="0" xfId="0" applyBorder="1" applyAlignment="1" applyProtection="1">
      <alignment horizontal="center" wrapText="1"/>
    </xf>
    <xf numFmtId="165" fontId="0" fillId="22" borderId="14" xfId="40" applyNumberFormat="1" applyFont="1" applyFill="1" applyBorder="1" applyAlignment="1" applyProtection="1">
      <alignment horizontal="right"/>
    </xf>
    <xf numFmtId="169" fontId="0" fillId="22" borderId="14" xfId="40" applyNumberFormat="1" applyFont="1" applyFill="1" applyBorder="1" applyAlignment="1" applyProtection="1">
      <alignment horizontal="right"/>
    </xf>
    <xf numFmtId="169" fontId="0" fillId="22" borderId="0" xfId="0" applyNumberFormat="1" applyFont="1" applyFill="1" applyBorder="1" applyAlignment="1" applyProtection="1">
      <alignment horizontal="right"/>
    </xf>
    <xf numFmtId="0" fontId="65" fillId="0" borderId="0" xfId="0" applyFont="1" applyAlignment="1" applyProtection="1"/>
    <xf numFmtId="0" fontId="0" fillId="0" borderId="0" xfId="0" applyFill="1" applyBorder="1" applyAlignment="1">
      <alignment vertical="center"/>
    </xf>
    <xf numFmtId="0" fontId="0" fillId="0" borderId="0" xfId="0" applyFill="1" applyAlignment="1">
      <alignment horizontal="right" vertical="center"/>
    </xf>
    <xf numFmtId="1" fontId="51" fillId="0" borderId="0" xfId="0" applyNumberFormat="1" applyFont="1" applyAlignment="1" applyProtection="1">
      <alignment horizontal="right"/>
    </xf>
    <xf numFmtId="0" fontId="48" fillId="31" borderId="38" xfId="0" applyFont="1" applyFill="1" applyBorder="1" applyAlignment="1"/>
    <xf numFmtId="0" fontId="46" fillId="31" borderId="39" xfId="0" applyFont="1" applyFill="1" applyBorder="1" applyAlignment="1"/>
    <xf numFmtId="0" fontId="46" fillId="31" borderId="40" xfId="0" applyFont="1" applyFill="1" applyBorder="1" applyAlignment="1"/>
    <xf numFmtId="0" fontId="0" fillId="30" borderId="0" xfId="0" applyFill="1"/>
    <xf numFmtId="0" fontId="0" fillId="30" borderId="0" xfId="0" applyFill="1" applyProtection="1"/>
    <xf numFmtId="165" fontId="68" fillId="22" borderId="46" xfId="0" applyNumberFormat="1" applyFont="1" applyFill="1" applyBorder="1"/>
    <xf numFmtId="0" fontId="68" fillId="22" borderId="0" xfId="0" applyFont="1" applyFill="1" applyBorder="1"/>
    <xf numFmtId="0" fontId="69" fillId="22" borderId="0" xfId="0" applyFont="1" applyFill="1" applyAlignment="1">
      <alignment vertical="top"/>
    </xf>
    <xf numFmtId="0" fontId="70" fillId="22" borderId="0" xfId="0" applyFont="1" applyFill="1" applyBorder="1" applyAlignment="1">
      <alignment horizontal="left" vertical="center"/>
    </xf>
    <xf numFmtId="0" fontId="68" fillId="22" borderId="0" xfId="0" applyFont="1" applyFill="1"/>
    <xf numFmtId="0" fontId="70" fillId="22" borderId="23" xfId="0" applyFont="1" applyFill="1" applyBorder="1" applyAlignment="1">
      <alignment vertical="center"/>
    </xf>
    <xf numFmtId="9" fontId="68" fillId="22" borderId="0" xfId="0" applyNumberFormat="1" applyFont="1" applyFill="1" applyBorder="1"/>
    <xf numFmtId="0" fontId="68" fillId="22" borderId="0" xfId="0" applyFont="1" applyFill="1" applyAlignment="1">
      <alignment horizontal="center"/>
    </xf>
    <xf numFmtId="0" fontId="68" fillId="22" borderId="46" xfId="0" applyFont="1" applyFill="1" applyBorder="1" applyProtection="1">
      <protection locked="0"/>
    </xf>
    <xf numFmtId="9" fontId="68" fillId="22" borderId="46" xfId="40" applyFont="1" applyFill="1" applyBorder="1" applyProtection="1">
      <protection locked="0"/>
    </xf>
    <xf numFmtId="0" fontId="68" fillId="22" borderId="46" xfId="0" applyFont="1" applyFill="1" applyBorder="1" applyAlignment="1" applyProtection="1">
      <alignment horizontal="right"/>
      <protection locked="0"/>
    </xf>
    <xf numFmtId="0" fontId="68" fillId="22" borderId="46" xfId="0" applyFont="1" applyFill="1" applyBorder="1" applyAlignment="1" applyProtection="1">
      <alignment horizontal="left"/>
      <protection locked="0"/>
    </xf>
    <xf numFmtId="1" fontId="68" fillId="22" borderId="46" xfId="0" applyNumberFormat="1" applyFont="1" applyFill="1" applyBorder="1" applyProtection="1">
      <protection locked="0"/>
    </xf>
    <xf numFmtId="2" fontId="68" fillId="22" borderId="46" xfId="0" applyNumberFormat="1" applyFont="1" applyFill="1" applyBorder="1"/>
    <xf numFmtId="0" fontId="70" fillId="22" borderId="0" xfId="0" applyFont="1" applyFill="1" applyBorder="1" applyAlignment="1">
      <alignment horizontal="center" vertical="center"/>
    </xf>
    <xf numFmtId="5" fontId="68" fillId="22" borderId="46" xfId="28" applyNumberFormat="1" applyFont="1" applyFill="1" applyBorder="1" applyProtection="1">
      <protection locked="0"/>
    </xf>
    <xf numFmtId="5" fontId="68" fillId="22" borderId="46" xfId="28" applyNumberFormat="1" applyFont="1" applyFill="1" applyBorder="1"/>
    <xf numFmtId="9" fontId="63" fillId="22" borderId="0" xfId="40" applyFont="1" applyFill="1" applyBorder="1" applyProtection="1">
      <protection locked="0"/>
    </xf>
    <xf numFmtId="1" fontId="68" fillId="22" borderId="46" xfId="0" applyNumberFormat="1" applyFont="1" applyFill="1" applyBorder="1"/>
    <xf numFmtId="9" fontId="68" fillId="22" borderId="0" xfId="40" applyFont="1" applyFill="1" applyBorder="1"/>
    <xf numFmtId="9" fontId="68" fillId="22" borderId="46" xfId="40" applyFont="1" applyFill="1" applyBorder="1"/>
    <xf numFmtId="9" fontId="68" fillId="22" borderId="46" xfId="40" applyFont="1" applyFill="1" applyBorder="1" applyAlignment="1">
      <alignment vertical="center"/>
    </xf>
    <xf numFmtId="0" fontId="68" fillId="20" borderId="0" xfId="0" applyFont="1" applyFill="1" applyBorder="1"/>
    <xf numFmtId="0" fontId="69" fillId="20" borderId="0" xfId="0" applyFont="1" applyFill="1" applyBorder="1" applyAlignment="1">
      <alignment vertical="top"/>
    </xf>
    <xf numFmtId="0" fontId="68" fillId="20" borderId="0" xfId="0" applyFont="1" applyFill="1" applyBorder="1" applyAlignment="1">
      <alignment horizontal="center"/>
    </xf>
    <xf numFmtId="0" fontId="70" fillId="20" borderId="42" xfId="0" applyFont="1" applyFill="1" applyBorder="1" applyAlignment="1">
      <alignment vertical="center"/>
    </xf>
    <xf numFmtId="0" fontId="70" fillId="20" borderId="0" xfId="0" applyFont="1" applyFill="1" applyBorder="1" applyAlignment="1">
      <alignment horizontal="center" vertical="center"/>
    </xf>
    <xf numFmtId="0" fontId="68" fillId="20" borderId="0" xfId="0" applyFont="1" applyFill="1" applyBorder="1" applyAlignment="1">
      <alignment horizontal="center" vertical="center" wrapText="1"/>
    </xf>
    <xf numFmtId="165" fontId="68" fillId="20" borderId="46" xfId="0" applyNumberFormat="1" applyFont="1" applyFill="1" applyBorder="1"/>
    <xf numFmtId="0" fontId="68" fillId="20" borderId="46" xfId="0" applyFont="1" applyFill="1" applyBorder="1" applyProtection="1">
      <protection locked="0"/>
    </xf>
    <xf numFmtId="9" fontId="68" fillId="20" borderId="46" xfId="40" applyFont="1" applyFill="1" applyBorder="1" applyProtection="1">
      <protection locked="0"/>
    </xf>
    <xf numFmtId="0" fontId="68" fillId="20" borderId="46" xfId="0" applyFont="1" applyFill="1" applyBorder="1" applyAlignment="1" applyProtection="1">
      <alignment horizontal="right"/>
      <protection locked="0"/>
    </xf>
    <xf numFmtId="2" fontId="68" fillId="20" borderId="46" xfId="0" applyNumberFormat="1" applyFont="1" applyFill="1" applyBorder="1"/>
    <xf numFmtId="0" fontId="68" fillId="20" borderId="46" xfId="0" applyFont="1" applyFill="1" applyBorder="1" applyAlignment="1" applyProtection="1">
      <alignment horizontal="left"/>
      <protection locked="0"/>
    </xf>
    <xf numFmtId="9" fontId="64" fillId="20" borderId="0" xfId="0" applyNumberFormat="1" applyFont="1" applyFill="1" applyBorder="1" applyProtection="1">
      <protection locked="0"/>
    </xf>
    <xf numFmtId="9" fontId="64" fillId="20" borderId="0" xfId="0" applyNumberFormat="1" applyFont="1" applyFill="1" applyBorder="1"/>
    <xf numFmtId="169" fontId="68" fillId="20" borderId="46" xfId="0" applyNumberFormat="1" applyFont="1" applyFill="1" applyBorder="1"/>
    <xf numFmtId="169" fontId="68" fillId="20" borderId="46" xfId="28" applyNumberFormat="1" applyFont="1" applyFill="1" applyBorder="1" applyProtection="1">
      <protection locked="0"/>
    </xf>
    <xf numFmtId="169" fontId="68" fillId="20" borderId="46" xfId="28" applyNumberFormat="1" applyFont="1" applyFill="1" applyBorder="1"/>
    <xf numFmtId="0" fontId="74" fillId="20" borderId="0" xfId="0" applyFont="1" applyFill="1" applyBorder="1" applyAlignment="1">
      <alignment horizontal="center" vertical="center"/>
    </xf>
    <xf numFmtId="9" fontId="64" fillId="20" borderId="55" xfId="0" applyNumberFormat="1" applyFont="1" applyFill="1" applyBorder="1" applyProtection="1">
      <protection locked="0"/>
    </xf>
    <xf numFmtId="9" fontId="34" fillId="20" borderId="0" xfId="40" applyFont="1" applyFill="1" applyBorder="1"/>
    <xf numFmtId="9" fontId="68" fillId="20" borderId="46" xfId="40" applyFont="1" applyFill="1" applyBorder="1"/>
    <xf numFmtId="0" fontId="68" fillId="20" borderId="56" xfId="0" applyFont="1" applyFill="1" applyBorder="1" applyAlignment="1" applyProtection="1">
      <alignment horizontal="right"/>
      <protection locked="0"/>
    </xf>
    <xf numFmtId="0" fontId="68" fillId="0" borderId="0" xfId="0" applyFont="1" applyFill="1" applyAlignment="1">
      <alignment horizontal="right" indent="1"/>
    </xf>
    <xf numFmtId="0" fontId="75" fillId="0" borderId="0" xfId="0" applyFont="1" applyFill="1" applyAlignment="1">
      <alignment horizontal="left" vertical="top" wrapText="1"/>
    </xf>
    <xf numFmtId="0" fontId="68" fillId="0" borderId="0" xfId="0" applyFont="1" applyFill="1"/>
    <xf numFmtId="0" fontId="68" fillId="20" borderId="0" xfId="0" applyFont="1" applyFill="1" applyBorder="1" applyAlignment="1">
      <alignment wrapText="1"/>
    </xf>
    <xf numFmtId="0" fontId="77" fillId="20" borderId="0" xfId="0" applyFont="1" applyFill="1" applyBorder="1" applyAlignment="1">
      <alignment vertical="center" wrapText="1"/>
    </xf>
    <xf numFmtId="0" fontId="68" fillId="20" borderId="0" xfId="0" applyFont="1" applyFill="1" applyBorder="1" applyAlignment="1">
      <alignment horizontal="right" wrapText="1"/>
    </xf>
    <xf numFmtId="0" fontId="68" fillId="20" borderId="0" xfId="0" applyFont="1" applyFill="1" applyBorder="1" applyAlignment="1"/>
    <xf numFmtId="0" fontId="68" fillId="20" borderId="0" xfId="0" applyFont="1" applyFill="1" applyBorder="1" applyAlignment="1">
      <alignment horizontal="right"/>
    </xf>
    <xf numFmtId="0" fontId="77" fillId="20" borderId="0" xfId="0" applyFont="1" applyFill="1" applyBorder="1" applyAlignment="1">
      <alignment horizontal="right" vertical="center"/>
    </xf>
    <xf numFmtId="9" fontId="68" fillId="20" borderId="0" xfId="0" applyNumberFormat="1" applyFont="1" applyFill="1" applyBorder="1"/>
    <xf numFmtId="9" fontId="68" fillId="20" borderId="0" xfId="0" applyNumberFormat="1" applyFont="1" applyFill="1" applyBorder="1" applyAlignment="1"/>
    <xf numFmtId="9" fontId="64" fillId="20" borderId="0" xfId="40" applyFont="1" applyFill="1" applyBorder="1" applyAlignment="1" applyProtection="1">
      <alignment horizontal="right"/>
      <protection locked="0"/>
    </xf>
    <xf numFmtId="0" fontId="68" fillId="20" borderId="46" xfId="0" applyFont="1" applyFill="1" applyBorder="1" applyAlignment="1" applyProtection="1">
      <alignment horizontal="right" vertical="center" wrapText="1"/>
      <protection locked="0"/>
    </xf>
    <xf numFmtId="9" fontId="68" fillId="20" borderId="46" xfId="40" applyFont="1" applyFill="1" applyBorder="1" applyAlignment="1" applyProtection="1">
      <alignment horizontal="right"/>
      <protection locked="0"/>
    </xf>
    <xf numFmtId="2" fontId="68" fillId="20" borderId="46" xfId="0" applyNumberFormat="1" applyFont="1" applyFill="1" applyBorder="1" applyAlignment="1">
      <alignment horizontal="right"/>
    </xf>
    <xf numFmtId="2" fontId="68" fillId="20" borderId="46" xfId="0" applyNumberFormat="1" applyFont="1" applyFill="1" applyBorder="1" applyAlignment="1"/>
    <xf numFmtId="0" fontId="68" fillId="20" borderId="46" xfId="0" applyFont="1" applyFill="1" applyBorder="1" applyAlignment="1" applyProtection="1">
      <protection locked="0"/>
    </xf>
    <xf numFmtId="0" fontId="68" fillId="20" borderId="47" xfId="0" applyFont="1" applyFill="1" applyBorder="1" applyAlignment="1" applyProtection="1">
      <alignment horizontal="right"/>
      <protection locked="0"/>
    </xf>
    <xf numFmtId="9" fontId="64" fillId="20" borderId="0" xfId="40" applyFont="1" applyFill="1" applyBorder="1" applyAlignment="1" applyProtection="1">
      <protection locked="0"/>
    </xf>
    <xf numFmtId="0" fontId="68" fillId="20" borderId="47" xfId="0" applyFont="1" applyFill="1" applyBorder="1" applyProtection="1">
      <protection locked="0"/>
    </xf>
    <xf numFmtId="9" fontId="68" fillId="20" borderId="46" xfId="40" applyFont="1" applyFill="1" applyBorder="1" applyAlignment="1" applyProtection="1">
      <protection locked="0"/>
    </xf>
    <xf numFmtId="0" fontId="68" fillId="22" borderId="0" xfId="0" applyFont="1" applyFill="1" applyAlignment="1">
      <alignment horizontal="center" wrapText="1"/>
    </xf>
    <xf numFmtId="0" fontId="77" fillId="22" borderId="0" xfId="0" applyFont="1" applyFill="1" applyBorder="1" applyAlignment="1">
      <alignment vertical="center" wrapText="1"/>
    </xf>
    <xf numFmtId="0" fontId="68" fillId="22" borderId="0" xfId="0" applyFont="1" applyFill="1" applyBorder="1" applyAlignment="1">
      <alignment horizontal="right"/>
    </xf>
    <xf numFmtId="165" fontId="68" fillId="22" borderId="0" xfId="0" applyNumberFormat="1" applyFont="1" applyFill="1" applyBorder="1"/>
    <xf numFmtId="165" fontId="68" fillId="22" borderId="0" xfId="0" applyNumberFormat="1" applyFont="1" applyFill="1" applyBorder="1" applyAlignment="1">
      <alignment horizontal="right"/>
    </xf>
    <xf numFmtId="9" fontId="63" fillId="22" borderId="0" xfId="0" applyNumberFormat="1" applyFont="1" applyFill="1" applyBorder="1" applyAlignment="1" applyProtection="1">
      <protection locked="0"/>
    </xf>
    <xf numFmtId="165" fontId="68" fillId="22" borderId="46" xfId="0" applyNumberFormat="1" applyFont="1" applyFill="1" applyBorder="1" applyAlignment="1"/>
    <xf numFmtId="0" fontId="68" fillId="22" borderId="46" xfId="0" applyFont="1" applyFill="1" applyBorder="1" applyAlignment="1" applyProtection="1">
      <protection locked="0"/>
    </xf>
    <xf numFmtId="9" fontId="68" fillId="22" borderId="46" xfId="40" applyFont="1" applyFill="1" applyBorder="1" applyAlignment="1" applyProtection="1">
      <protection locked="0"/>
    </xf>
    <xf numFmtId="0" fontId="0" fillId="0" borderId="35" xfId="0" applyBorder="1" applyAlignment="1" applyProtection="1">
      <alignment horizontal="center" wrapText="1"/>
    </xf>
    <xf numFmtId="0" fontId="0" fillId="0" borderId="10" xfId="0" applyBorder="1" applyAlignment="1" applyProtection="1">
      <alignment horizontal="center" wrapText="1"/>
    </xf>
    <xf numFmtId="0" fontId="0" fillId="0" borderId="19" xfId="0" applyBorder="1" applyAlignment="1" applyProtection="1">
      <alignment horizontal="center" wrapText="1"/>
    </xf>
    <xf numFmtId="0" fontId="0" fillId="0" borderId="18" xfId="0" applyBorder="1" applyAlignment="1" applyProtection="1">
      <alignment horizontal="left"/>
    </xf>
    <xf numFmtId="0" fontId="0" fillId="0" borderId="10" xfId="0" applyBorder="1" applyAlignment="1" applyProtection="1">
      <alignment horizontal="left"/>
    </xf>
    <xf numFmtId="2" fontId="0" fillId="0" borderId="10" xfId="0" applyNumberFormat="1" applyBorder="1" applyAlignment="1" applyProtection="1">
      <alignment horizontal="left"/>
    </xf>
    <xf numFmtId="2" fontId="0" fillId="0" borderId="19" xfId="0" applyNumberFormat="1" applyBorder="1" applyAlignment="1" applyProtection="1">
      <alignment horizontal="left"/>
    </xf>
    <xf numFmtId="0" fontId="0" fillId="20" borderId="0" xfId="0" applyFill="1" applyBorder="1" applyAlignment="1">
      <alignment horizontal="left"/>
    </xf>
    <xf numFmtId="0" fontId="0" fillId="20" borderId="0" xfId="0" applyFont="1" applyFill="1" applyBorder="1" applyAlignment="1">
      <alignment horizontal="left"/>
    </xf>
    <xf numFmtId="0" fontId="0" fillId="22" borderId="14" xfId="0" applyFill="1" applyBorder="1" applyAlignment="1" applyProtection="1">
      <alignment horizontal="left"/>
    </xf>
    <xf numFmtId="0" fontId="73" fillId="22" borderId="0" xfId="0" applyFont="1" applyFill="1" applyAlignment="1">
      <alignment vertical="center"/>
    </xf>
    <xf numFmtId="0" fontId="45" fillId="22" borderId="0" xfId="0" applyFont="1" applyFill="1" applyBorder="1" applyAlignment="1">
      <alignment horizontal="left" vertical="center"/>
    </xf>
    <xf numFmtId="0" fontId="68" fillId="22" borderId="0" xfId="0" applyFont="1" applyFill="1" applyBorder="1" applyAlignment="1">
      <alignment horizontal="center" wrapText="1"/>
    </xf>
    <xf numFmtId="0" fontId="68" fillId="20" borderId="0" xfId="0" applyFont="1" applyFill="1" applyBorder="1" applyAlignment="1">
      <alignment horizontal="center" vertical="center" wrapText="1"/>
    </xf>
    <xf numFmtId="0" fontId="45" fillId="20" borderId="0" xfId="0" applyFont="1" applyFill="1" applyBorder="1" applyAlignment="1">
      <alignment horizontal="center" vertical="center"/>
    </xf>
    <xf numFmtId="0" fontId="45" fillId="20" borderId="0" xfId="0" applyFont="1" applyFill="1" applyBorder="1" applyAlignment="1">
      <alignment horizontal="left" vertical="center"/>
    </xf>
    <xf numFmtId="169" fontId="68" fillId="20" borderId="46" xfId="28" applyNumberFormat="1" applyFont="1" applyFill="1" applyBorder="1" applyAlignment="1">
      <alignment horizontal="right"/>
    </xf>
    <xf numFmtId="169" fontId="68" fillId="20" borderId="46" xfId="0" applyNumberFormat="1" applyFont="1" applyFill="1" applyBorder="1" applyAlignment="1" applyProtection="1">
      <alignment horizontal="right"/>
      <protection locked="0"/>
    </xf>
    <xf numFmtId="169" fontId="68" fillId="20" borderId="46" xfId="0" applyNumberFormat="1" applyFont="1" applyFill="1" applyBorder="1" applyAlignment="1">
      <alignment horizontal="right"/>
    </xf>
    <xf numFmtId="169" fontId="68" fillId="20" borderId="46" xfId="0" applyNumberFormat="1" applyFont="1" applyFill="1" applyBorder="1" applyAlignment="1"/>
    <xf numFmtId="169" fontId="68" fillId="20" borderId="46" xfId="0" applyNumberFormat="1" applyFont="1" applyFill="1" applyBorder="1" applyAlignment="1" applyProtection="1">
      <protection locked="0"/>
    </xf>
    <xf numFmtId="44" fontId="0" fillId="0" borderId="19" xfId="0" applyNumberFormat="1" applyBorder="1"/>
    <xf numFmtId="0" fontId="0" fillId="0" borderId="0" xfId="0" applyBorder="1" applyProtection="1">
      <protection locked="0"/>
    </xf>
    <xf numFmtId="0" fontId="0" fillId="0" borderId="58" xfId="0" applyBorder="1"/>
    <xf numFmtId="44" fontId="0" fillId="0" borderId="13" xfId="0" applyNumberFormat="1" applyBorder="1"/>
    <xf numFmtId="169" fontId="68" fillId="22" borderId="46" xfId="28" applyNumberFormat="1" applyFont="1" applyFill="1" applyBorder="1"/>
    <xf numFmtId="169" fontId="68" fillId="22" borderId="46" xfId="28" applyNumberFormat="1" applyFont="1" applyFill="1" applyBorder="1" applyProtection="1">
      <protection locked="0"/>
    </xf>
    <xf numFmtId="169" fontId="68" fillId="22" borderId="46" xfId="28" applyNumberFormat="1" applyFont="1" applyFill="1" applyBorder="1" applyAlignment="1"/>
    <xf numFmtId="169" fontId="68" fillId="22" borderId="46" xfId="28" applyNumberFormat="1" applyFont="1" applyFill="1" applyBorder="1" applyAlignment="1" applyProtection="1">
      <protection locked="0"/>
    </xf>
    <xf numFmtId="0" fontId="64" fillId="20" borderId="0" xfId="0" applyFont="1" applyFill="1" applyBorder="1" applyAlignment="1">
      <alignment horizontal="center"/>
    </xf>
    <xf numFmtId="0" fontId="63" fillId="22" borderId="0" xfId="0" applyFont="1" applyFill="1" applyBorder="1" applyAlignment="1">
      <alignment horizontal="center"/>
    </xf>
    <xf numFmtId="0" fontId="31" fillId="0" borderId="52" xfId="0" applyFont="1" applyBorder="1" applyAlignment="1">
      <alignment horizontal="center"/>
    </xf>
    <xf numFmtId="0" fontId="31" fillId="0" borderId="19" xfId="0" applyFont="1" applyBorder="1"/>
    <xf numFmtId="0" fontId="31" fillId="0" borderId="52" xfId="0" applyFont="1" applyBorder="1"/>
    <xf numFmtId="0" fontId="0" fillId="0" borderId="16" xfId="0" applyBorder="1" applyProtection="1"/>
    <xf numFmtId="165" fontId="0" fillId="0" borderId="0" xfId="0" applyNumberFormat="1" applyBorder="1"/>
    <xf numFmtId="2" fontId="0" fillId="0" borderId="0" xfId="0" applyNumberFormat="1" applyBorder="1"/>
    <xf numFmtId="165" fontId="0" fillId="0" borderId="36" xfId="0" applyNumberFormat="1" applyBorder="1"/>
    <xf numFmtId="2" fontId="0" fillId="0" borderId="36" xfId="0" applyNumberFormat="1" applyBorder="1"/>
    <xf numFmtId="2" fontId="0" fillId="0" borderId="34" xfId="0" applyNumberFormat="1" applyBorder="1"/>
    <xf numFmtId="0" fontId="0" fillId="0" borderId="0" xfId="0" applyAlignment="1">
      <alignment horizontal="center"/>
    </xf>
    <xf numFmtId="0" fontId="0" fillId="0" borderId="16" xfId="0" applyBorder="1" applyAlignment="1">
      <alignment horizontal="center"/>
    </xf>
    <xf numFmtId="0" fontId="0" fillId="0" borderId="0" xfId="0" applyBorder="1" applyAlignment="1">
      <alignment horizontal="center"/>
    </xf>
    <xf numFmtId="0" fontId="0" fillId="0" borderId="36" xfId="0" applyBorder="1" applyAlignment="1">
      <alignment horizontal="center"/>
    </xf>
    <xf numFmtId="7" fontId="0" fillId="0" borderId="35" xfId="0" applyNumberFormat="1" applyBorder="1"/>
    <xf numFmtId="7" fontId="0" fillId="0" borderId="33" xfId="0" applyNumberFormat="1" applyBorder="1"/>
    <xf numFmtId="0" fontId="57" fillId="22" borderId="0" xfId="0" applyFont="1" applyFill="1" applyBorder="1" applyAlignment="1">
      <alignment horizontal="left" vertical="center" wrapText="1" indent="1"/>
    </xf>
    <xf numFmtId="0" fontId="57" fillId="22" borderId="23" xfId="0" applyFont="1" applyFill="1" applyBorder="1" applyAlignment="1">
      <alignment horizontal="left" vertical="center" wrapText="1" indent="1"/>
    </xf>
    <xf numFmtId="0" fontId="57" fillId="20" borderId="0" xfId="0" applyFont="1" applyFill="1" applyBorder="1" applyAlignment="1">
      <alignment horizontal="left" vertical="center" wrapText="1" indent="1"/>
    </xf>
    <xf numFmtId="9" fontId="0" fillId="0" borderId="0" xfId="40" applyFont="1" applyProtection="1"/>
    <xf numFmtId="0" fontId="0" fillId="32" borderId="59" xfId="0" applyFill="1" applyBorder="1" applyProtection="1"/>
    <xf numFmtId="0" fontId="0" fillId="32" borderId="60" xfId="0" applyFill="1" applyBorder="1" applyProtection="1"/>
    <xf numFmtId="0" fontId="0" fillId="32" borderId="62" xfId="0" applyFill="1" applyBorder="1" applyProtection="1"/>
    <xf numFmtId="0" fontId="0" fillId="33" borderId="18" xfId="0" applyFill="1" applyBorder="1"/>
    <xf numFmtId="0" fontId="0" fillId="33" borderId="19" xfId="0" applyFill="1" applyBorder="1"/>
    <xf numFmtId="0" fontId="0" fillId="33" borderId="10" xfId="0" applyFill="1" applyBorder="1"/>
    <xf numFmtId="0" fontId="0" fillId="28" borderId="18" xfId="0" applyFill="1" applyBorder="1"/>
    <xf numFmtId="0" fontId="0" fillId="28" borderId="10" xfId="0" applyFill="1" applyBorder="1"/>
    <xf numFmtId="0" fontId="0" fillId="28" borderId="19" xfId="0" applyFill="1" applyBorder="1"/>
    <xf numFmtId="0" fontId="0" fillId="34" borderId="18" xfId="0" applyFill="1" applyBorder="1"/>
    <xf numFmtId="0" fontId="0" fillId="34" borderId="10" xfId="0" applyFill="1" applyBorder="1"/>
    <xf numFmtId="0" fontId="0" fillId="34" borderId="19" xfId="0" applyFill="1" applyBorder="1"/>
    <xf numFmtId="0" fontId="31" fillId="0" borderId="15" xfId="0" applyFont="1" applyBorder="1"/>
    <xf numFmtId="5" fontId="0" fillId="0" borderId="0" xfId="0" applyNumberFormat="1" applyBorder="1"/>
    <xf numFmtId="0" fontId="31" fillId="0" borderId="35" xfId="0" applyFont="1" applyBorder="1"/>
    <xf numFmtId="169" fontId="0" fillId="0" borderId="0" xfId="0" applyNumberFormat="1" applyBorder="1"/>
    <xf numFmtId="169" fontId="0" fillId="0" borderId="36" xfId="0" applyNumberFormat="1" applyBorder="1"/>
    <xf numFmtId="44" fontId="0" fillId="0" borderId="0" xfId="0" applyNumberFormat="1" applyBorder="1"/>
    <xf numFmtId="44" fontId="0" fillId="0" borderId="52" xfId="28" applyFont="1" applyBorder="1" applyAlignment="1" applyProtection="1">
      <alignment horizontal="right"/>
      <protection locked="0"/>
    </xf>
    <xf numFmtId="0" fontId="31" fillId="0" borderId="0" xfId="0" applyFont="1" applyProtection="1">
      <protection locked="0"/>
    </xf>
    <xf numFmtId="0" fontId="57" fillId="20" borderId="0" xfId="0" applyFont="1" applyFill="1" applyBorder="1"/>
    <xf numFmtId="0" fontId="0" fillId="34" borderId="10" xfId="0" applyFill="1" applyBorder="1" applyAlignment="1">
      <alignment horizontal="center"/>
    </xf>
    <xf numFmtId="0" fontId="0" fillId="28" borderId="10" xfId="0" applyFill="1" applyBorder="1" applyAlignment="1">
      <alignment horizontal="center"/>
    </xf>
    <xf numFmtId="0" fontId="0" fillId="33" borderId="10" xfId="0" applyFill="1" applyBorder="1" applyAlignment="1">
      <alignment horizontal="center"/>
    </xf>
    <xf numFmtId="165" fontId="0" fillId="0" borderId="12" xfId="0" applyNumberFormat="1" applyBorder="1"/>
    <xf numFmtId="0" fontId="34" fillId="0" borderId="0" xfId="0" applyFont="1"/>
    <xf numFmtId="0" fontId="34" fillId="0" borderId="0" xfId="0" applyFont="1" applyFill="1" applyBorder="1"/>
    <xf numFmtId="0" fontId="57" fillId="22" borderId="0" xfId="0" applyFont="1" applyFill="1" applyBorder="1" applyAlignment="1">
      <alignment horizontal="left" vertical="center" wrapText="1" indent="1"/>
    </xf>
    <xf numFmtId="0" fontId="41" fillId="0" borderId="0" xfId="46" applyFont="1" applyAlignment="1" applyProtection="1">
      <alignment horizontal="left"/>
      <protection locked="0"/>
    </xf>
    <xf numFmtId="0" fontId="57" fillId="20" borderId="0" xfId="0" applyFont="1" applyFill="1" applyBorder="1" applyAlignment="1">
      <alignment horizontal="left" vertical="center" wrapText="1" indent="1"/>
    </xf>
    <xf numFmtId="0" fontId="26" fillId="35" borderId="13" xfId="0" applyFont="1" applyFill="1" applyBorder="1" applyAlignment="1" applyProtection="1">
      <alignment horizontal="center" wrapText="1"/>
    </xf>
    <xf numFmtId="0" fontId="26" fillId="35" borderId="14" xfId="0" applyFont="1" applyFill="1" applyBorder="1" applyAlignment="1" applyProtection="1">
      <alignment horizontal="center" wrapText="1"/>
    </xf>
    <xf numFmtId="9" fontId="0" fillId="36" borderId="14" xfId="40" applyFont="1" applyFill="1" applyBorder="1" applyAlignment="1" applyProtection="1">
      <protection locked="0"/>
    </xf>
    <xf numFmtId="9" fontId="0" fillId="22" borderId="0" xfId="0" applyNumberFormat="1" applyFill="1" applyBorder="1" applyAlignment="1">
      <alignment horizontal="right"/>
    </xf>
    <xf numFmtId="9" fontId="0" fillId="20" borderId="0" xfId="0" applyNumberFormat="1" applyFill="1" applyBorder="1" applyAlignment="1">
      <alignment horizontal="right"/>
    </xf>
    <xf numFmtId="3" fontId="0" fillId="24" borderId="0" xfId="0" applyNumberFormat="1" applyFont="1" applyFill="1" applyBorder="1" applyAlignment="1">
      <alignment horizontal="center"/>
    </xf>
    <xf numFmtId="3" fontId="0" fillId="0" borderId="0" xfId="0" applyNumberFormat="1" applyAlignment="1" applyProtection="1">
      <alignment horizontal="center"/>
    </xf>
    <xf numFmtId="3" fontId="25" fillId="24" borderId="0" xfId="0" applyNumberFormat="1" applyFont="1" applyFill="1" applyBorder="1" applyAlignment="1">
      <alignment horizontal="center"/>
    </xf>
    <xf numFmtId="3" fontId="0" fillId="0" borderId="0" xfId="0" applyNumberFormat="1" applyFont="1" applyAlignment="1">
      <alignment horizontal="center"/>
    </xf>
    <xf numFmtId="3" fontId="20" fillId="24" borderId="0" xfId="0" applyNumberFormat="1" applyFont="1" applyFill="1" applyBorder="1"/>
    <xf numFmtId="3" fontId="20" fillId="0" borderId="0" xfId="0" applyNumberFormat="1" applyFont="1" applyProtection="1"/>
    <xf numFmtId="0" fontId="0" fillId="22" borderId="25" xfId="0" applyFill="1" applyBorder="1" applyAlignment="1">
      <alignment vertical="top"/>
    </xf>
    <xf numFmtId="9" fontId="0" fillId="0" borderId="0" xfId="40" applyFont="1"/>
    <xf numFmtId="0" fontId="83" fillId="0" borderId="0" xfId="0" applyFont="1" applyAlignment="1">
      <alignment horizontal="left" readingOrder="1"/>
    </xf>
    <xf numFmtId="0" fontId="84" fillId="0" borderId="0" xfId="0" applyFont="1" applyAlignment="1">
      <alignment horizontal="left" readingOrder="1"/>
    </xf>
    <xf numFmtId="0" fontId="82" fillId="20" borderId="0" xfId="0" applyFont="1" applyFill="1" applyBorder="1" applyAlignment="1">
      <alignment vertical="center" wrapText="1"/>
    </xf>
    <xf numFmtId="0" fontId="82" fillId="20" borderId="42" xfId="0" applyFont="1" applyFill="1" applyBorder="1" applyAlignment="1">
      <alignment vertical="center" wrapText="1"/>
    </xf>
    <xf numFmtId="0" fontId="82" fillId="20" borderId="44" xfId="0" applyFont="1" applyFill="1" applyBorder="1" applyAlignment="1">
      <alignment vertical="center" wrapText="1"/>
    </xf>
    <xf numFmtId="0" fontId="82" fillId="20" borderId="45" xfId="0" applyFont="1" applyFill="1" applyBorder="1" applyAlignment="1">
      <alignment vertical="center" wrapText="1"/>
    </xf>
    <xf numFmtId="0" fontId="82" fillId="22" borderId="0" xfId="0" applyFont="1" applyFill="1" applyBorder="1" applyAlignment="1">
      <alignment vertical="center" wrapText="1"/>
    </xf>
    <xf numFmtId="0" fontId="82" fillId="22" borderId="23" xfId="0" applyFont="1" applyFill="1" applyBorder="1" applyAlignment="1">
      <alignment vertical="center" wrapText="1"/>
    </xf>
    <xf numFmtId="0" fontId="82" fillId="22" borderId="25" xfId="0" applyFont="1" applyFill="1" applyBorder="1" applyAlignment="1">
      <alignment vertical="center" wrapText="1"/>
    </xf>
    <xf numFmtId="0" fontId="82" fillId="22" borderId="26" xfId="0" applyFont="1" applyFill="1" applyBorder="1" applyAlignment="1">
      <alignment vertical="center" wrapText="1"/>
    </xf>
    <xf numFmtId="9" fontId="68" fillId="20" borderId="0" xfId="40" applyFont="1" applyFill="1" applyBorder="1"/>
    <xf numFmtId="0" fontId="85" fillId="0" borderId="0" xfId="0" applyFont="1" applyBorder="1"/>
    <xf numFmtId="0" fontId="85" fillId="0" borderId="0" xfId="0" applyFont="1"/>
    <xf numFmtId="0" fontId="85" fillId="0" borderId="0" xfId="0" applyFont="1" applyBorder="1" applyAlignment="1"/>
    <xf numFmtId="0" fontId="57" fillId="22" borderId="0" xfId="0" applyFont="1" applyFill="1" applyBorder="1" applyAlignment="1">
      <alignment horizontal="left" vertical="center" wrapText="1" indent="1"/>
    </xf>
    <xf numFmtId="0" fontId="57" fillId="22" borderId="23" xfId="0" applyFont="1" applyFill="1" applyBorder="1" applyAlignment="1">
      <alignment horizontal="left" vertical="center" wrapText="1" indent="1"/>
    </xf>
    <xf numFmtId="0" fontId="78" fillId="22" borderId="0" xfId="0" applyFont="1" applyFill="1" applyBorder="1" applyAlignment="1">
      <alignment horizontal="left" vertical="top" wrapText="1"/>
    </xf>
    <xf numFmtId="0" fontId="57" fillId="20" borderId="0" xfId="0" applyFont="1" applyFill="1" applyBorder="1" applyAlignment="1">
      <alignment horizontal="left" vertical="center" wrapText="1" indent="1"/>
    </xf>
    <xf numFmtId="0" fontId="57" fillId="20" borderId="42" xfId="0" applyFont="1" applyFill="1" applyBorder="1" applyAlignment="1">
      <alignment horizontal="left" vertical="center" wrapText="1" indent="1"/>
    </xf>
    <xf numFmtId="44" fontId="0" fillId="0" borderId="68" xfId="28" applyFont="1" applyBorder="1" applyAlignment="1" applyProtection="1">
      <alignment horizontal="right"/>
      <protection locked="0"/>
    </xf>
    <xf numFmtId="0" fontId="78" fillId="22" borderId="0" xfId="0" applyFont="1" applyFill="1" applyBorder="1" applyAlignment="1">
      <alignment horizontal="left" vertical="top"/>
    </xf>
    <xf numFmtId="0" fontId="86" fillId="0" borderId="0" xfId="0" applyFont="1"/>
    <xf numFmtId="0" fontId="0" fillId="33" borderId="67" xfId="0" applyFill="1" applyBorder="1" applyAlignment="1">
      <alignment horizontal="center"/>
    </xf>
    <xf numFmtId="0" fontId="0" fillId="0" borderId="66" xfId="0" applyBorder="1"/>
    <xf numFmtId="0" fontId="0" fillId="0" borderId="12" xfId="0" applyNumberFormat="1" applyBorder="1"/>
    <xf numFmtId="0" fontId="68" fillId="20" borderId="0" xfId="0" applyFont="1" applyFill="1" applyBorder="1" applyAlignment="1">
      <alignment horizontal="center" vertical="center" wrapText="1"/>
    </xf>
    <xf numFmtId="0" fontId="31" fillId="0" borderId="0" xfId="0" applyFont="1" applyFill="1" applyBorder="1" applyAlignment="1">
      <alignment horizontal="right"/>
    </xf>
    <xf numFmtId="0" fontId="31" fillId="0" borderId="0" xfId="0" applyFont="1" applyFill="1" applyBorder="1"/>
    <xf numFmtId="0" fontId="64" fillId="20" borderId="0" xfId="0" applyFont="1" applyFill="1" applyBorder="1" applyAlignment="1">
      <alignment horizontal="center" wrapText="1"/>
    </xf>
    <xf numFmtId="44" fontId="0" fillId="0" borderId="0" xfId="0" applyNumberFormat="1" applyFill="1"/>
    <xf numFmtId="0" fontId="89" fillId="0" borderId="0" xfId="0" applyFont="1" applyBorder="1" applyAlignment="1" applyProtection="1"/>
    <xf numFmtId="0" fontId="30" fillId="0" borderId="0" xfId="0" applyFont="1" applyFill="1" applyBorder="1" applyProtection="1"/>
    <xf numFmtId="1" fontId="30" fillId="0" borderId="0" xfId="0" applyNumberFormat="1" applyFont="1" applyFill="1" applyBorder="1" applyProtection="1"/>
    <xf numFmtId="0" fontId="90" fillId="0" borderId="0" xfId="0" applyFont="1" applyFill="1" applyBorder="1" applyAlignment="1" applyProtection="1">
      <alignment horizontal="left"/>
    </xf>
    <xf numFmtId="167" fontId="30" fillId="0" borderId="0" xfId="0" applyNumberFormat="1" applyFont="1" applyFill="1" applyBorder="1" applyProtection="1"/>
    <xf numFmtId="0" fontId="31" fillId="0" borderId="0" xfId="0" applyFont="1"/>
    <xf numFmtId="0" fontId="85" fillId="0" borderId="0" xfId="0" applyFont="1" applyProtection="1"/>
    <xf numFmtId="1" fontId="85" fillId="0" borderId="0" xfId="0" applyNumberFormat="1" applyFont="1" applyProtection="1"/>
    <xf numFmtId="44" fontId="85" fillId="0" borderId="0" xfId="0" applyNumberFormat="1" applyFont="1" applyProtection="1"/>
    <xf numFmtId="0" fontId="0" fillId="38" borderId="0" xfId="0" applyFill="1"/>
    <xf numFmtId="0" fontId="0" fillId="0" borderId="0" xfId="0" applyAlignment="1">
      <alignment horizontal="left" vertical="center"/>
    </xf>
    <xf numFmtId="0" fontId="0" fillId="38" borderId="0" xfId="0" applyFill="1" applyBorder="1" applyAlignment="1">
      <alignment horizontal="left" vertical="center"/>
    </xf>
    <xf numFmtId="0" fontId="0" fillId="0" borderId="0" xfId="0" applyBorder="1" applyAlignment="1">
      <alignment horizontal="left" vertical="center"/>
    </xf>
    <xf numFmtId="0" fontId="0" fillId="38" borderId="0" xfId="0" applyFill="1" applyBorder="1"/>
    <xf numFmtId="0" fontId="52" fillId="38" borderId="0" xfId="0" applyFont="1" applyFill="1" applyBorder="1" applyAlignment="1">
      <alignment vertical="center"/>
    </xf>
    <xf numFmtId="0" fontId="85" fillId="38" borderId="0" xfId="0" applyFont="1" applyFill="1" applyBorder="1"/>
    <xf numFmtId="0" fontId="44" fillId="38" borderId="0" xfId="0" applyFont="1" applyFill="1" applyBorder="1" applyAlignment="1">
      <alignment vertical="center"/>
    </xf>
    <xf numFmtId="0" fontId="31" fillId="38" borderId="0" xfId="0" applyFont="1" applyFill="1" applyBorder="1"/>
    <xf numFmtId="0" fontId="25" fillId="38" borderId="0" xfId="0" applyFont="1" applyFill="1" applyBorder="1" applyAlignment="1">
      <alignment wrapText="1"/>
    </xf>
    <xf numFmtId="0" fontId="25" fillId="38" borderId="0" xfId="0" applyFont="1" applyFill="1" applyBorder="1"/>
    <xf numFmtId="0" fontId="25" fillId="38" borderId="0" xfId="0" applyFont="1" applyFill="1" applyBorder="1" applyAlignment="1">
      <alignment horizontal="center" wrapText="1"/>
    </xf>
    <xf numFmtId="0" fontId="25" fillId="38" borderId="0" xfId="0" applyFont="1" applyFill="1" applyBorder="1" applyAlignment="1"/>
    <xf numFmtId="0" fontId="0" fillId="38" borderId="0" xfId="0" applyFill="1" applyBorder="1" applyAlignment="1">
      <alignment vertical="center"/>
    </xf>
    <xf numFmtId="0" fontId="0" fillId="38" borderId="0" xfId="0" applyFill="1" applyBorder="1" applyAlignment="1"/>
    <xf numFmtId="0" fontId="31" fillId="38" borderId="0" xfId="0" applyFont="1" applyFill="1" applyBorder="1" applyAlignment="1"/>
    <xf numFmtId="0" fontId="98" fillId="38" borderId="0" xfId="0" applyFont="1" applyFill="1" applyBorder="1" applyAlignment="1">
      <alignment horizontal="left"/>
    </xf>
    <xf numFmtId="0" fontId="0" fillId="38" borderId="0" xfId="0" applyFill="1" applyAlignment="1">
      <alignment horizontal="left" indent="1"/>
    </xf>
    <xf numFmtId="0" fontId="31" fillId="38" borderId="0" xfId="0" applyFont="1" applyFill="1" applyBorder="1" applyAlignment="1">
      <alignment vertical="center"/>
    </xf>
    <xf numFmtId="0" fontId="31" fillId="38" borderId="0" xfId="0" applyFont="1" applyFill="1" applyBorder="1" applyAlignment="1">
      <alignment horizontal="center"/>
    </xf>
    <xf numFmtId="0" fontId="94" fillId="38" borderId="0" xfId="0" applyFont="1" applyFill="1" applyBorder="1"/>
    <xf numFmtId="0" fontId="0" fillId="38" borderId="0" xfId="0" applyFill="1" applyBorder="1" applyAlignment="1">
      <alignment horizontal="left" indent="8"/>
    </xf>
    <xf numFmtId="0" fontId="95" fillId="38" borderId="0" xfId="0" applyFont="1" applyFill="1" applyBorder="1" applyAlignment="1">
      <alignment horizontal="left" indent="5"/>
    </xf>
    <xf numFmtId="0" fontId="98" fillId="38" borderId="0" xfId="0" applyFont="1" applyFill="1" applyBorder="1" applyAlignment="1">
      <alignment vertical="center"/>
    </xf>
    <xf numFmtId="0" fontId="97" fillId="38" borderId="0" xfId="0" applyFont="1" applyFill="1" applyBorder="1" applyAlignment="1">
      <alignment horizontal="left"/>
    </xf>
    <xf numFmtId="0" fontId="96" fillId="38" borderId="0" xfId="0" applyFont="1" applyFill="1" applyBorder="1"/>
    <xf numFmtId="0" fontId="52" fillId="38" borderId="0" xfId="0" applyFont="1" applyFill="1" applyBorder="1" applyAlignment="1">
      <alignment horizontal="left" vertical="center" indent="1"/>
    </xf>
    <xf numFmtId="0" fontId="98" fillId="38" borderId="0" xfId="0" applyFont="1" applyFill="1" applyBorder="1" applyAlignment="1">
      <alignment horizontal="left" vertical="center" indent="1"/>
    </xf>
    <xf numFmtId="0" fontId="97" fillId="38" borderId="0" xfId="0" applyFont="1" applyFill="1" applyBorder="1" applyAlignment="1">
      <alignment horizontal="left" indent="1"/>
    </xf>
    <xf numFmtId="9" fontId="0" fillId="0" borderId="0" xfId="0" applyNumberFormat="1"/>
    <xf numFmtId="0" fontId="52" fillId="38" borderId="0" xfId="0" applyFont="1" applyFill="1" applyBorder="1" applyAlignment="1">
      <alignment vertical="center" wrapText="1"/>
    </xf>
    <xf numFmtId="0" fontId="85" fillId="38" borderId="0" xfId="0" applyFont="1" applyFill="1"/>
    <xf numFmtId="0" fontId="0" fillId="38" borderId="0" xfId="0" applyFont="1" applyFill="1" applyBorder="1"/>
    <xf numFmtId="0" fontId="0" fillId="0" borderId="0" xfId="0" applyFont="1" applyBorder="1"/>
    <xf numFmtId="0" fontId="107" fillId="38" borderId="0" xfId="46" applyFont="1" applyFill="1" applyBorder="1" applyAlignment="1" applyProtection="1"/>
    <xf numFmtId="0" fontId="25" fillId="38" borderId="0" xfId="0" applyFont="1" applyFill="1" applyBorder="1" applyAlignment="1">
      <alignment horizontal="right" textRotation="45"/>
    </xf>
    <xf numFmtId="0" fontId="25" fillId="38" borderId="0" xfId="0" applyFont="1" applyFill="1" applyBorder="1" applyAlignment="1">
      <alignment vertical="center" textRotation="45" wrapText="1"/>
    </xf>
    <xf numFmtId="0" fontId="108" fillId="38" borderId="0" xfId="0" applyFont="1" applyFill="1" applyBorder="1" applyAlignment="1">
      <alignment vertical="center"/>
    </xf>
    <xf numFmtId="0" fontId="109" fillId="38" borderId="0" xfId="0" applyFont="1" applyFill="1" applyBorder="1" applyAlignment="1">
      <alignment vertical="center"/>
    </xf>
    <xf numFmtId="0" fontId="109" fillId="38" borderId="0" xfId="0" applyFont="1" applyFill="1" applyBorder="1"/>
    <xf numFmtId="0" fontId="109" fillId="38" borderId="0" xfId="0" applyFont="1" applyFill="1" applyBorder="1" applyAlignment="1">
      <alignment vertical="center" wrapText="1"/>
    </xf>
    <xf numFmtId="0" fontId="110" fillId="38" borderId="72" xfId="0" applyFont="1" applyFill="1" applyBorder="1"/>
    <xf numFmtId="0" fontId="0" fillId="38" borderId="72" xfId="0" applyFill="1" applyBorder="1"/>
    <xf numFmtId="0" fontId="0" fillId="0" borderId="72" xfId="0" applyBorder="1"/>
    <xf numFmtId="1" fontId="0" fillId="38" borderId="72" xfId="40" applyNumberFormat="1" applyFont="1" applyFill="1" applyBorder="1"/>
    <xf numFmtId="9" fontId="31" fillId="38" borderId="72" xfId="40" applyFont="1" applyFill="1" applyBorder="1" applyAlignment="1">
      <alignment horizontal="center"/>
    </xf>
    <xf numFmtId="0" fontId="62" fillId="38" borderId="0" xfId="0" applyFont="1" applyFill="1" applyBorder="1" applyAlignment="1">
      <alignment horizontal="left"/>
    </xf>
    <xf numFmtId="0" fontId="111" fillId="0" borderId="0" xfId="0" applyFont="1"/>
    <xf numFmtId="0" fontId="31" fillId="0" borderId="72" xfId="0" applyFont="1" applyBorder="1"/>
    <xf numFmtId="0" fontId="0" fillId="0" borderId="72" xfId="0" applyFill="1" applyBorder="1"/>
    <xf numFmtId="0" fontId="112" fillId="0" borderId="0" xfId="0" applyFont="1"/>
    <xf numFmtId="0" fontId="31" fillId="0" borderId="73" xfId="0" applyFont="1" applyBorder="1"/>
    <xf numFmtId="0" fontId="31" fillId="0" borderId="74" xfId="0" applyFont="1" applyBorder="1"/>
    <xf numFmtId="0" fontId="0" fillId="0" borderId="74" xfId="0" applyBorder="1"/>
    <xf numFmtId="0" fontId="110" fillId="0" borderId="0" xfId="0" applyFont="1" applyAlignment="1">
      <alignment horizontal="center" vertical="center" wrapText="1"/>
    </xf>
    <xf numFmtId="0" fontId="40" fillId="0" borderId="0" xfId="0" applyFont="1" applyFill="1" applyAlignment="1">
      <alignment vertical="top"/>
    </xf>
    <xf numFmtId="0" fontId="40" fillId="0" borderId="0" xfId="0" applyFont="1" applyFill="1" applyAlignment="1">
      <alignment horizontal="left" vertical="top" indent="1"/>
    </xf>
    <xf numFmtId="0" fontId="23" fillId="0" borderId="0" xfId="0" applyFont="1" applyFill="1" applyBorder="1"/>
    <xf numFmtId="0" fontId="23" fillId="0" borderId="0" xfId="0" applyFont="1" applyBorder="1"/>
    <xf numFmtId="0" fontId="23" fillId="38" borderId="0" xfId="0" applyFont="1" applyFill="1" applyBorder="1"/>
    <xf numFmtId="0" fontId="53" fillId="38" borderId="0" xfId="0" applyFont="1" applyFill="1" applyBorder="1"/>
    <xf numFmtId="0" fontId="23" fillId="0" borderId="0" xfId="0" applyFont="1" applyFill="1"/>
    <xf numFmtId="0" fontId="113" fillId="0" borderId="0" xfId="0" applyFont="1" applyFill="1" applyAlignment="1">
      <alignment vertical="center" wrapText="1"/>
    </xf>
    <xf numFmtId="0" fontId="104" fillId="0" borderId="0" xfId="0" applyFont="1" applyFill="1" applyAlignment="1">
      <alignment vertical="center" wrapText="1"/>
    </xf>
    <xf numFmtId="0" fontId="114" fillId="0" borderId="0" xfId="0" applyFont="1" applyFill="1" applyBorder="1" applyAlignment="1">
      <alignment horizontal="center" vertical="center" wrapText="1"/>
    </xf>
    <xf numFmtId="0" fontId="115" fillId="0" borderId="0" xfId="0" applyFont="1" applyFill="1"/>
    <xf numFmtId="0" fontId="104" fillId="0" borderId="0" xfId="0" applyFont="1" applyFill="1" applyBorder="1" applyAlignment="1">
      <alignment horizontal="left" vertical="center" wrapText="1"/>
    </xf>
    <xf numFmtId="0" fontId="104" fillId="0" borderId="0" xfId="0" applyFont="1" applyFill="1" applyBorder="1" applyAlignment="1">
      <alignment vertical="center" wrapText="1"/>
    </xf>
    <xf numFmtId="0" fontId="104" fillId="0" borderId="0" xfId="0" applyFont="1" applyFill="1" applyAlignment="1">
      <alignment vertical="center"/>
    </xf>
    <xf numFmtId="0" fontId="23" fillId="0" borderId="0" xfId="0" applyFont="1" applyFill="1" applyAlignment="1">
      <alignment horizontal="center" vertical="center" wrapText="1"/>
    </xf>
    <xf numFmtId="0" fontId="104" fillId="0" borderId="0" xfId="0" applyFont="1" applyFill="1" applyAlignment="1">
      <alignment horizontal="center" vertical="center" wrapText="1"/>
    </xf>
    <xf numFmtId="0" fontId="104" fillId="0" borderId="0" xfId="0" applyFont="1" applyFill="1" applyBorder="1" applyAlignment="1">
      <alignment horizontal="center" vertical="center" wrapText="1"/>
    </xf>
    <xf numFmtId="0" fontId="23" fillId="0" borderId="0" xfId="0" applyFont="1" applyBorder="1" applyAlignment="1">
      <alignment horizontal="center" vertical="center" wrapText="1"/>
    </xf>
    <xf numFmtId="0" fontId="104" fillId="0" borderId="0" xfId="0" applyFont="1" applyFill="1" applyBorder="1" applyAlignment="1">
      <alignment horizontal="left" vertical="top" wrapText="1"/>
    </xf>
    <xf numFmtId="170" fontId="104" fillId="0" borderId="0" xfId="0" applyNumberFormat="1" applyFont="1" applyFill="1" applyBorder="1" applyAlignment="1">
      <alignment vertical="center" wrapText="1"/>
    </xf>
    <xf numFmtId="170" fontId="104" fillId="0" borderId="0" xfId="0" applyNumberFormat="1" applyFont="1" applyFill="1" applyBorder="1" applyAlignment="1">
      <alignment horizontal="left" vertical="center" wrapText="1"/>
    </xf>
    <xf numFmtId="0" fontId="104" fillId="0" borderId="0" xfId="0" applyFont="1" applyFill="1" applyAlignment="1">
      <alignment horizontal="left" vertical="center" wrapText="1" indent="7"/>
    </xf>
    <xf numFmtId="0" fontId="103" fillId="0" borderId="0" xfId="0" applyFont="1" applyFill="1" applyAlignment="1">
      <alignment vertical="top" wrapText="1"/>
    </xf>
    <xf numFmtId="0" fontId="103" fillId="0" borderId="0" xfId="0" applyFont="1" applyFill="1" applyAlignment="1">
      <alignment vertical="top"/>
    </xf>
    <xf numFmtId="0" fontId="104" fillId="0" borderId="0" xfId="0" applyFont="1" applyFill="1" applyAlignment="1">
      <alignment vertical="top"/>
    </xf>
    <xf numFmtId="0" fontId="23" fillId="0" borderId="0" xfId="0" applyFont="1" applyBorder="1" applyAlignment="1">
      <alignment vertical="top"/>
    </xf>
    <xf numFmtId="0" fontId="23" fillId="0" borderId="0" xfId="0" applyFont="1" applyFill="1" applyBorder="1" applyAlignment="1">
      <alignment vertical="center"/>
    </xf>
    <xf numFmtId="0" fontId="23" fillId="0" borderId="0" xfId="0" applyFont="1" applyBorder="1" applyAlignment="1">
      <alignment vertical="center"/>
    </xf>
    <xf numFmtId="0" fontId="104" fillId="0" borderId="0" xfId="0" applyFont="1" applyFill="1" applyBorder="1" applyAlignment="1">
      <alignment horizontal="left" vertical="top"/>
    </xf>
    <xf numFmtId="0" fontId="118" fillId="40" borderId="0" xfId="0" applyFont="1" applyFill="1" applyAlignment="1">
      <alignment vertical="top"/>
    </xf>
    <xf numFmtId="0" fontId="53" fillId="40" borderId="0" xfId="0" applyFont="1" applyFill="1"/>
    <xf numFmtId="0" fontId="118" fillId="40" borderId="0" xfId="0" applyFont="1" applyFill="1" applyAlignment="1">
      <alignment horizontal="left" vertical="top" indent="1"/>
    </xf>
    <xf numFmtId="0" fontId="118" fillId="39" borderId="0" xfId="0" applyFont="1" applyFill="1" applyAlignment="1">
      <alignment horizontal="left" vertical="top" indent="1"/>
    </xf>
    <xf numFmtId="0" fontId="53" fillId="39" borderId="0" xfId="0" applyFont="1" applyFill="1" applyAlignment="1">
      <alignment horizontal="left" indent="1"/>
    </xf>
    <xf numFmtId="0" fontId="81" fillId="0" borderId="0" xfId="0" applyFont="1" applyFill="1" applyAlignment="1">
      <alignment horizontal="right" vertical="center"/>
    </xf>
    <xf numFmtId="0" fontId="117" fillId="0" borderId="0" xfId="0" applyFont="1" applyFill="1" applyAlignment="1">
      <alignment vertical="center"/>
    </xf>
    <xf numFmtId="0" fontId="117" fillId="0" borderId="0" xfId="0" applyFont="1" applyFill="1" applyAlignment="1">
      <alignment horizontal="left" vertical="top" wrapText="1"/>
    </xf>
    <xf numFmtId="0" fontId="53" fillId="38" borderId="0" xfId="0" applyFont="1" applyFill="1" applyAlignment="1">
      <alignment horizontal="left" indent="1"/>
    </xf>
    <xf numFmtId="0" fontId="23" fillId="38" borderId="0" xfId="0" applyFont="1" applyFill="1"/>
    <xf numFmtId="0" fontId="117" fillId="38" borderId="0" xfId="0" applyFont="1" applyFill="1" applyAlignment="1">
      <alignment horizontal="left" vertical="top" wrapText="1"/>
    </xf>
    <xf numFmtId="0" fontId="53" fillId="38" borderId="0" xfId="0" applyFont="1" applyFill="1"/>
    <xf numFmtId="0" fontId="40" fillId="0" borderId="0" xfId="0" applyFont="1" applyFill="1" applyAlignment="1">
      <alignment vertical="center"/>
    </xf>
    <xf numFmtId="0" fontId="40" fillId="0" borderId="0" xfId="0" applyFont="1" applyFill="1" applyAlignment="1"/>
    <xf numFmtId="0" fontId="97" fillId="38" borderId="0" xfId="0" applyFont="1" applyFill="1" applyAlignment="1">
      <alignment horizontal="left"/>
    </xf>
    <xf numFmtId="0" fontId="119" fillId="0" borderId="0" xfId="0" applyFont="1" applyFill="1" applyAlignment="1">
      <alignment vertical="top"/>
    </xf>
    <xf numFmtId="0" fontId="25" fillId="38" borderId="0" xfId="0" applyFont="1" applyFill="1" applyBorder="1" applyAlignment="1">
      <alignment horizontal="center" wrapText="1"/>
    </xf>
    <xf numFmtId="0" fontId="104" fillId="0" borderId="0" xfId="0" applyFont="1" applyFill="1" applyBorder="1" applyAlignment="1">
      <alignment horizontal="left" vertical="center" wrapText="1"/>
    </xf>
    <xf numFmtId="0" fontId="105" fillId="41" borderId="0" xfId="0" applyFont="1" applyFill="1" applyBorder="1" applyAlignment="1">
      <alignment vertical="top"/>
    </xf>
    <xf numFmtId="0" fontId="30" fillId="41" borderId="0" xfId="0" applyFont="1" applyFill="1"/>
    <xf numFmtId="0" fontId="0" fillId="41" borderId="0" xfId="0" applyFont="1" applyFill="1" applyBorder="1"/>
    <xf numFmtId="0" fontId="120" fillId="38" borderId="0" xfId="0" applyFont="1" applyFill="1" applyBorder="1" applyAlignment="1">
      <alignment vertical="center"/>
    </xf>
    <xf numFmtId="0" fontId="121" fillId="38" borderId="0" xfId="0" applyFont="1" applyFill="1" applyBorder="1"/>
    <xf numFmtId="0" fontId="121" fillId="0" borderId="0" xfId="0" applyFont="1" applyFill="1" applyBorder="1"/>
    <xf numFmtId="0" fontId="0" fillId="0" borderId="0" xfId="0" applyFill="1" applyAlignment="1">
      <alignment horizontal="left" vertical="center"/>
    </xf>
    <xf numFmtId="0" fontId="120" fillId="42" borderId="0" xfId="0" applyFont="1" applyFill="1" applyBorder="1" applyAlignment="1">
      <alignment vertical="center"/>
    </xf>
    <xf numFmtId="0" fontId="121" fillId="42" borderId="0" xfId="0" applyFont="1" applyFill="1" applyBorder="1"/>
    <xf numFmtId="0" fontId="0" fillId="42" borderId="0" xfId="0" applyFont="1" applyFill="1" applyBorder="1"/>
    <xf numFmtId="0" fontId="44" fillId="42" borderId="0" xfId="0" applyFont="1" applyFill="1" applyBorder="1" applyAlignment="1">
      <alignment vertical="center"/>
    </xf>
    <xf numFmtId="0" fontId="0" fillId="42" borderId="0" xfId="0" applyFont="1" applyFill="1" applyBorder="1" applyAlignment="1">
      <alignment horizontal="left" vertical="center"/>
    </xf>
    <xf numFmtId="0" fontId="0" fillId="42" borderId="0" xfId="0" applyFont="1" applyFill="1" applyBorder="1" applyAlignment="1">
      <alignment vertical="center" wrapText="1"/>
    </xf>
    <xf numFmtId="0" fontId="0" fillId="42" borderId="0" xfId="0" applyFont="1" applyFill="1" applyBorder="1" applyAlignment="1">
      <alignment vertical="center"/>
    </xf>
    <xf numFmtId="0" fontId="31" fillId="42" borderId="0" xfId="0" applyFont="1" applyFill="1" applyBorder="1"/>
    <xf numFmtId="0" fontId="0" fillId="42" borderId="75" xfId="0" applyFont="1" applyFill="1" applyBorder="1"/>
    <xf numFmtId="0" fontId="0" fillId="42" borderId="82" xfId="0" applyFont="1" applyFill="1" applyBorder="1" applyAlignment="1">
      <alignment vertical="center"/>
    </xf>
    <xf numFmtId="0" fontId="0" fillId="43" borderId="78" xfId="0" applyFill="1" applyBorder="1" applyAlignment="1">
      <alignment horizontal="center" vertical="center" wrapText="1"/>
    </xf>
    <xf numFmtId="0" fontId="123" fillId="41" borderId="84" xfId="46" applyFont="1" applyFill="1" applyBorder="1" applyAlignment="1" applyProtection="1">
      <alignment horizontal="center" vertical="center"/>
    </xf>
    <xf numFmtId="0" fontId="126" fillId="0" borderId="0" xfId="0" applyFont="1" applyAlignment="1">
      <alignment horizontal="left" vertical="center"/>
    </xf>
    <xf numFmtId="0" fontId="105" fillId="41" borderId="0" xfId="0" applyFont="1" applyFill="1" applyBorder="1" applyAlignment="1">
      <alignment horizontal="left" vertical="top" indent="1"/>
    </xf>
    <xf numFmtId="0" fontId="20" fillId="38" borderId="0" xfId="0" applyFont="1" applyFill="1" applyBorder="1"/>
    <xf numFmtId="0" fontId="106" fillId="41" borderId="0" xfId="0" applyFont="1" applyFill="1"/>
    <xf numFmtId="0" fontId="65" fillId="0" borderId="0" xfId="0" applyFont="1"/>
    <xf numFmtId="0" fontId="127" fillId="41" borderId="0" xfId="0" applyFont="1" applyFill="1"/>
    <xf numFmtId="0" fontId="128" fillId="41" borderId="0" xfId="0" applyFont="1" applyFill="1"/>
    <xf numFmtId="0" fontId="127" fillId="0" borderId="0" xfId="0" applyFont="1" applyBorder="1"/>
    <xf numFmtId="0" fontId="128" fillId="41" borderId="0" xfId="0" applyFont="1" applyFill="1" applyBorder="1"/>
    <xf numFmtId="0" fontId="65" fillId="38" borderId="0" xfId="0" applyFont="1" applyFill="1" applyBorder="1"/>
    <xf numFmtId="0" fontId="25" fillId="38" borderId="0" xfId="0" applyFont="1" applyFill="1" applyBorder="1" applyAlignment="1">
      <alignment horizontal="left" indent="1"/>
    </xf>
    <xf numFmtId="0" fontId="25" fillId="38" borderId="0" xfId="0" applyFont="1" applyFill="1" applyBorder="1" applyAlignment="1">
      <alignment horizontal="left" vertical="top" indent="1"/>
    </xf>
    <xf numFmtId="0" fontId="0" fillId="0" borderId="0" xfId="0" applyFill="1" applyBorder="1" applyAlignment="1">
      <alignment horizontal="left" textRotation="45"/>
    </xf>
    <xf numFmtId="0" fontId="25" fillId="0" borderId="0" xfId="0" applyFont="1" applyFill="1" applyBorder="1" applyAlignment="1">
      <alignment horizontal="left" textRotation="45" wrapText="1"/>
    </xf>
    <xf numFmtId="0" fontId="101" fillId="0" borderId="0" xfId="0" applyFont="1" applyFill="1" applyBorder="1" applyAlignment="1">
      <alignment horizontal="left" textRotation="45" wrapText="1"/>
    </xf>
    <xf numFmtId="0" fontId="110" fillId="38" borderId="0" xfId="0" applyFont="1" applyFill="1" applyBorder="1" applyAlignment="1"/>
    <xf numFmtId="0" fontId="129" fillId="0" borderId="0" xfId="0" applyFont="1" applyFill="1" applyBorder="1" applyAlignment="1">
      <alignment horizontal="center" vertical="center" wrapText="1"/>
    </xf>
    <xf numFmtId="0" fontId="25" fillId="20" borderId="78" xfId="0" applyFont="1" applyFill="1" applyBorder="1" applyAlignment="1">
      <alignment vertical="center" textRotation="45" wrapText="1"/>
    </xf>
    <xf numFmtId="0" fontId="25" fillId="28" borderId="78" xfId="0" applyFont="1" applyFill="1" applyBorder="1" applyAlignment="1">
      <alignment vertical="center" textRotation="45" wrapText="1"/>
    </xf>
    <xf numFmtId="0" fontId="25" fillId="34" borderId="78" xfId="0" applyFont="1" applyFill="1" applyBorder="1" applyAlignment="1">
      <alignment vertical="center" textRotation="45" wrapText="1"/>
    </xf>
    <xf numFmtId="0" fontId="129" fillId="38" borderId="82" xfId="0" applyFont="1" applyFill="1" applyBorder="1" applyAlignment="1">
      <alignment wrapText="1"/>
    </xf>
    <xf numFmtId="0" fontId="25" fillId="23" borderId="85" xfId="0" applyFont="1" applyFill="1" applyBorder="1" applyAlignment="1">
      <alignment vertical="center" textRotation="45" wrapText="1"/>
    </xf>
    <xf numFmtId="0" fontId="93" fillId="41" borderId="89" xfId="0" applyFont="1" applyFill="1" applyBorder="1" applyAlignment="1">
      <alignment horizontal="center" vertical="center" wrapText="1"/>
    </xf>
    <xf numFmtId="0" fontId="120" fillId="42" borderId="0" xfId="0" applyFont="1" applyFill="1" applyBorder="1" applyAlignment="1">
      <alignment horizontal="left" vertical="center"/>
    </xf>
    <xf numFmtId="0" fontId="0" fillId="42" borderId="0" xfId="0" applyFill="1" applyBorder="1"/>
    <xf numFmtId="0" fontId="128" fillId="0" borderId="0" xfId="0" applyFont="1" applyFill="1" applyBorder="1"/>
    <xf numFmtId="0" fontId="85" fillId="0" borderId="0" xfId="0" applyFont="1" applyFill="1" applyBorder="1"/>
    <xf numFmtId="0" fontId="94" fillId="0" borderId="0" xfId="0" applyFont="1" applyFill="1" applyBorder="1"/>
    <xf numFmtId="0" fontId="129" fillId="0" borderId="0" xfId="0" applyFont="1" applyFill="1" applyBorder="1" applyAlignment="1">
      <alignment wrapText="1"/>
    </xf>
    <xf numFmtId="0" fontId="25" fillId="0" borderId="0" xfId="0" applyFont="1" applyFill="1" applyBorder="1" applyAlignment="1">
      <alignment horizontal="right" textRotation="45"/>
    </xf>
    <xf numFmtId="0" fontId="22" fillId="42" borderId="0" xfId="0" applyFont="1" applyFill="1" applyBorder="1" applyAlignment="1">
      <alignment vertical="top" wrapText="1"/>
    </xf>
    <xf numFmtId="0" fontId="22" fillId="0" borderId="0" xfId="0" applyFont="1" applyFill="1" applyBorder="1" applyAlignment="1">
      <alignment vertical="top" wrapText="1"/>
    </xf>
    <xf numFmtId="0" fontId="60" fillId="42" borderId="0" xfId="0" applyFont="1" applyFill="1" applyBorder="1" applyAlignment="1">
      <alignment vertical="top" wrapText="1"/>
    </xf>
    <xf numFmtId="0" fontId="0" fillId="41" borderId="0" xfId="0" applyFill="1"/>
    <xf numFmtId="0" fontId="31" fillId="38" borderId="0" xfId="0" applyFont="1" applyFill="1" applyAlignment="1"/>
    <xf numFmtId="0" fontId="120" fillId="38" borderId="0" xfId="0" applyFont="1" applyFill="1" applyBorder="1" applyAlignment="1">
      <alignment horizontal="left" vertical="center" indent="1"/>
    </xf>
    <xf numFmtId="0" fontId="93" fillId="38" borderId="0" xfId="0" applyFont="1" applyFill="1" applyBorder="1" applyAlignment="1">
      <alignment horizontal="center" vertical="center" wrapText="1"/>
    </xf>
    <xf numFmtId="0" fontId="51" fillId="38" borderId="0" xfId="0" applyFont="1" applyFill="1" applyBorder="1" applyAlignment="1">
      <alignment wrapText="1"/>
    </xf>
    <xf numFmtId="0" fontId="126" fillId="38" borderId="0" xfId="0" applyFont="1" applyFill="1" applyBorder="1" applyAlignment="1">
      <alignment wrapText="1"/>
    </xf>
    <xf numFmtId="0" fontId="93" fillId="40" borderId="78" xfId="0" applyFont="1" applyFill="1" applyBorder="1" applyAlignment="1">
      <alignment horizontal="center" vertical="center" wrapText="1"/>
    </xf>
    <xf numFmtId="0" fontId="93" fillId="31" borderId="78" xfId="0" applyFont="1" applyFill="1" applyBorder="1" applyAlignment="1">
      <alignment horizontal="center" vertical="center" wrapText="1"/>
    </xf>
    <xf numFmtId="0" fontId="93" fillId="39" borderId="78" xfId="0" applyFont="1" applyFill="1" applyBorder="1" applyAlignment="1">
      <alignment horizontal="center" vertical="center" wrapText="1"/>
    </xf>
    <xf numFmtId="0" fontId="25" fillId="38" borderId="0" xfId="0" applyFont="1" applyFill="1" applyBorder="1" applyAlignment="1" applyProtection="1">
      <alignment horizontal="center"/>
      <protection locked="0"/>
    </xf>
    <xf numFmtId="0" fontId="25" fillId="38" borderId="0" xfId="0" applyFont="1" applyFill="1" applyBorder="1" applyAlignment="1">
      <alignment horizontal="center"/>
    </xf>
    <xf numFmtId="9" fontId="25" fillId="38" borderId="0" xfId="40" applyFont="1" applyFill="1" applyBorder="1" applyAlignment="1">
      <alignment horizontal="center"/>
    </xf>
    <xf numFmtId="0" fontId="25" fillId="38" borderId="0" xfId="0" applyFont="1" applyFill="1" applyBorder="1" applyAlignment="1">
      <alignment horizontal="center" vertical="center"/>
    </xf>
    <xf numFmtId="0" fontId="25" fillId="38" borderId="0" xfId="0" applyFont="1" applyFill="1" applyAlignment="1">
      <alignment horizontal="center" vertical="top" wrapText="1"/>
    </xf>
    <xf numFmtId="0" fontId="116" fillId="38" borderId="0" xfId="0" applyFont="1" applyFill="1" applyBorder="1" applyAlignment="1">
      <alignment horizontal="center"/>
    </xf>
    <xf numFmtId="9" fontId="116" fillId="39" borderId="78" xfId="0" applyNumberFormat="1" applyFont="1" applyFill="1" applyBorder="1" applyAlignment="1">
      <alignment horizontal="center"/>
    </xf>
    <xf numFmtId="9" fontId="116" fillId="31" borderId="78" xfId="0" applyNumberFormat="1" applyFont="1" applyFill="1" applyBorder="1" applyAlignment="1">
      <alignment horizontal="center"/>
    </xf>
    <xf numFmtId="9" fontId="116" fillId="40" borderId="78" xfId="0" applyNumberFormat="1" applyFont="1" applyFill="1" applyBorder="1" applyAlignment="1">
      <alignment horizontal="center"/>
    </xf>
    <xf numFmtId="0" fontId="0" fillId="41" borderId="0" xfId="0" applyFill="1" applyBorder="1"/>
    <xf numFmtId="0" fontId="31" fillId="38" borderId="0" xfId="0" applyFont="1" applyFill="1" applyBorder="1" applyAlignment="1">
      <alignment horizontal="center" vertical="center"/>
    </xf>
    <xf numFmtId="0" fontId="98" fillId="38" borderId="0" xfId="0" applyFont="1" applyFill="1" applyBorder="1" applyAlignment="1">
      <alignment horizontal="left" vertical="center"/>
    </xf>
    <xf numFmtId="0" fontId="25" fillId="38" borderId="0" xfId="0" applyFont="1" applyFill="1" applyBorder="1" applyAlignment="1">
      <alignment horizontal="center" vertical="center" wrapText="1"/>
    </xf>
    <xf numFmtId="0" fontId="136" fillId="0" borderId="0" xfId="0" applyFont="1" applyFill="1"/>
    <xf numFmtId="0" fontId="137" fillId="0" borderId="0" xfId="0" applyFont="1"/>
    <xf numFmtId="0" fontId="138" fillId="0" borderId="0" xfId="0" applyFont="1" applyFill="1" applyAlignment="1">
      <alignment vertical="center"/>
    </xf>
    <xf numFmtId="0" fontId="139" fillId="0" borderId="0" xfId="0" applyFont="1"/>
    <xf numFmtId="0" fontId="140" fillId="0" borderId="0" xfId="0" applyFont="1" applyFill="1" applyAlignment="1"/>
    <xf numFmtId="0" fontId="141" fillId="0" borderId="0" xfId="0" applyFont="1"/>
    <xf numFmtId="0" fontId="142" fillId="0" borderId="0" xfId="0" applyFont="1" applyFill="1" applyAlignment="1">
      <alignment horizontal="left" vertical="center" indent="1"/>
    </xf>
    <xf numFmtId="0" fontId="143" fillId="0" borderId="0" xfId="0" applyFont="1" applyFill="1" applyBorder="1" applyAlignment="1">
      <alignment horizontal="center" wrapText="1"/>
    </xf>
    <xf numFmtId="0" fontId="143" fillId="0" borderId="0" xfId="0" applyFont="1" applyFill="1" applyAlignment="1">
      <alignment horizontal="center" wrapText="1"/>
    </xf>
    <xf numFmtId="0" fontId="142" fillId="0" borderId="0" xfId="0" applyFont="1" applyFill="1" applyAlignment="1">
      <alignment horizontal="left" vertical="top"/>
    </xf>
    <xf numFmtId="1" fontId="124" fillId="0" borderId="0" xfId="0" applyNumberFormat="1" applyFont="1" applyFill="1" applyAlignment="1">
      <alignment horizontal="center" vertical="center"/>
    </xf>
    <xf numFmtId="0" fontId="144" fillId="0" borderId="0" xfId="0" applyFont="1" applyBorder="1"/>
    <xf numFmtId="0" fontId="104" fillId="0" borderId="0" xfId="0" applyFont="1" applyFill="1" applyBorder="1" applyAlignment="1">
      <alignment vertical="top" wrapText="1"/>
    </xf>
    <xf numFmtId="0" fontId="23" fillId="41" borderId="0" xfId="0" applyFont="1" applyFill="1"/>
    <xf numFmtId="0" fontId="142" fillId="0" borderId="0" xfId="0" applyFont="1" applyFill="1" applyAlignment="1"/>
    <xf numFmtId="0" fontId="133" fillId="0" borderId="0" xfId="0" applyFont="1" applyFill="1" applyBorder="1" applyAlignment="1">
      <alignment horizontal="center" wrapText="1"/>
    </xf>
    <xf numFmtId="0" fontId="133" fillId="0" borderId="0" xfId="0" applyFont="1" applyFill="1" applyAlignment="1">
      <alignment wrapText="1"/>
    </xf>
    <xf numFmtId="170" fontId="142" fillId="0" borderId="0" xfId="0" applyNumberFormat="1" applyFont="1" applyFill="1" applyBorder="1" applyAlignment="1">
      <alignment horizontal="left"/>
    </xf>
    <xf numFmtId="170" fontId="133" fillId="0" borderId="0" xfId="0" applyNumberFormat="1" applyFont="1" applyFill="1" applyBorder="1" applyAlignment="1">
      <alignment horizontal="left" wrapText="1"/>
    </xf>
    <xf numFmtId="170" fontId="104" fillId="0" borderId="0" xfId="0" applyNumberFormat="1" applyFont="1" applyFill="1" applyBorder="1" applyAlignment="1">
      <alignment horizontal="left" wrapText="1"/>
    </xf>
    <xf numFmtId="0" fontId="120" fillId="0" borderId="0" xfId="0" applyFont="1" applyFill="1"/>
    <xf numFmtId="0" fontId="23" fillId="0" borderId="0" xfId="0" applyFont="1" applyFill="1" applyBorder="1" applyAlignment="1">
      <alignment horizontal="center" vertical="center" wrapText="1"/>
    </xf>
    <xf numFmtId="0" fontId="104" fillId="0" borderId="0" xfId="0" applyFont="1" applyFill="1" applyBorder="1" applyAlignment="1">
      <alignment wrapText="1"/>
    </xf>
    <xf numFmtId="0" fontId="23" fillId="0" borderId="0" xfId="0" applyFont="1" applyFill="1" applyBorder="1" applyAlignment="1"/>
    <xf numFmtId="0" fontId="23" fillId="0" borderId="0" xfId="0" applyFont="1" applyFill="1" applyAlignment="1">
      <alignment vertical="top"/>
    </xf>
    <xf numFmtId="0" fontId="117" fillId="0" borderId="0" xfId="0" applyFont="1" applyFill="1" applyAlignment="1">
      <alignment vertical="top" wrapText="1"/>
    </xf>
    <xf numFmtId="0" fontId="115" fillId="0" borderId="0" xfId="0" applyFont="1" applyFill="1" applyAlignment="1">
      <alignment vertical="top"/>
    </xf>
    <xf numFmtId="0" fontId="114" fillId="0" borderId="0" xfId="0" applyFont="1" applyFill="1" applyBorder="1" applyAlignment="1">
      <alignment horizontal="center" vertical="top" wrapText="1"/>
    </xf>
    <xf numFmtId="0" fontId="130" fillId="46" borderId="94" xfId="0" applyFont="1" applyFill="1" applyBorder="1" applyAlignment="1">
      <alignment horizontal="right" wrapText="1"/>
    </xf>
    <xf numFmtId="0" fontId="145" fillId="43" borderId="78" xfId="0" applyFont="1" applyFill="1" applyBorder="1" applyAlignment="1">
      <alignment horizontal="right" vertical="center" indent="2"/>
    </xf>
    <xf numFmtId="0" fontId="146" fillId="38" borderId="0" xfId="0" applyFont="1" applyFill="1" applyBorder="1" applyAlignment="1">
      <alignment horizontal="left"/>
    </xf>
    <xf numFmtId="0" fontId="121" fillId="38" borderId="0" xfId="0" applyFont="1" applyFill="1" applyAlignment="1">
      <alignment vertical="center"/>
    </xf>
    <xf numFmtId="0" fontId="33" fillId="0" borderId="0" xfId="0" applyFont="1" applyBorder="1" applyProtection="1"/>
    <xf numFmtId="0" fontId="33" fillId="0" borderId="0" xfId="0" applyFont="1" applyAlignment="1" applyProtection="1">
      <alignment horizontal="center" wrapText="1"/>
    </xf>
    <xf numFmtId="0" fontId="33" fillId="0" borderId="0" xfId="0" applyFont="1" applyProtection="1"/>
    <xf numFmtId="0" fontId="0" fillId="0" borderId="0" xfId="0" applyFont="1" applyBorder="1" applyProtection="1"/>
    <xf numFmtId="0" fontId="0" fillId="0" borderId="0" xfId="0" applyFont="1" applyAlignment="1" applyProtection="1">
      <alignment horizontal="center" wrapText="1"/>
    </xf>
    <xf numFmtId="0" fontId="0" fillId="0" borderId="0" xfId="0" applyFont="1" applyAlignment="1" applyProtection="1">
      <alignment horizontal="center"/>
    </xf>
    <xf numFmtId="0" fontId="0" fillId="0" borderId="0" xfId="0" applyFont="1" applyAlignment="1"/>
    <xf numFmtId="0" fontId="0" fillId="0" borderId="0" xfId="0" applyFont="1" applyAlignment="1">
      <alignment horizontal="center" vertical="center"/>
    </xf>
    <xf numFmtId="0" fontId="33" fillId="0" borderId="0" xfId="0" applyFont="1" applyAlignment="1">
      <alignment horizontal="center" vertical="center"/>
    </xf>
    <xf numFmtId="0" fontId="25" fillId="0" borderId="0" xfId="0" applyFont="1" applyAlignment="1" applyProtection="1">
      <alignment horizontal="center" wrapText="1"/>
    </xf>
    <xf numFmtId="0" fontId="0" fillId="0" borderId="0" xfId="0" applyAlignment="1">
      <alignment vertical="top"/>
    </xf>
    <xf numFmtId="0" fontId="126" fillId="0" borderId="0" xfId="0" applyFont="1" applyAlignment="1">
      <alignment horizontal="left" vertical="top"/>
    </xf>
    <xf numFmtId="0" fontId="0" fillId="0" borderId="0" xfId="0" applyAlignment="1">
      <alignment horizontal="left" vertical="top"/>
    </xf>
    <xf numFmtId="0" fontId="0" fillId="0" borderId="0" xfId="0" applyBorder="1" applyAlignment="1">
      <alignment vertical="top"/>
    </xf>
    <xf numFmtId="0" fontId="127" fillId="41" borderId="0" xfId="0" applyFont="1" applyFill="1" applyBorder="1"/>
    <xf numFmtId="0" fontId="65" fillId="41" borderId="0" xfId="0" applyFont="1" applyFill="1"/>
    <xf numFmtId="0" fontId="130" fillId="46" borderId="82" xfId="0" applyFont="1" applyFill="1" applyBorder="1" applyAlignment="1">
      <alignment horizontal="center" vertical="center" wrapText="1"/>
    </xf>
    <xf numFmtId="0" fontId="130" fillId="46" borderId="100" xfId="0" applyFont="1" applyFill="1" applyBorder="1" applyAlignment="1">
      <alignment horizontal="center" vertical="center" wrapText="1"/>
    </xf>
    <xf numFmtId="0" fontId="126" fillId="0" borderId="0" xfId="0" applyFont="1" applyBorder="1" applyAlignment="1">
      <alignment horizontal="left" vertical="top"/>
    </xf>
    <xf numFmtId="0" fontId="65" fillId="0" borderId="0" xfId="0" applyFont="1" applyBorder="1"/>
    <xf numFmtId="0" fontId="150" fillId="0" borderId="0" xfId="0" applyFont="1" applyBorder="1" applyAlignment="1">
      <alignment vertical="center"/>
    </xf>
    <xf numFmtId="0" fontId="151" fillId="0" borderId="0" xfId="46" applyFont="1" applyBorder="1" applyAlignment="1" applyProtection="1"/>
    <xf numFmtId="0" fontId="150" fillId="0" borderId="0" xfId="0" applyFont="1" applyBorder="1" applyAlignment="1">
      <alignment horizontal="left" vertical="center"/>
    </xf>
    <xf numFmtId="0" fontId="38" fillId="0" borderId="0" xfId="46" applyBorder="1" applyAlignment="1" applyProtection="1"/>
    <xf numFmtId="0" fontId="126" fillId="0" borderId="0" xfId="0" applyFont="1" applyFill="1" applyBorder="1" applyAlignment="1">
      <alignment horizontal="left" vertical="top"/>
    </xf>
    <xf numFmtId="0" fontId="0" fillId="0" borderId="0" xfId="0" applyFill="1" applyBorder="1" applyAlignment="1">
      <alignment horizontal="left" vertical="top"/>
    </xf>
    <xf numFmtId="0" fontId="0" fillId="0" borderId="0" xfId="0" applyFill="1" applyBorder="1" applyAlignment="1">
      <alignment vertical="top"/>
    </xf>
    <xf numFmtId="0" fontId="127" fillId="0" borderId="0" xfId="0" applyFont="1" applyFill="1" applyBorder="1"/>
    <xf numFmtId="0" fontId="65" fillId="0" borderId="0" xfId="0" applyFont="1" applyFill="1" applyBorder="1"/>
    <xf numFmtId="0" fontId="126" fillId="0" borderId="0" xfId="0" applyFont="1" applyBorder="1" applyAlignment="1">
      <alignment horizontal="left" vertical="center"/>
    </xf>
    <xf numFmtId="0" fontId="0" fillId="0" borderId="78" xfId="0" applyFont="1" applyFill="1" applyBorder="1" applyAlignment="1" applyProtection="1">
      <alignment horizontal="right" wrapText="1"/>
      <protection locked="0"/>
    </xf>
    <xf numFmtId="0" fontId="0" fillId="0" borderId="78" xfId="0" applyFont="1" applyFill="1" applyBorder="1" applyAlignment="1" applyProtection="1">
      <alignment horizontal="left"/>
    </xf>
    <xf numFmtId="0" fontId="0" fillId="0" borderId="78" xfId="0" applyFont="1" applyFill="1" applyBorder="1" applyAlignment="1" applyProtection="1">
      <alignment horizontal="right"/>
      <protection locked="0"/>
    </xf>
    <xf numFmtId="0" fontId="0" fillId="0" borderId="78" xfId="0" applyFont="1" applyFill="1" applyBorder="1"/>
    <xf numFmtId="0" fontId="25" fillId="0" borderId="78" xfId="0" applyFont="1" applyBorder="1" applyAlignment="1" applyProtection="1">
      <alignment horizontal="left"/>
      <protection locked="0"/>
    </xf>
    <xf numFmtId="0" fontId="0" fillId="0" borderId="78" xfId="0" applyFont="1" applyFill="1" applyBorder="1" applyAlignment="1">
      <alignment horizontal="left"/>
    </xf>
    <xf numFmtId="0" fontId="0" fillId="0" borderId="78" xfId="0" applyFont="1" applyBorder="1" applyAlignment="1">
      <alignment horizontal="left"/>
    </xf>
    <xf numFmtId="0" fontId="33" fillId="0" borderId="104" xfId="0" applyFont="1" applyBorder="1" applyProtection="1">
      <protection locked="0"/>
    </xf>
    <xf numFmtId="0" fontId="147" fillId="0" borderId="104" xfId="0" applyFont="1" applyBorder="1" applyAlignment="1" applyProtection="1">
      <alignment horizontal="left"/>
      <protection locked="0"/>
    </xf>
    <xf numFmtId="0" fontId="33" fillId="0" borderId="104" xfId="0" applyFont="1" applyFill="1" applyBorder="1"/>
    <xf numFmtId="0" fontId="33" fillId="0" borderId="104" xfId="0" applyFont="1" applyBorder="1"/>
    <xf numFmtId="0" fontId="33" fillId="38" borderId="104" xfId="0" applyFont="1" applyFill="1" applyBorder="1"/>
    <xf numFmtId="0" fontId="33" fillId="0" borderId="97" xfId="0" applyFont="1" applyBorder="1" applyProtection="1">
      <protection locked="0"/>
    </xf>
    <xf numFmtId="0" fontId="93" fillId="41" borderId="78" xfId="0" applyFont="1" applyFill="1" applyBorder="1" applyAlignment="1">
      <alignment horizontal="center" wrapText="1"/>
    </xf>
    <xf numFmtId="0" fontId="93" fillId="41" borderId="104" xfId="0" applyFont="1" applyFill="1" applyBorder="1" applyAlignment="1"/>
    <xf numFmtId="0" fontId="152" fillId="43" borderId="78" xfId="0" applyFont="1" applyFill="1" applyBorder="1" applyAlignment="1"/>
    <xf numFmtId="0" fontId="153" fillId="43" borderId="78" xfId="0" applyFont="1" applyFill="1" applyBorder="1" applyAlignment="1"/>
    <xf numFmtId="0" fontId="0" fillId="0" borderId="78" xfId="0" applyFont="1" applyBorder="1" applyAlignment="1">
      <alignment horizontal="center"/>
    </xf>
    <xf numFmtId="3" fontId="154" fillId="22" borderId="78" xfId="45" applyNumberFormat="1" applyFont="1" applyFill="1" applyBorder="1" applyAlignment="1" applyProtection="1">
      <alignment horizontal="center" wrapText="1"/>
    </xf>
    <xf numFmtId="166" fontId="154" fillId="22" borderId="104" xfId="45" applyNumberFormat="1" applyFont="1" applyFill="1" applyBorder="1" applyAlignment="1" applyProtection="1">
      <alignment horizontal="center" wrapText="1"/>
    </xf>
    <xf numFmtId="0" fontId="93" fillId="41" borderId="78" xfId="0" applyFont="1" applyFill="1" applyBorder="1" applyProtection="1"/>
    <xf numFmtId="0" fontId="30" fillId="41" borderId="78" xfId="0" applyFont="1" applyFill="1" applyBorder="1" applyProtection="1"/>
    <xf numFmtId="0" fontId="93" fillId="37" borderId="78" xfId="0" applyFont="1" applyFill="1" applyBorder="1" applyAlignment="1">
      <alignment horizontal="center" vertical="center" wrapText="1"/>
    </xf>
    <xf numFmtId="9" fontId="116" fillId="37" borderId="78" xfId="0" applyNumberFormat="1" applyFont="1" applyFill="1" applyBorder="1" applyAlignment="1">
      <alignment horizontal="center"/>
    </xf>
    <xf numFmtId="0" fontId="117" fillId="38" borderId="78" xfId="0" applyFont="1" applyFill="1" applyBorder="1" applyAlignment="1">
      <alignment horizontal="center" vertical="center" wrapText="1"/>
    </xf>
    <xf numFmtId="169" fontId="117" fillId="38" borderId="78" xfId="0" applyNumberFormat="1" applyFont="1" applyFill="1" applyBorder="1" applyAlignment="1">
      <alignment vertical="center" wrapText="1"/>
    </xf>
    <xf numFmtId="0" fontId="0" fillId="0" borderId="85" xfId="0" applyBorder="1" applyAlignment="1" applyProtection="1">
      <alignment horizontal="left"/>
      <protection locked="0"/>
    </xf>
    <xf numFmtId="0" fontId="0" fillId="0" borderId="78" xfId="0" applyBorder="1" applyAlignment="1">
      <alignment horizontal="left"/>
    </xf>
    <xf numFmtId="0" fontId="160" fillId="0" borderId="82" xfId="0" applyFont="1" applyFill="1" applyBorder="1" applyAlignment="1" applyProtection="1">
      <alignment horizontal="left" wrapText="1"/>
    </xf>
    <xf numFmtId="0" fontId="161" fillId="0" borderId="82" xfId="0" applyFont="1" applyFill="1" applyBorder="1" applyAlignment="1">
      <alignment horizontal="left" vertical="center" wrapText="1"/>
    </xf>
    <xf numFmtId="0" fontId="30" fillId="38" borderId="82" xfId="0" applyFont="1" applyFill="1" applyBorder="1" applyProtection="1"/>
    <xf numFmtId="0" fontId="30" fillId="38" borderId="0" xfId="0" applyFont="1" applyFill="1" applyBorder="1" applyProtection="1"/>
    <xf numFmtId="0" fontId="0" fillId="38" borderId="82" xfId="0" applyFont="1" applyFill="1" applyBorder="1" applyAlignment="1" applyProtection="1">
      <alignment horizontal="left"/>
    </xf>
    <xf numFmtId="0" fontId="0" fillId="38" borderId="0" xfId="0" applyFont="1" applyFill="1" applyBorder="1" applyAlignment="1" applyProtection="1">
      <alignment horizontal="center" wrapText="1"/>
    </xf>
    <xf numFmtId="0" fontId="0" fillId="38" borderId="0" xfId="0" applyFont="1" applyFill="1" applyBorder="1" applyProtection="1"/>
    <xf numFmtId="0" fontId="0" fillId="38" borderId="78" xfId="0" applyFill="1" applyBorder="1" applyAlignment="1">
      <alignment horizontal="left"/>
    </xf>
    <xf numFmtId="0" fontId="162" fillId="0" borderId="105" xfId="52" applyFont="1" applyBorder="1" applyAlignment="1">
      <alignment horizontal="left"/>
    </xf>
    <xf numFmtId="0" fontId="162" fillId="0" borderId="106" xfId="52" applyFont="1" applyBorder="1" applyAlignment="1">
      <alignment horizontal="left"/>
    </xf>
    <xf numFmtId="0" fontId="162" fillId="0" borderId="107" xfId="52" applyFont="1" applyBorder="1" applyAlignment="1">
      <alignment horizontal="left"/>
    </xf>
    <xf numFmtId="0" fontId="162" fillId="0" borderId="0" xfId="52" applyFont="1" applyAlignment="1">
      <alignment horizontal="left"/>
    </xf>
    <xf numFmtId="0" fontId="22" fillId="0" borderId="108" xfId="0" applyFont="1" applyBorder="1" applyAlignment="1">
      <alignment horizontal="center" wrapText="1"/>
    </xf>
    <xf numFmtId="0" fontId="22" fillId="0" borderId="72" xfId="0" applyFont="1" applyBorder="1" applyAlignment="1">
      <alignment horizontal="center" wrapText="1"/>
    </xf>
    <xf numFmtId="0" fontId="22" fillId="0" borderId="109" xfId="0" applyFont="1" applyBorder="1" applyAlignment="1">
      <alignment horizontal="center" wrapText="1"/>
    </xf>
    <xf numFmtId="0" fontId="89" fillId="49" borderId="110" xfId="0" applyFont="1" applyFill="1" applyBorder="1" applyAlignment="1">
      <alignment horizontal="center" wrapText="1"/>
    </xf>
    <xf numFmtId="0" fontId="89" fillId="47" borderId="111" xfId="0" applyFont="1" applyFill="1" applyBorder="1" applyAlignment="1">
      <alignment horizontal="center" wrapText="1"/>
    </xf>
    <xf numFmtId="0" fontId="22" fillId="0" borderId="111" xfId="0" applyFont="1" applyBorder="1" applyAlignment="1">
      <alignment horizontal="center" wrapText="1"/>
    </xf>
    <xf numFmtId="0" fontId="22" fillId="0" borderId="108" xfId="0" applyFont="1" applyBorder="1"/>
    <xf numFmtId="0" fontId="22" fillId="0" borderId="72" xfId="0" applyFont="1" applyBorder="1"/>
    <xf numFmtId="0" fontId="22" fillId="0" borderId="108" xfId="0" applyFont="1" applyFill="1" applyBorder="1" applyAlignment="1">
      <alignment wrapText="1"/>
    </xf>
    <xf numFmtId="0" fontId="22" fillId="0" borderId="72" xfId="0" applyFont="1" applyFill="1" applyBorder="1" applyAlignment="1">
      <alignment wrapText="1"/>
    </xf>
    <xf numFmtId="0" fontId="22" fillId="0" borderId="112" xfId="0" applyFont="1" applyFill="1" applyBorder="1" applyAlignment="1">
      <alignment wrapText="1"/>
    </xf>
    <xf numFmtId="0" fontId="22" fillId="0" borderId="113" xfId="0" applyFont="1" applyBorder="1" applyAlignment="1">
      <alignment wrapText="1"/>
    </xf>
    <xf numFmtId="0" fontId="22" fillId="0" borderId="112" xfId="0" applyFont="1" applyBorder="1"/>
    <xf numFmtId="0" fontId="22" fillId="0" borderId="113" xfId="0" applyFont="1" applyBorder="1"/>
    <xf numFmtId="0" fontId="89" fillId="47" borderId="115" xfId="0" applyFont="1" applyFill="1" applyBorder="1"/>
    <xf numFmtId="0" fontId="89" fillId="47" borderId="116" xfId="0" applyFont="1" applyFill="1" applyBorder="1"/>
    <xf numFmtId="0" fontId="89" fillId="47" borderId="117" xfId="0" applyFont="1" applyFill="1" applyBorder="1"/>
    <xf numFmtId="2" fontId="22" fillId="0" borderId="72" xfId="0" applyNumberFormat="1" applyFont="1" applyBorder="1"/>
    <xf numFmtId="2" fontId="22" fillId="0" borderId="109" xfId="0" applyNumberFormat="1" applyFont="1" applyBorder="1"/>
    <xf numFmtId="2" fontId="22" fillId="0" borderId="113" xfId="0" applyNumberFormat="1" applyFont="1" applyBorder="1"/>
    <xf numFmtId="2" fontId="22" fillId="0" borderId="114" xfId="0" applyNumberFormat="1" applyFont="1" applyBorder="1"/>
    <xf numFmtId="2" fontId="22" fillId="0" borderId="72" xfId="0" applyNumberFormat="1" applyFont="1" applyBorder="1" applyAlignment="1">
      <alignment horizontal="right" wrapText="1"/>
    </xf>
    <xf numFmtId="2" fontId="22" fillId="0" borderId="113" xfId="0" applyNumberFormat="1" applyFont="1" applyBorder="1" applyAlignment="1">
      <alignment horizontal="right" wrapText="1"/>
    </xf>
    <xf numFmtId="0" fontId="164" fillId="0" borderId="0" xfId="0" applyFont="1"/>
    <xf numFmtId="0" fontId="165" fillId="0" borderId="72" xfId="0" applyFont="1" applyBorder="1"/>
    <xf numFmtId="0" fontId="165" fillId="0" borderId="0" xfId="0" applyFont="1"/>
    <xf numFmtId="0" fontId="164" fillId="0" borderId="72" xfId="0" applyFont="1" applyBorder="1"/>
    <xf numFmtId="0" fontId="0" fillId="0" borderId="72" xfId="0" applyFill="1" applyBorder="1" applyAlignment="1">
      <alignment horizontal="left"/>
    </xf>
    <xf numFmtId="0" fontId="0" fillId="0" borderId="72" xfId="0" applyBorder="1" applyAlignment="1">
      <alignment horizontal="left"/>
    </xf>
    <xf numFmtId="0" fontId="31" fillId="0" borderId="72" xfId="0" applyFont="1" applyBorder="1" applyAlignment="1">
      <alignment horizontal="left"/>
    </xf>
    <xf numFmtId="0" fontId="165" fillId="0" borderId="0" xfId="0" applyFont="1" applyAlignment="1">
      <alignment horizontal="center"/>
    </xf>
    <xf numFmtId="0" fontId="164" fillId="0" borderId="0" xfId="0" applyFont="1" applyAlignment="1">
      <alignment horizontal="center"/>
    </xf>
    <xf numFmtId="0" fontId="22" fillId="0" borderId="118" xfId="0" applyFont="1" applyBorder="1" applyAlignment="1">
      <alignment horizontal="center" wrapText="1"/>
    </xf>
    <xf numFmtId="2" fontId="22" fillId="0" borderId="73" xfId="0" applyNumberFormat="1" applyFont="1" applyBorder="1" applyAlignment="1">
      <alignment horizontal="right" wrapText="1"/>
    </xf>
    <xf numFmtId="2" fontId="22" fillId="0" borderId="119" xfId="0" applyNumberFormat="1" applyFont="1" applyBorder="1" applyAlignment="1">
      <alignment horizontal="right" wrapText="1"/>
    </xf>
    <xf numFmtId="0" fontId="22" fillId="0" borderId="120" xfId="0" applyFont="1" applyBorder="1" applyAlignment="1">
      <alignment horizontal="center" wrapText="1"/>
    </xf>
    <xf numFmtId="2" fontId="22" fillId="0" borderId="121" xfId="0" applyNumberFormat="1" applyFont="1" applyBorder="1"/>
    <xf numFmtId="2" fontId="22" fillId="0" borderId="122" xfId="0" applyNumberFormat="1" applyFont="1" applyBorder="1"/>
    <xf numFmtId="2" fontId="0" fillId="0" borderId="73" xfId="0" applyNumberFormat="1" applyBorder="1"/>
    <xf numFmtId="2" fontId="164" fillId="0" borderId="73" xfId="0" applyNumberFormat="1" applyFont="1" applyBorder="1"/>
    <xf numFmtId="0" fontId="164" fillId="38" borderId="72" xfId="0" applyFont="1" applyFill="1" applyBorder="1"/>
    <xf numFmtId="0" fontId="33" fillId="38" borderId="78" xfId="0" applyFont="1" applyFill="1" applyBorder="1"/>
    <xf numFmtId="0" fontId="0" fillId="0" borderId="78" xfId="0" applyFont="1" applyBorder="1"/>
    <xf numFmtId="0" fontId="0" fillId="0" borderId="78" xfId="0" applyBorder="1"/>
    <xf numFmtId="0" fontId="110" fillId="38" borderId="0" xfId="0" applyFont="1" applyFill="1" applyBorder="1"/>
    <xf numFmtId="1" fontId="0" fillId="38" borderId="0" xfId="40" applyNumberFormat="1" applyFont="1" applyFill="1" applyBorder="1"/>
    <xf numFmtId="0" fontId="131" fillId="38" borderId="0" xfId="0" applyFont="1" applyFill="1" applyBorder="1" applyAlignment="1">
      <alignment horizontal="left" vertical="center" indent="1"/>
    </xf>
    <xf numFmtId="0" fontId="25" fillId="38" borderId="0" xfId="0" applyFont="1" applyFill="1" applyBorder="1" applyAlignment="1">
      <alignment horizontal="right" vertical="center"/>
    </xf>
    <xf numFmtId="0" fontId="149" fillId="38" borderId="0" xfId="0" applyFont="1" applyFill="1" applyBorder="1" applyAlignment="1">
      <alignment horizontal="center" vertical="center"/>
    </xf>
    <xf numFmtId="0" fontId="25" fillId="38" borderId="0" xfId="0" applyFont="1" applyFill="1" applyBorder="1" applyAlignment="1">
      <alignment horizontal="center" vertical="center" textRotation="45"/>
    </xf>
    <xf numFmtId="171" fontId="98" fillId="38" borderId="78" xfId="0" applyNumberFormat="1" applyFont="1" applyFill="1" applyBorder="1" applyAlignment="1">
      <alignment vertical="center" wrapText="1"/>
    </xf>
    <xf numFmtId="0" fontId="117" fillId="38" borderId="0" xfId="0" applyFont="1" applyFill="1" applyBorder="1" applyAlignment="1">
      <alignment horizontal="center" vertical="center" wrapText="1"/>
    </xf>
    <xf numFmtId="169" fontId="117" fillId="38" borderId="0" xfId="0" applyNumberFormat="1" applyFont="1" applyFill="1" applyBorder="1" applyAlignment="1">
      <alignment vertical="center" wrapText="1"/>
    </xf>
    <xf numFmtId="0" fontId="145" fillId="38" borderId="0" xfId="0" applyFont="1" applyFill="1" applyBorder="1" applyAlignment="1">
      <alignment horizontal="right" vertical="center" indent="2"/>
    </xf>
    <xf numFmtId="170" fontId="104" fillId="38" borderId="0" xfId="0" applyNumberFormat="1" applyFont="1" applyFill="1" applyBorder="1" applyAlignment="1">
      <alignment horizontal="left" vertical="center" wrapText="1"/>
    </xf>
    <xf numFmtId="0" fontId="135" fillId="38" borderId="0" xfId="0" applyFont="1" applyFill="1" applyBorder="1" applyAlignment="1">
      <alignment horizontal="center" vertical="center" wrapText="1"/>
    </xf>
    <xf numFmtId="0" fontId="166" fillId="38" borderId="0" xfId="0" applyFont="1" applyFill="1" applyBorder="1" applyAlignment="1">
      <alignment horizontal="right" vertical="center"/>
    </xf>
    <xf numFmtId="9" fontId="31" fillId="50" borderId="72" xfId="0" applyNumberFormat="1" applyFont="1" applyFill="1" applyBorder="1"/>
    <xf numFmtId="0" fontId="42" fillId="38" borderId="0" xfId="0" applyFont="1" applyFill="1" applyBorder="1"/>
    <xf numFmtId="0" fontId="131" fillId="45" borderId="124" xfId="0" applyFont="1" applyFill="1" applyBorder="1" applyAlignment="1">
      <alignment horizontal="left" vertical="center" indent="1"/>
    </xf>
    <xf numFmtId="0" fontId="98" fillId="38" borderId="0" xfId="0" applyFont="1" applyFill="1" applyBorder="1" applyAlignment="1">
      <alignment horizontal="left" vertical="top" wrapText="1"/>
    </xf>
    <xf numFmtId="0" fontId="25" fillId="38" borderId="0" xfId="0" applyFont="1" applyFill="1" applyBorder="1" applyAlignment="1">
      <alignment horizontal="left" vertical="top"/>
    </xf>
    <xf numFmtId="0" fontId="98" fillId="38" borderId="0" xfId="0" applyFont="1" applyFill="1" applyBorder="1" applyAlignment="1">
      <alignment horizontal="center" vertical="top" wrapText="1"/>
    </xf>
    <xf numFmtId="0" fontId="168" fillId="26" borderId="78" xfId="0" applyFont="1" applyFill="1" applyBorder="1" applyAlignment="1">
      <alignment horizontal="center" vertical="center" wrapText="1"/>
    </xf>
    <xf numFmtId="0" fontId="0" fillId="38" borderId="0" xfId="0" applyFont="1" applyFill="1" applyBorder="1" applyAlignment="1">
      <alignment vertical="top"/>
    </xf>
    <xf numFmtId="0" fontId="25" fillId="51" borderId="82" xfId="0" applyFont="1" applyFill="1" applyBorder="1" applyAlignment="1">
      <alignment horizontal="left" vertical="center"/>
    </xf>
    <xf numFmtId="0" fontId="98" fillId="51" borderId="0" xfId="0" applyFont="1" applyFill="1" applyBorder="1" applyAlignment="1">
      <alignment horizontal="left" vertical="center" wrapText="1"/>
    </xf>
    <xf numFmtId="0" fontId="25" fillId="51" borderId="0" xfId="0" applyFont="1" applyFill="1" applyBorder="1" applyAlignment="1">
      <alignment horizontal="left" vertical="center"/>
    </xf>
    <xf numFmtId="0" fontId="98" fillId="51" borderId="99" xfId="0" applyFont="1" applyFill="1" applyBorder="1" applyAlignment="1">
      <alignment horizontal="left" vertical="center" wrapText="1"/>
    </xf>
    <xf numFmtId="9" fontId="25" fillId="26" borderId="78" xfId="40" applyFont="1" applyFill="1" applyBorder="1" applyAlignment="1" applyProtection="1">
      <alignment horizontal="center"/>
      <protection locked="0"/>
    </xf>
    <xf numFmtId="1" fontId="0" fillId="0" borderId="72" xfId="0" applyNumberFormat="1" applyBorder="1"/>
    <xf numFmtId="1" fontId="0" fillId="0" borderId="72" xfId="40" applyNumberFormat="1" applyFont="1" applyBorder="1"/>
    <xf numFmtId="0" fontId="131" fillId="49" borderId="78" xfId="0" applyFont="1" applyFill="1" applyBorder="1" applyAlignment="1" applyProtection="1">
      <alignment horizontal="left" vertical="center" indent="1"/>
      <protection locked="0"/>
    </xf>
    <xf numFmtId="0" fontId="131" fillId="31" borderId="78" xfId="0" applyFont="1" applyFill="1" applyBorder="1" applyAlignment="1" applyProtection="1">
      <alignment horizontal="left" vertical="center" indent="1"/>
      <protection locked="0"/>
    </xf>
    <xf numFmtId="0" fontId="131" fillId="40" borderId="78" xfId="0" applyFont="1" applyFill="1" applyBorder="1" applyAlignment="1" applyProtection="1">
      <alignment horizontal="left" vertical="center" indent="1"/>
      <protection locked="0"/>
    </xf>
    <xf numFmtId="0" fontId="25" fillId="23" borderId="78" xfId="0" applyFont="1" applyFill="1" applyBorder="1" applyAlignment="1" applyProtection="1">
      <alignment horizontal="right" vertical="center"/>
      <protection locked="0"/>
    </xf>
    <xf numFmtId="0" fontId="97" fillId="23" borderId="78" xfId="0" applyFont="1" applyFill="1" applyBorder="1" applyAlignment="1" applyProtection="1">
      <alignment horizontal="center" vertical="center"/>
      <protection locked="0"/>
    </xf>
    <xf numFmtId="0" fontId="25" fillId="23" borderId="78" xfId="0" applyFont="1" applyFill="1" applyBorder="1" applyAlignment="1" applyProtection="1">
      <alignment horizontal="center" vertical="center" textRotation="45"/>
      <protection locked="0"/>
    </xf>
    <xf numFmtId="0" fontId="25" fillId="20" borderId="78" xfId="0" applyFont="1" applyFill="1" applyBorder="1" applyAlignment="1" applyProtection="1">
      <alignment horizontal="right" vertical="center"/>
      <protection locked="0"/>
    </xf>
    <xf numFmtId="0" fontId="25" fillId="20" borderId="78" xfId="0" applyFont="1" applyFill="1" applyBorder="1" applyAlignment="1" applyProtection="1">
      <alignment horizontal="center" vertical="center" textRotation="45"/>
      <protection locked="0"/>
    </xf>
    <xf numFmtId="0" fontId="25" fillId="28" borderId="78" xfId="0" applyFont="1" applyFill="1" applyBorder="1" applyAlignment="1" applyProtection="1">
      <alignment horizontal="right" vertical="center"/>
      <protection locked="0"/>
    </xf>
    <xf numFmtId="0" fontId="25" fillId="28" borderId="78" xfId="0" applyFont="1" applyFill="1" applyBorder="1" applyAlignment="1" applyProtection="1">
      <alignment horizontal="center" vertical="center" textRotation="45"/>
      <protection locked="0"/>
    </xf>
    <xf numFmtId="0" fontId="25" fillId="34" borderId="78" xfId="0" applyFont="1" applyFill="1" applyBorder="1" applyAlignment="1" applyProtection="1">
      <alignment horizontal="right" vertical="center"/>
      <protection locked="0"/>
    </xf>
    <xf numFmtId="0" fontId="25" fillId="34" borderId="104" xfId="0" applyFont="1" applyFill="1" applyBorder="1" applyAlignment="1" applyProtection="1">
      <alignment horizontal="center" vertical="center" textRotation="45"/>
      <protection locked="0"/>
    </xf>
    <xf numFmtId="0" fontId="110" fillId="38" borderId="72" xfId="0" applyFont="1" applyFill="1" applyBorder="1" applyProtection="1">
      <protection locked="0"/>
    </xf>
    <xf numFmtId="9" fontId="25" fillId="26" borderId="78" xfId="40" applyFont="1" applyFill="1" applyBorder="1" applyAlignment="1" applyProtection="1">
      <alignment horizontal="center" wrapText="1"/>
      <protection locked="0"/>
    </xf>
    <xf numFmtId="9" fontId="36" fillId="26" borderId="78" xfId="40" applyFont="1" applyFill="1" applyBorder="1" applyAlignment="1" applyProtection="1">
      <alignment horizontal="center" vertical="center"/>
      <protection locked="0"/>
    </xf>
    <xf numFmtId="9" fontId="36" fillId="26" borderId="78" xfId="40" applyFont="1" applyFill="1" applyBorder="1" applyAlignment="1" applyProtection="1">
      <alignment horizontal="center"/>
      <protection locked="0"/>
    </xf>
    <xf numFmtId="9" fontId="25" fillId="26" borderId="78" xfId="40" applyFont="1" applyFill="1" applyBorder="1" applyAlignment="1" applyProtection="1">
      <alignment horizontal="center" vertical="top" wrapText="1"/>
      <protection locked="0"/>
    </xf>
    <xf numFmtId="0" fontId="120" fillId="38" borderId="0" xfId="0" applyFont="1" applyFill="1" applyBorder="1" applyAlignment="1">
      <alignment horizontal="left" vertical="center"/>
    </xf>
    <xf numFmtId="3" fontId="0" fillId="0" borderId="78" xfId="0" applyNumberFormat="1" applyFont="1" applyFill="1" applyBorder="1" applyAlignment="1" applyProtection="1">
      <alignment horizontal="right" wrapText="1"/>
      <protection locked="0"/>
    </xf>
    <xf numFmtId="2" fontId="0" fillId="0" borderId="78" xfId="0" applyNumberFormat="1" applyFont="1" applyFill="1" applyBorder="1" applyAlignment="1" applyProtection="1">
      <alignment horizontal="right" wrapText="1"/>
      <protection locked="0"/>
    </xf>
    <xf numFmtId="0" fontId="152" fillId="43" borderId="78" xfId="0" applyFont="1" applyFill="1" applyBorder="1" applyAlignment="1">
      <alignment horizontal="center" wrapText="1"/>
    </xf>
    <xf numFmtId="0" fontId="147" fillId="0" borderId="0" xfId="0" applyFont="1" applyAlignment="1" applyProtection="1">
      <alignment horizontal="left"/>
    </xf>
    <xf numFmtId="0" fontId="119" fillId="0" borderId="0" xfId="0" applyFont="1" applyFill="1" applyBorder="1" applyAlignment="1">
      <alignment vertical="top" wrapText="1"/>
    </xf>
    <xf numFmtId="0" fontId="85" fillId="38" borderId="82" xfId="0" applyFont="1" applyFill="1" applyBorder="1" applyAlignment="1" applyProtection="1">
      <alignment horizontal="left"/>
    </xf>
    <xf numFmtId="0" fontId="85" fillId="42" borderId="0" xfId="0" applyFont="1" applyFill="1" applyBorder="1"/>
    <xf numFmtId="0" fontId="42" fillId="38" borderId="0" xfId="0" applyFont="1" applyFill="1" applyBorder="1" applyAlignment="1">
      <alignment vertical="center"/>
    </xf>
    <xf numFmtId="0" fontId="22" fillId="38" borderId="0" xfId="0" applyFont="1" applyFill="1" applyAlignment="1">
      <alignment vertical="center"/>
    </xf>
    <xf numFmtId="0" fontId="22" fillId="38" borderId="0" xfId="0" applyFont="1" applyFill="1" applyBorder="1" applyAlignment="1">
      <alignment vertical="center"/>
    </xf>
    <xf numFmtId="0" fontId="23" fillId="0" borderId="0" xfId="0" applyFont="1" applyAlignment="1">
      <alignment vertical="center"/>
    </xf>
    <xf numFmtId="0" fontId="0" fillId="48" borderId="78" xfId="0" applyFont="1" applyFill="1" applyBorder="1" applyAlignment="1" applyProtection="1">
      <alignment horizontal="center"/>
      <protection locked="0"/>
    </xf>
    <xf numFmtId="0" fontId="0" fillId="48" borderId="78" xfId="0" applyFill="1" applyBorder="1" applyAlignment="1" applyProtection="1">
      <alignment horizontal="center"/>
      <protection locked="0"/>
    </xf>
    <xf numFmtId="0" fontId="0" fillId="0" borderId="85" xfId="0" applyFont="1" applyBorder="1" applyAlignment="1" applyProtection="1">
      <alignment horizontal="center"/>
      <protection locked="0"/>
    </xf>
    <xf numFmtId="0" fontId="0" fillId="0" borderId="78" xfId="0" applyFont="1" applyBorder="1" applyAlignment="1" applyProtection="1">
      <alignment horizontal="center"/>
      <protection locked="0"/>
    </xf>
    <xf numFmtId="0" fontId="0" fillId="0" borderId="78" xfId="0" applyFont="1" applyFill="1" applyBorder="1" applyAlignment="1" applyProtection="1">
      <alignment horizontal="center"/>
      <protection locked="0"/>
    </xf>
    <xf numFmtId="0" fontId="0" fillId="38" borderId="78" xfId="0" applyFont="1" applyFill="1" applyBorder="1" applyAlignment="1" applyProtection="1">
      <alignment horizontal="center"/>
      <protection locked="0"/>
    </xf>
    <xf numFmtId="2" fontId="0" fillId="38" borderId="85" xfId="0" applyNumberFormat="1" applyFont="1" applyFill="1" applyBorder="1" applyProtection="1">
      <protection locked="0"/>
    </xf>
    <xf numFmtId="0" fontId="97" fillId="20" borderId="78" xfId="0" applyFont="1" applyFill="1" applyBorder="1" applyAlignment="1" applyProtection="1">
      <alignment horizontal="center" vertical="center"/>
      <protection locked="0"/>
    </xf>
    <xf numFmtId="0" fontId="97" fillId="28" borderId="78" xfId="0" applyFont="1" applyFill="1" applyBorder="1" applyAlignment="1" applyProtection="1">
      <alignment horizontal="center" vertical="center"/>
      <protection locked="0"/>
    </xf>
    <xf numFmtId="0" fontId="97" fillId="34" borderId="78" xfId="0" applyFont="1" applyFill="1" applyBorder="1" applyAlignment="1" applyProtection="1">
      <alignment horizontal="center" vertical="center"/>
      <protection locked="0"/>
    </xf>
    <xf numFmtId="0" fontId="42" fillId="38" borderId="0" xfId="0" applyFont="1" applyFill="1" applyBorder="1" applyAlignment="1">
      <alignment horizontal="left" vertical="center" indent="2"/>
    </xf>
    <xf numFmtId="0" fontId="23" fillId="0" borderId="0" xfId="0" applyFont="1" applyAlignment="1">
      <alignment horizontal="left" vertical="center"/>
    </xf>
    <xf numFmtId="0" fontId="174" fillId="0" borderId="0" xfId="0" applyFont="1" applyBorder="1" applyAlignment="1">
      <alignment vertical="center"/>
    </xf>
    <xf numFmtId="0" fontId="174" fillId="0" borderId="0" xfId="0" applyFont="1" applyFill="1" applyBorder="1" applyAlignment="1">
      <alignment vertical="center"/>
    </xf>
    <xf numFmtId="171" fontId="25" fillId="23" borderId="78" xfId="0" applyNumberFormat="1" applyFont="1" applyFill="1" applyBorder="1" applyAlignment="1" applyProtection="1">
      <alignment horizontal="right" vertical="center"/>
      <protection locked="0"/>
    </xf>
    <xf numFmtId="171" fontId="25" fillId="20" borderId="78" xfId="0" applyNumberFormat="1" applyFont="1" applyFill="1" applyBorder="1" applyAlignment="1" applyProtection="1">
      <alignment horizontal="right" vertical="center"/>
      <protection locked="0"/>
    </xf>
    <xf numFmtId="171" fontId="25" fillId="28" borderId="78" xfId="0" applyNumberFormat="1" applyFont="1" applyFill="1" applyBorder="1" applyAlignment="1" applyProtection="1">
      <alignment horizontal="right" vertical="center"/>
      <protection locked="0"/>
    </xf>
    <xf numFmtId="171" fontId="25" fillId="34" borderId="78" xfId="0" applyNumberFormat="1" applyFont="1" applyFill="1" applyBorder="1" applyAlignment="1" applyProtection="1">
      <alignment horizontal="right" vertical="center"/>
      <protection locked="0"/>
    </xf>
    <xf numFmtId="0" fontId="150" fillId="0" borderId="0" xfId="0" applyFont="1" applyBorder="1" applyAlignment="1">
      <alignment horizontal="left" vertical="center" indent="9"/>
    </xf>
    <xf numFmtId="0" fontId="38" fillId="0" borderId="0" xfId="46" applyBorder="1" applyAlignment="1" applyProtection="1">
      <alignment horizontal="left" indent="9"/>
    </xf>
    <xf numFmtId="0" fontId="121" fillId="0" borderId="0" xfId="0" applyFont="1" applyAlignment="1">
      <alignment horizontal="right" vertical="top"/>
    </xf>
    <xf numFmtId="0" fontId="22" fillId="42" borderId="0" xfId="0" applyFont="1" applyFill="1" applyBorder="1" applyAlignment="1">
      <alignment horizontal="center" vertical="center" wrapText="1"/>
    </xf>
    <xf numFmtId="0" fontId="123" fillId="41" borderId="80" xfId="46" applyFont="1" applyFill="1" applyBorder="1" applyAlignment="1" applyProtection="1">
      <alignment horizontal="center" vertical="center"/>
    </xf>
    <xf numFmtId="0" fontId="123" fillId="41" borderId="86" xfId="46" applyFont="1" applyFill="1" applyBorder="1" applyAlignment="1" applyProtection="1">
      <alignment horizontal="center" vertical="center"/>
    </xf>
    <xf numFmtId="0" fontId="123" fillId="41" borderId="83" xfId="46" applyFont="1" applyFill="1" applyBorder="1" applyAlignment="1" applyProtection="1">
      <alignment horizontal="center" vertical="center"/>
    </xf>
    <xf numFmtId="0" fontId="123" fillId="41" borderId="79" xfId="46" applyFont="1" applyFill="1" applyBorder="1" applyAlignment="1" applyProtection="1">
      <alignment horizontal="center" vertical="center"/>
    </xf>
    <xf numFmtId="0" fontId="0" fillId="43" borderId="80" xfId="0" applyFill="1" applyBorder="1" applyAlignment="1">
      <alignment horizontal="center" vertical="center" wrapText="1"/>
    </xf>
    <xf numFmtId="0" fontId="0" fillId="43" borderId="77" xfId="0" applyFont="1" applyFill="1" applyBorder="1" applyAlignment="1">
      <alignment horizontal="center" vertical="center" wrapText="1"/>
    </xf>
    <xf numFmtId="0" fontId="122" fillId="44" borderId="80" xfId="46" applyFont="1" applyFill="1" applyBorder="1" applyAlignment="1" applyProtection="1">
      <alignment horizontal="center" vertical="center"/>
    </xf>
    <xf numFmtId="0" fontId="122" fillId="44" borderId="76" xfId="46" applyFont="1" applyFill="1" applyBorder="1" applyAlignment="1" applyProtection="1">
      <alignment horizontal="center" vertical="center"/>
    </xf>
    <xf numFmtId="0" fontId="122" fillId="44" borderId="77" xfId="46" applyFont="1" applyFill="1" applyBorder="1" applyAlignment="1" applyProtection="1">
      <alignment horizontal="center" vertical="center"/>
    </xf>
    <xf numFmtId="0" fontId="60" fillId="42" borderId="0" xfId="0" applyFont="1" applyFill="1" applyBorder="1" applyAlignment="1">
      <alignment horizontal="left" vertical="top" wrapText="1"/>
    </xf>
    <xf numFmtId="0" fontId="121" fillId="38" borderId="0" xfId="0" applyFont="1" applyFill="1" applyBorder="1" applyAlignment="1">
      <alignment horizontal="right" vertical="center"/>
    </xf>
    <xf numFmtId="0" fontId="22" fillId="42" borderId="0" xfId="0" applyFont="1" applyFill="1" applyBorder="1" applyAlignment="1">
      <alignment horizontal="left" vertical="top" wrapText="1"/>
    </xf>
    <xf numFmtId="0" fontId="125" fillId="42" borderId="0" xfId="0" applyFont="1" applyFill="1" applyBorder="1" applyAlignment="1">
      <alignment horizontal="left"/>
    </xf>
    <xf numFmtId="0" fontId="0" fillId="38" borderId="0" xfId="0" applyFill="1" applyBorder="1" applyAlignment="1">
      <alignment horizontal="center"/>
    </xf>
    <xf numFmtId="0" fontId="93" fillId="41" borderId="87" xfId="0" applyFont="1" applyFill="1" applyBorder="1" applyAlignment="1">
      <alignment horizontal="center" vertical="center" wrapText="1"/>
    </xf>
    <xf numFmtId="0" fontId="93" fillId="41" borderId="88" xfId="0" applyFont="1" applyFill="1" applyBorder="1" applyAlignment="1">
      <alignment horizontal="center" vertical="center" wrapText="1"/>
    </xf>
    <xf numFmtId="0" fontId="130" fillId="41" borderId="93" xfId="0" applyFont="1" applyFill="1" applyBorder="1" applyAlignment="1">
      <alignment horizontal="center" vertical="center" wrapText="1"/>
    </xf>
    <xf numFmtId="0" fontId="130" fillId="41" borderId="101" xfId="0" applyFont="1" applyFill="1" applyBorder="1" applyAlignment="1">
      <alignment horizontal="center" vertical="center" wrapText="1"/>
    </xf>
    <xf numFmtId="0" fontId="130" fillId="41" borderId="92" xfId="0" applyFont="1" applyFill="1" applyBorder="1" applyAlignment="1">
      <alignment horizontal="center" vertical="center" wrapText="1"/>
    </xf>
    <xf numFmtId="0" fontId="130" fillId="41" borderId="102" xfId="0" applyFont="1" applyFill="1" applyBorder="1" applyAlignment="1">
      <alignment horizontal="center" vertical="center" wrapText="1"/>
    </xf>
    <xf numFmtId="0" fontId="130" fillId="41" borderId="91" xfId="0" applyFont="1" applyFill="1" applyBorder="1" applyAlignment="1">
      <alignment horizontal="center" vertical="center" wrapText="1"/>
    </xf>
    <xf numFmtId="0" fontId="130" fillId="41" borderId="103" xfId="0" applyFont="1" applyFill="1" applyBorder="1" applyAlignment="1">
      <alignment horizontal="center" vertical="center" wrapText="1"/>
    </xf>
    <xf numFmtId="0" fontId="93" fillId="41" borderId="89" xfId="0" applyFont="1" applyFill="1" applyBorder="1" applyAlignment="1">
      <alignment horizontal="center" vertical="center" wrapText="1"/>
    </xf>
    <xf numFmtId="0" fontId="93" fillId="41" borderId="90" xfId="0" applyFont="1" applyFill="1" applyBorder="1" applyAlignment="1">
      <alignment horizontal="center" vertical="center" wrapText="1"/>
    </xf>
    <xf numFmtId="0" fontId="162" fillId="38" borderId="104" xfId="0" applyFont="1" applyFill="1" applyBorder="1" applyAlignment="1">
      <alignment horizontal="right" vertical="center"/>
    </xf>
    <xf numFmtId="0" fontId="162" fillId="38" borderId="123" xfId="0" applyFont="1" applyFill="1" applyBorder="1" applyAlignment="1">
      <alignment horizontal="right" vertical="center"/>
    </xf>
    <xf numFmtId="0" fontId="98" fillId="51" borderId="95" xfId="0" applyFont="1" applyFill="1" applyBorder="1" applyAlignment="1">
      <alignment horizontal="left" vertical="center" wrapText="1"/>
    </xf>
    <xf numFmtId="0" fontId="98" fillId="51" borderId="81" xfId="0" applyFont="1" applyFill="1" applyBorder="1" applyAlignment="1">
      <alignment horizontal="left" vertical="center" wrapText="1"/>
    </xf>
    <xf numFmtId="0" fontId="98" fillId="51" borderId="96" xfId="0" applyFont="1" applyFill="1" applyBorder="1" applyAlignment="1">
      <alignment horizontal="left" vertical="center" wrapText="1"/>
    </xf>
    <xf numFmtId="0" fontId="25" fillId="51" borderId="97" xfId="0" applyFont="1" applyFill="1" applyBorder="1" applyAlignment="1">
      <alignment horizontal="left" vertical="center" wrapText="1"/>
    </xf>
    <xf numFmtId="0" fontId="25" fillId="51" borderId="75" xfId="0" applyFont="1" applyFill="1" applyBorder="1" applyAlignment="1">
      <alignment horizontal="left" vertical="center" wrapText="1"/>
    </xf>
    <xf numFmtId="0" fontId="25" fillId="51" borderId="98" xfId="0" applyFont="1" applyFill="1" applyBorder="1" applyAlignment="1">
      <alignment horizontal="left" vertical="center" wrapText="1"/>
    </xf>
    <xf numFmtId="0" fontId="25" fillId="42" borderId="0" xfId="0" applyFont="1" applyFill="1" applyBorder="1" applyAlignment="1">
      <alignment horizontal="left" vertical="center" wrapText="1"/>
    </xf>
    <xf numFmtId="0" fontId="132" fillId="38" borderId="0" xfId="0" applyFont="1" applyFill="1" applyAlignment="1">
      <alignment horizontal="right"/>
    </xf>
    <xf numFmtId="9" fontId="100" fillId="38" borderId="0" xfId="0" applyNumberFormat="1" applyFont="1" applyFill="1" applyBorder="1" applyAlignment="1">
      <alignment horizontal="left" vertical="center" wrapText="1" indent="1"/>
    </xf>
    <xf numFmtId="0" fontId="100" fillId="38" borderId="0" xfId="0" applyFont="1" applyFill="1" applyBorder="1" applyAlignment="1">
      <alignment horizontal="left" vertical="center" wrapText="1" indent="1"/>
    </xf>
    <xf numFmtId="14" fontId="169" fillId="26" borderId="78" xfId="0" applyNumberFormat="1" applyFont="1" applyFill="1" applyBorder="1" applyAlignment="1" applyProtection="1">
      <alignment horizontal="left" vertical="center"/>
      <protection locked="0"/>
    </xf>
    <xf numFmtId="0" fontId="169" fillId="26" borderId="78" xfId="0" applyFont="1" applyFill="1" applyBorder="1" applyAlignment="1" applyProtection="1">
      <alignment horizontal="left" vertical="center"/>
      <protection locked="0"/>
    </xf>
    <xf numFmtId="0" fontId="99" fillId="38" borderId="0" xfId="0" applyFont="1" applyFill="1" applyBorder="1" applyAlignment="1">
      <alignment horizontal="left" vertical="center" wrapText="1" indent="1"/>
    </xf>
    <xf numFmtId="0" fontId="169" fillId="26" borderId="104" xfId="0" applyFont="1" applyFill="1" applyBorder="1" applyAlignment="1" applyProtection="1">
      <alignment horizontal="left" vertical="top" wrapText="1"/>
      <protection locked="0"/>
    </xf>
    <xf numFmtId="0" fontId="169" fillId="26" borderId="125" xfId="0" applyFont="1" applyFill="1" applyBorder="1" applyAlignment="1" applyProtection="1">
      <alignment horizontal="left" vertical="top" wrapText="1"/>
      <protection locked="0"/>
    </xf>
    <xf numFmtId="0" fontId="169" fillId="26" borderId="123" xfId="0" applyFont="1" applyFill="1" applyBorder="1" applyAlignment="1" applyProtection="1">
      <alignment horizontal="left" vertical="top" wrapText="1"/>
      <protection locked="0"/>
    </xf>
    <xf numFmtId="0" fontId="155" fillId="38" borderId="0" xfId="0" applyFont="1" applyFill="1" applyBorder="1" applyAlignment="1">
      <alignment horizontal="left" wrapText="1"/>
    </xf>
    <xf numFmtId="0" fontId="104" fillId="26" borderId="95" xfId="0" applyFont="1" applyFill="1" applyBorder="1" applyAlignment="1">
      <alignment horizontal="left" vertical="top"/>
    </xf>
    <xf numFmtId="0" fontId="104" fillId="26" borderId="81" xfId="0" applyFont="1" applyFill="1" applyBorder="1" applyAlignment="1">
      <alignment horizontal="left" vertical="top"/>
    </xf>
    <xf numFmtId="0" fontId="104" fillId="26" borderId="96" xfId="0" applyFont="1" applyFill="1" applyBorder="1" applyAlignment="1">
      <alignment horizontal="left" vertical="top"/>
    </xf>
    <xf numFmtId="0" fontId="104" fillId="26" borderId="82" xfId="0" applyFont="1" applyFill="1" applyBorder="1" applyAlignment="1">
      <alignment horizontal="left" vertical="top"/>
    </xf>
    <xf numFmtId="0" fontId="104" fillId="26" borderId="0" xfId="0" applyFont="1" applyFill="1" applyBorder="1" applyAlignment="1">
      <alignment horizontal="left" vertical="top"/>
    </xf>
    <xf numFmtId="0" fontId="104" fillId="26" borderId="99" xfId="0" applyFont="1" applyFill="1" applyBorder="1" applyAlignment="1">
      <alignment horizontal="left" vertical="top"/>
    </xf>
    <xf numFmtId="0" fontId="104" fillId="26" borderId="97" xfId="0" applyFont="1" applyFill="1" applyBorder="1" applyAlignment="1">
      <alignment horizontal="left" vertical="top"/>
    </xf>
    <xf numFmtId="0" fontId="104" fillId="26" borderId="75" xfId="0" applyFont="1" applyFill="1" applyBorder="1" applyAlignment="1">
      <alignment horizontal="left" vertical="top"/>
    </xf>
    <xf numFmtId="0" fontId="104" fillId="26" borderId="98" xfId="0" applyFont="1" applyFill="1" applyBorder="1" applyAlignment="1">
      <alignment horizontal="left" vertical="top"/>
    </xf>
    <xf numFmtId="0" fontId="117" fillId="0" borderId="0" xfId="0" applyFont="1" applyFill="1" applyAlignment="1">
      <alignment horizontal="left" vertical="top" wrapText="1"/>
    </xf>
    <xf numFmtId="9" fontId="135" fillId="38" borderId="0" xfId="0" applyNumberFormat="1" applyFont="1" applyFill="1" applyBorder="1" applyAlignment="1">
      <alignment horizontal="center" vertical="center" wrapText="1"/>
    </xf>
    <xf numFmtId="0" fontId="134" fillId="0" borderId="0" xfId="0" applyFont="1" applyFill="1" applyBorder="1" applyAlignment="1">
      <alignment horizontal="center" vertical="center" wrapText="1"/>
    </xf>
    <xf numFmtId="0" fontId="121" fillId="0" borderId="0" xfId="0" applyFont="1" applyAlignment="1">
      <alignment horizontal="right" vertical="center"/>
    </xf>
    <xf numFmtId="0" fontId="104" fillId="0" borderId="0" xfId="0" applyFont="1" applyFill="1" applyBorder="1" applyAlignment="1">
      <alignment horizontal="left" vertical="center" wrapText="1"/>
    </xf>
    <xf numFmtId="0" fontId="103" fillId="0" borderId="0" xfId="0" applyFont="1" applyFill="1" applyAlignment="1">
      <alignment vertical="top" wrapText="1"/>
    </xf>
    <xf numFmtId="14" fontId="36" fillId="0" borderId="0" xfId="0" applyNumberFormat="1" applyFont="1" applyFill="1" applyBorder="1" applyAlignment="1">
      <alignment horizontal="left" vertical="top" wrapText="1"/>
    </xf>
    <xf numFmtId="0" fontId="104" fillId="0" borderId="0" xfId="0" applyFont="1" applyFill="1" applyAlignment="1">
      <alignment horizontal="left" vertical="center" wrapText="1"/>
    </xf>
    <xf numFmtId="0" fontId="135" fillId="38" borderId="0" xfId="0" applyFont="1" applyFill="1" applyBorder="1" applyAlignment="1">
      <alignment horizontal="center" vertical="center" wrapText="1"/>
    </xf>
    <xf numFmtId="0" fontId="68" fillId="0" borderId="47" xfId="0" applyFont="1" applyFill="1" applyBorder="1" applyAlignment="1" applyProtection="1">
      <alignment horizontal="left" vertical="center"/>
      <protection locked="0"/>
    </xf>
    <xf numFmtId="0" fontId="68" fillId="0" borderId="56" xfId="0" applyFont="1" applyFill="1" applyBorder="1" applyAlignment="1" applyProtection="1">
      <alignment horizontal="left" vertical="center"/>
      <protection locked="0"/>
    </xf>
    <xf numFmtId="0" fontId="68" fillId="0" borderId="53" xfId="0" applyFont="1" applyFill="1" applyBorder="1" applyAlignment="1" applyProtection="1">
      <alignment horizontal="left" vertical="center"/>
      <protection locked="0"/>
    </xf>
    <xf numFmtId="0" fontId="30" fillId="0" borderId="0" xfId="0" applyFont="1" applyFill="1" applyAlignment="1">
      <alignment horizontal="left" vertical="center" wrapText="1"/>
    </xf>
    <xf numFmtId="0" fontId="66" fillId="0" borderId="0" xfId="0" applyFont="1" applyFill="1" applyAlignment="1">
      <alignment horizontal="left" vertical="center" wrapText="1"/>
    </xf>
    <xf numFmtId="0" fontId="66" fillId="0" borderId="0" xfId="0" applyFont="1" applyFill="1" applyAlignment="1">
      <alignment horizontal="left" vertical="top" wrapText="1"/>
    </xf>
    <xf numFmtId="0" fontId="66" fillId="0" borderId="36" xfId="0" applyFont="1" applyFill="1" applyBorder="1" applyAlignment="1">
      <alignment horizontal="left" vertical="top" wrapText="1"/>
    </xf>
    <xf numFmtId="0" fontId="41" fillId="0" borderId="0" xfId="46" applyFont="1" applyAlignment="1" applyProtection="1">
      <alignment horizontal="left"/>
      <protection locked="0"/>
    </xf>
    <xf numFmtId="164" fontId="30" fillId="0" borderId="0" xfId="44" applyNumberFormat="1" applyFont="1" applyFill="1" applyBorder="1" applyAlignment="1" applyProtection="1">
      <alignment horizontal="right" vertical="center" wrapText="1"/>
      <protection locked="0"/>
    </xf>
    <xf numFmtId="0" fontId="30" fillId="0" borderId="0" xfId="0" applyFont="1" applyFill="1" applyBorder="1" applyAlignment="1" applyProtection="1">
      <alignment horizontal="right" vertical="center"/>
      <protection locked="0"/>
    </xf>
    <xf numFmtId="0" fontId="30" fillId="0" borderId="0" xfId="0" applyFont="1" applyFill="1" applyAlignment="1">
      <alignment horizontal="left" vertical="center"/>
    </xf>
    <xf numFmtId="0" fontId="80" fillId="0" borderId="10" xfId="46" applyFont="1" applyBorder="1" applyAlignment="1" applyProtection="1">
      <alignment horizontal="right" vertical="top"/>
    </xf>
    <xf numFmtId="0" fontId="0" fillId="26" borderId="14" xfId="0" applyFill="1" applyBorder="1" applyAlignment="1" applyProtection="1">
      <alignment horizontal="right" vertical="center" wrapText="1"/>
      <protection locked="0"/>
    </xf>
    <xf numFmtId="0" fontId="0" fillId="26" borderId="14" xfId="0" applyFill="1" applyBorder="1" applyAlignment="1" applyProtection="1">
      <alignment horizontal="right" vertical="center"/>
      <protection locked="0"/>
    </xf>
    <xf numFmtId="0" fontId="0" fillId="26" borderId="14" xfId="0" applyFont="1" applyFill="1" applyBorder="1" applyAlignment="1" applyProtection="1">
      <alignment horizontal="right" vertical="center"/>
      <protection locked="0"/>
    </xf>
    <xf numFmtId="9" fontId="68" fillId="22" borderId="49" xfId="40" applyFont="1" applyFill="1" applyBorder="1" applyAlignment="1" applyProtection="1">
      <alignment horizontal="right"/>
      <protection locked="0"/>
    </xf>
    <xf numFmtId="9" fontId="68" fillId="22" borderId="51" xfId="40" applyFont="1" applyFill="1" applyBorder="1" applyAlignment="1" applyProtection="1">
      <alignment horizontal="right"/>
      <protection locked="0"/>
    </xf>
    <xf numFmtId="0" fontId="68" fillId="22" borderId="47" xfId="0" applyFont="1" applyFill="1" applyBorder="1" applyAlignment="1" applyProtection="1">
      <alignment horizontal="center"/>
      <protection locked="0"/>
    </xf>
    <xf numFmtId="0" fontId="68" fillId="22" borderId="48" xfId="0" applyFont="1" applyFill="1" applyBorder="1" applyAlignment="1" applyProtection="1">
      <alignment horizontal="center"/>
      <protection locked="0"/>
    </xf>
    <xf numFmtId="9" fontId="68" fillId="22" borderId="50" xfId="40" applyFont="1" applyFill="1" applyBorder="1" applyAlignment="1" applyProtection="1">
      <alignment horizontal="right"/>
      <protection locked="0"/>
    </xf>
    <xf numFmtId="9" fontId="0" fillId="22" borderId="0" xfId="0" applyNumberFormat="1" applyFill="1" applyBorder="1" applyAlignment="1">
      <alignment horizontal="right"/>
    </xf>
    <xf numFmtId="9" fontId="68" fillId="22" borderId="49" xfId="40" applyFont="1" applyFill="1" applyBorder="1" applyAlignment="1" applyProtection="1">
      <alignment horizontal="right" vertical="center" wrapText="1"/>
      <protection locked="0"/>
    </xf>
    <xf numFmtId="9" fontId="68" fillId="22" borderId="50" xfId="40" applyFont="1" applyFill="1" applyBorder="1" applyAlignment="1" applyProtection="1">
      <alignment horizontal="right" vertical="center" wrapText="1"/>
      <protection locked="0"/>
    </xf>
    <xf numFmtId="9" fontId="68" fillId="22" borderId="51" xfId="40" applyFont="1" applyFill="1" applyBorder="1" applyAlignment="1" applyProtection="1">
      <alignment horizontal="right" vertical="center" wrapText="1"/>
      <protection locked="0"/>
    </xf>
    <xf numFmtId="0" fontId="71" fillId="22" borderId="0" xfId="46" applyFont="1" applyFill="1" applyAlignment="1" applyProtection="1">
      <alignment horizontal="left" vertical="top" wrapText="1" indent="1"/>
    </xf>
    <xf numFmtId="0" fontId="68" fillId="22" borderId="49" xfId="0" applyFont="1" applyFill="1" applyBorder="1" applyAlignment="1" applyProtection="1">
      <alignment horizontal="right"/>
      <protection locked="0"/>
    </xf>
    <xf numFmtId="0" fontId="68" fillId="22" borderId="51" xfId="0" applyFont="1" applyFill="1" applyBorder="1" applyAlignment="1" applyProtection="1">
      <alignment horizontal="right"/>
      <protection locked="0"/>
    </xf>
    <xf numFmtId="0" fontId="68" fillId="22" borderId="47" xfId="0" applyFont="1" applyFill="1" applyBorder="1" applyAlignment="1" applyProtection="1">
      <alignment horizontal="right"/>
      <protection locked="0"/>
    </xf>
    <xf numFmtId="0" fontId="68" fillId="22" borderId="53" xfId="0" applyFont="1" applyFill="1" applyBorder="1" applyAlignment="1" applyProtection="1">
      <alignment horizontal="right"/>
      <protection locked="0"/>
    </xf>
    <xf numFmtId="0" fontId="54" fillId="22" borderId="57" xfId="46" applyFont="1" applyFill="1" applyBorder="1" applyAlignment="1" applyProtection="1">
      <alignment horizontal="left" vertical="center" indent="2"/>
    </xf>
    <xf numFmtId="0" fontId="54" fillId="22" borderId="0" xfId="46" applyFont="1" applyFill="1" applyBorder="1" applyAlignment="1" applyProtection="1">
      <alignment horizontal="left" vertical="center" indent="2"/>
    </xf>
    <xf numFmtId="0" fontId="54" fillId="22" borderId="23" xfId="46" applyFont="1" applyFill="1" applyBorder="1" applyAlignment="1" applyProtection="1">
      <alignment horizontal="left" vertical="center" indent="2"/>
    </xf>
    <xf numFmtId="0" fontId="41" fillId="0" borderId="0" xfId="46" applyFont="1" applyAlignment="1" applyProtection="1">
      <alignment horizontal="left"/>
    </xf>
    <xf numFmtId="169" fontId="68" fillId="22" borderId="49" xfId="28" applyNumberFormat="1" applyFont="1" applyFill="1" applyBorder="1" applyAlignment="1" applyProtection="1">
      <alignment horizontal="right"/>
      <protection locked="0"/>
    </xf>
    <xf numFmtId="169" fontId="68" fillId="22" borderId="51" xfId="28" applyNumberFormat="1" applyFont="1" applyFill="1" applyBorder="1" applyAlignment="1" applyProtection="1">
      <alignment horizontal="right"/>
      <protection locked="0"/>
    </xf>
    <xf numFmtId="169" fontId="68" fillId="22" borderId="49" xfId="28" applyNumberFormat="1" applyFont="1" applyFill="1" applyBorder="1" applyAlignment="1">
      <alignment horizontal="right"/>
    </xf>
    <xf numFmtId="169" fontId="68" fillId="22" borderId="51" xfId="28" applyNumberFormat="1" applyFont="1" applyFill="1" applyBorder="1" applyAlignment="1">
      <alignment horizontal="right"/>
    </xf>
    <xf numFmtId="9" fontId="63" fillId="22" borderId="0" xfId="0" applyNumberFormat="1" applyFont="1" applyFill="1" applyBorder="1" applyAlignment="1" applyProtection="1">
      <alignment horizontal="right"/>
      <protection locked="0"/>
    </xf>
    <xf numFmtId="165" fontId="68" fillId="22" borderId="49" xfId="0" applyNumberFormat="1" applyFont="1" applyFill="1" applyBorder="1" applyAlignment="1">
      <alignment horizontal="right"/>
    </xf>
    <xf numFmtId="165" fontId="68" fillId="22" borderId="51" xfId="0" applyNumberFormat="1" applyFont="1" applyFill="1" applyBorder="1" applyAlignment="1">
      <alignment horizontal="right"/>
    </xf>
    <xf numFmtId="0" fontId="57" fillId="22" borderId="0" xfId="0" applyFont="1" applyFill="1" applyAlignment="1">
      <alignment horizontal="left" vertical="center" wrapText="1"/>
    </xf>
    <xf numFmtId="0" fontId="57" fillId="22" borderId="25" xfId="0" applyFont="1" applyFill="1" applyBorder="1" applyAlignment="1">
      <alignment horizontal="left" vertical="center" wrapText="1"/>
    </xf>
    <xf numFmtId="0" fontId="45" fillId="22" borderId="0" xfId="0" applyFont="1" applyFill="1" applyBorder="1" applyAlignment="1">
      <alignment horizontal="left" vertical="center"/>
    </xf>
    <xf numFmtId="0" fontId="45" fillId="22" borderId="0" xfId="0" applyFont="1" applyFill="1" applyBorder="1" applyAlignment="1">
      <alignment horizontal="left" vertical="center" wrapText="1"/>
    </xf>
    <xf numFmtId="0" fontId="68" fillId="22" borderId="0" xfId="0" applyFont="1" applyFill="1" applyBorder="1" applyAlignment="1">
      <alignment horizontal="center" wrapText="1"/>
    </xf>
    <xf numFmtId="0" fontId="48" fillId="21" borderId="20" xfId="0" applyFont="1" applyFill="1" applyBorder="1" applyAlignment="1">
      <alignment wrapText="1"/>
    </xf>
    <xf numFmtId="0" fontId="48" fillId="21" borderId="21" xfId="0" applyFont="1" applyFill="1" applyBorder="1" applyAlignment="1">
      <alignment wrapText="1"/>
    </xf>
    <xf numFmtId="0" fontId="72" fillId="22" borderId="0" xfId="0" applyFont="1" applyFill="1" applyAlignment="1">
      <alignment horizontal="left" vertical="center" wrapText="1" indent="1" readingOrder="1"/>
    </xf>
    <xf numFmtId="0" fontId="57" fillId="22" borderId="0" xfId="0" applyFont="1" applyFill="1" applyBorder="1" applyAlignment="1">
      <alignment horizontal="left" vertical="center" wrapText="1" indent="1"/>
    </xf>
    <xf numFmtId="0" fontId="57" fillId="22" borderId="23" xfId="0" applyFont="1" applyFill="1" applyBorder="1" applyAlignment="1">
      <alignment horizontal="left" vertical="center" wrapText="1" indent="1"/>
    </xf>
    <xf numFmtId="0" fontId="78" fillId="22" borderId="0" xfId="0" applyFont="1" applyFill="1" applyBorder="1" applyAlignment="1">
      <alignment horizontal="left" vertical="top" wrapText="1"/>
    </xf>
    <xf numFmtId="0" fontId="0" fillId="26" borderId="63" xfId="0" applyFill="1" applyBorder="1" applyAlignment="1" applyProtection="1">
      <alignment horizontal="center" vertical="center"/>
      <protection locked="0"/>
    </xf>
    <xf numFmtId="0" fontId="0" fillId="26" borderId="64" xfId="0" applyFill="1" applyBorder="1" applyAlignment="1" applyProtection="1">
      <alignment horizontal="center" vertical="center"/>
      <protection locked="0"/>
    </xf>
    <xf numFmtId="0" fontId="0" fillId="26" borderId="65" xfId="0" applyFill="1" applyBorder="1" applyAlignment="1" applyProtection="1">
      <alignment horizontal="center" vertical="center"/>
      <protection locked="0"/>
    </xf>
    <xf numFmtId="0" fontId="41" fillId="0" borderId="69" xfId="46" applyFont="1" applyBorder="1" applyAlignment="1" applyProtection="1">
      <alignment horizontal="left"/>
    </xf>
    <xf numFmtId="0" fontId="79" fillId="22" borderId="25" xfId="46" applyFont="1" applyFill="1" applyBorder="1" applyAlignment="1" applyProtection="1">
      <alignment horizontal="left"/>
    </xf>
    <xf numFmtId="0" fontId="79" fillId="22" borderId="26" xfId="46" applyFont="1" applyFill="1" applyBorder="1" applyAlignment="1" applyProtection="1">
      <alignment horizontal="left"/>
    </xf>
    <xf numFmtId="0" fontId="0" fillId="22" borderId="0" xfId="0" applyFill="1" applyBorder="1" applyAlignment="1">
      <alignment horizontal="left" vertical="top" wrapText="1"/>
    </xf>
    <xf numFmtId="0" fontId="0" fillId="22" borderId="25" xfId="0" applyFill="1" applyBorder="1" applyAlignment="1">
      <alignment horizontal="left" vertical="top" wrapText="1"/>
    </xf>
    <xf numFmtId="0" fontId="82" fillId="22" borderId="0" xfId="0" applyFont="1" applyFill="1" applyBorder="1" applyAlignment="1">
      <alignment horizontal="left" vertical="center" wrapText="1" indent="3"/>
    </xf>
    <xf numFmtId="0" fontId="82" fillId="22" borderId="23" xfId="0" applyFont="1" applyFill="1" applyBorder="1" applyAlignment="1">
      <alignment horizontal="left" vertical="center" wrapText="1" indent="3"/>
    </xf>
    <xf numFmtId="0" fontId="79" fillId="20" borderId="44" xfId="46" applyFont="1" applyFill="1" applyBorder="1" applyAlignment="1" applyProtection="1">
      <alignment horizontal="left"/>
    </xf>
    <xf numFmtId="0" fontId="79" fillId="20" borderId="45" xfId="46" applyFont="1" applyFill="1" applyBorder="1" applyAlignment="1" applyProtection="1">
      <alignment horizontal="left"/>
    </xf>
    <xf numFmtId="0" fontId="57" fillId="20" borderId="0" xfId="0" applyFont="1" applyFill="1" applyBorder="1" applyAlignment="1">
      <alignment horizontal="left" vertical="center" wrapText="1" indent="1"/>
    </xf>
    <xf numFmtId="0" fontId="57" fillId="20" borderId="42" xfId="0" applyFont="1" applyFill="1" applyBorder="1" applyAlignment="1">
      <alignment horizontal="left" vertical="center" wrapText="1" indent="1"/>
    </xf>
    <xf numFmtId="0" fontId="45" fillId="20" borderId="0" xfId="0" applyFont="1" applyFill="1" applyBorder="1" applyAlignment="1">
      <alignment horizontal="right" vertical="center"/>
    </xf>
    <xf numFmtId="0" fontId="45" fillId="20" borderId="42" xfId="0" applyFont="1" applyFill="1" applyBorder="1" applyAlignment="1">
      <alignment horizontal="right" vertical="center"/>
    </xf>
    <xf numFmtId="0" fontId="45" fillId="20" borderId="0" xfId="0" applyFont="1" applyFill="1" applyBorder="1" applyAlignment="1">
      <alignment horizontal="left" vertical="center"/>
    </xf>
    <xf numFmtId="0" fontId="68" fillId="20" borderId="47" xfId="0" applyFont="1" applyFill="1" applyBorder="1" applyAlignment="1" applyProtection="1">
      <alignment horizontal="left"/>
      <protection locked="0"/>
    </xf>
    <xf numFmtId="0" fontId="68" fillId="20" borderId="53" xfId="0" applyFont="1" applyFill="1" applyBorder="1" applyAlignment="1" applyProtection="1">
      <alignment horizontal="left"/>
      <protection locked="0"/>
    </xf>
    <xf numFmtId="0" fontId="45" fillId="20" borderId="0" xfId="0" applyFont="1" applyFill="1" applyBorder="1" applyAlignment="1">
      <alignment horizontal="left" vertical="center" wrapText="1"/>
    </xf>
    <xf numFmtId="0" fontId="73" fillId="20" borderId="0" xfId="0" applyFont="1" applyFill="1" applyAlignment="1">
      <alignment horizontal="left" wrapText="1" indent="1" readingOrder="1"/>
    </xf>
    <xf numFmtId="0" fontId="68" fillId="20" borderId="47" xfId="0" applyFont="1" applyFill="1" applyBorder="1" applyAlignment="1" applyProtection="1">
      <alignment horizontal="center"/>
      <protection locked="0"/>
    </xf>
    <xf numFmtId="0" fontId="68" fillId="20" borderId="54" xfId="0" applyFont="1" applyFill="1" applyBorder="1" applyAlignment="1" applyProtection="1">
      <alignment horizontal="center"/>
      <protection locked="0"/>
    </xf>
    <xf numFmtId="0" fontId="71" fillId="20" borderId="0" xfId="46" applyFont="1" applyFill="1" applyBorder="1" applyAlignment="1" applyProtection="1">
      <alignment horizontal="left" vertical="top" wrapText="1" indent="1"/>
    </xf>
    <xf numFmtId="0" fontId="71" fillId="20" borderId="44" xfId="46" applyFont="1" applyFill="1" applyBorder="1" applyAlignment="1" applyProtection="1">
      <alignment horizontal="left" vertical="top" wrapText="1" indent="1"/>
    </xf>
    <xf numFmtId="0" fontId="76" fillId="20" borderId="0" xfId="0" applyFont="1" applyFill="1" applyBorder="1" applyAlignment="1">
      <alignment horizontal="left" vertical="top" wrapText="1"/>
    </xf>
    <xf numFmtId="0" fontId="76" fillId="20" borderId="0" xfId="0" applyFont="1" applyFill="1" applyBorder="1" applyAlignment="1">
      <alignment horizontal="left" vertical="top" wrapText="1" indent="2"/>
    </xf>
    <xf numFmtId="0" fontId="78" fillId="20" borderId="57" xfId="0" applyFont="1" applyFill="1" applyBorder="1" applyAlignment="1">
      <alignment horizontal="left" vertical="center" wrapText="1" indent="2"/>
    </xf>
    <xf numFmtId="0" fontId="78" fillId="20" borderId="0" xfId="0" applyFont="1" applyFill="1" applyBorder="1" applyAlignment="1">
      <alignment horizontal="left" vertical="center" wrapText="1" indent="2"/>
    </xf>
    <xf numFmtId="0" fontId="78" fillId="20" borderId="42" xfId="0" applyFont="1" applyFill="1" applyBorder="1" applyAlignment="1">
      <alignment horizontal="left" vertical="center" wrapText="1" indent="2"/>
    </xf>
    <xf numFmtId="0" fontId="82" fillId="20" borderId="0" xfId="0" applyFont="1" applyFill="1" applyBorder="1" applyAlignment="1">
      <alignment horizontal="left" vertical="center" wrapText="1" indent="3"/>
    </xf>
    <xf numFmtId="0" fontId="82" fillId="20" borderId="42" xfId="0" applyFont="1" applyFill="1" applyBorder="1" applyAlignment="1">
      <alignment horizontal="left" vertical="center" wrapText="1" indent="3"/>
    </xf>
    <xf numFmtId="9" fontId="68" fillId="20" borderId="47" xfId="40" applyFont="1" applyFill="1" applyBorder="1" applyAlignment="1" applyProtection="1">
      <alignment horizontal="right"/>
      <protection locked="0"/>
    </xf>
    <xf numFmtId="0" fontId="68" fillId="20" borderId="56" xfId="0" applyFont="1" applyFill="1" applyBorder="1" applyAlignment="1" applyProtection="1">
      <alignment horizontal="right"/>
      <protection locked="0"/>
    </xf>
    <xf numFmtId="0" fontId="68" fillId="20" borderId="53" xfId="0" applyFont="1" applyFill="1" applyBorder="1" applyAlignment="1" applyProtection="1">
      <alignment horizontal="right"/>
      <protection locked="0"/>
    </xf>
    <xf numFmtId="169" fontId="68" fillId="20" borderId="47" xfId="0" applyNumberFormat="1" applyFont="1" applyFill="1" applyBorder="1" applyAlignment="1">
      <alignment horizontal="right"/>
    </xf>
    <xf numFmtId="169" fontId="68" fillId="20" borderId="53" xfId="0" applyNumberFormat="1" applyFont="1" applyFill="1" applyBorder="1" applyAlignment="1">
      <alignment horizontal="right"/>
    </xf>
    <xf numFmtId="0" fontId="68" fillId="20" borderId="47" xfId="0" applyFont="1" applyFill="1" applyBorder="1" applyAlignment="1" applyProtection="1">
      <alignment horizontal="right"/>
      <protection locked="0"/>
    </xf>
    <xf numFmtId="9" fontId="68" fillId="20" borderId="53" xfId="40" applyFont="1" applyFill="1" applyBorder="1" applyAlignment="1" applyProtection="1">
      <alignment horizontal="right"/>
      <protection locked="0"/>
    </xf>
    <xf numFmtId="9" fontId="64" fillId="20" borderId="0" xfId="40" applyFont="1" applyFill="1" applyBorder="1" applyAlignment="1" applyProtection="1">
      <alignment horizontal="right"/>
      <protection locked="0"/>
    </xf>
    <xf numFmtId="2" fontId="68" fillId="20" borderId="47" xfId="0" applyNumberFormat="1" applyFont="1" applyFill="1" applyBorder="1" applyAlignment="1">
      <alignment horizontal="right"/>
    </xf>
    <xf numFmtId="2" fontId="68" fillId="20" borderId="53" xfId="0" applyNumberFormat="1" applyFont="1" applyFill="1" applyBorder="1" applyAlignment="1">
      <alignment horizontal="right"/>
    </xf>
    <xf numFmtId="169" fontId="68" fillId="20" borderId="47" xfId="28" applyNumberFormat="1" applyFont="1" applyFill="1" applyBorder="1" applyAlignment="1">
      <alignment horizontal="right"/>
    </xf>
    <xf numFmtId="169" fontId="68" fillId="20" borderId="53" xfId="28" applyNumberFormat="1" applyFont="1" applyFill="1" applyBorder="1" applyAlignment="1">
      <alignment horizontal="right"/>
    </xf>
    <xf numFmtId="169" fontId="68" fillId="20" borderId="47" xfId="0" applyNumberFormat="1" applyFont="1" applyFill="1" applyBorder="1" applyAlignment="1" applyProtection="1">
      <alignment horizontal="right"/>
      <protection locked="0"/>
    </xf>
    <xf numFmtId="169" fontId="68" fillId="20" borderId="53" xfId="0" applyNumberFormat="1" applyFont="1" applyFill="1" applyBorder="1" applyAlignment="1" applyProtection="1">
      <alignment horizontal="right"/>
      <protection locked="0"/>
    </xf>
    <xf numFmtId="0" fontId="27" fillId="0" borderId="0" xfId="0" applyFont="1" applyFill="1" applyBorder="1" applyAlignment="1">
      <alignment horizontal="center" vertical="center" wrapText="1"/>
    </xf>
    <xf numFmtId="9" fontId="68" fillId="20" borderId="56" xfId="40" applyFont="1" applyFill="1" applyBorder="1" applyAlignment="1" applyProtection="1">
      <alignment horizontal="right"/>
      <protection locked="0"/>
    </xf>
    <xf numFmtId="9" fontId="0" fillId="20" borderId="0" xfId="0" applyNumberFormat="1" applyFill="1" applyBorder="1" applyAlignment="1">
      <alignment horizontal="right"/>
    </xf>
    <xf numFmtId="0" fontId="68" fillId="20" borderId="0" xfId="0" applyFont="1" applyFill="1" applyBorder="1" applyAlignment="1">
      <alignment horizontal="center"/>
    </xf>
    <xf numFmtId="0" fontId="68" fillId="20" borderId="0" xfId="0" applyFont="1" applyFill="1" applyBorder="1" applyAlignment="1">
      <alignment horizontal="center" vertical="center" wrapText="1"/>
    </xf>
    <xf numFmtId="0" fontId="68" fillId="20" borderId="47" xfId="0" applyFont="1" applyFill="1" applyBorder="1" applyAlignment="1" applyProtection="1">
      <alignment horizontal="right" vertical="center" wrapText="1"/>
      <protection locked="0"/>
    </xf>
    <xf numFmtId="0" fontId="68" fillId="20" borderId="53" xfId="0" applyFont="1" applyFill="1" applyBorder="1" applyAlignment="1" applyProtection="1">
      <alignment horizontal="right" vertical="center" wrapText="1"/>
      <protection locked="0"/>
    </xf>
    <xf numFmtId="0" fontId="0" fillId="0" borderId="0" xfId="0" applyAlignment="1">
      <alignment horizontal="left"/>
    </xf>
    <xf numFmtId="0" fontId="0" fillId="20" borderId="0" xfId="0" applyFill="1" applyBorder="1" applyAlignment="1">
      <alignment horizontal="left" vertical="top" wrapText="1"/>
    </xf>
    <xf numFmtId="0" fontId="0" fillId="20" borderId="44" xfId="0" applyFill="1" applyBorder="1" applyAlignment="1">
      <alignment horizontal="left" vertical="top" wrapText="1"/>
    </xf>
    <xf numFmtId="0" fontId="54" fillId="20" borderId="57" xfId="46" applyFont="1" applyFill="1" applyBorder="1" applyAlignment="1" applyProtection="1">
      <alignment horizontal="left" vertical="center" indent="2"/>
    </xf>
    <xf numFmtId="0" fontId="54" fillId="20" borderId="0" xfId="46" applyFont="1" applyFill="1" applyBorder="1" applyAlignment="1" applyProtection="1">
      <alignment horizontal="left" vertical="center" indent="2"/>
    </xf>
    <xf numFmtId="0" fontId="54" fillId="20" borderId="42" xfId="46" applyFont="1" applyFill="1" applyBorder="1" applyAlignment="1" applyProtection="1">
      <alignment horizontal="left" vertical="center" indent="2"/>
    </xf>
    <xf numFmtId="3" fontId="20" fillId="0" borderId="0" xfId="0" applyNumberFormat="1" applyFont="1" applyAlignment="1" applyProtection="1">
      <alignment horizontal="center"/>
    </xf>
    <xf numFmtId="3" fontId="51" fillId="0" borderId="0" xfId="0" applyNumberFormat="1" applyFont="1" applyFill="1" applyBorder="1" applyAlignment="1">
      <alignment horizontal="center"/>
    </xf>
    <xf numFmtId="3" fontId="50" fillId="24" borderId="0" xfId="0" applyNumberFormat="1" applyFont="1" applyFill="1" applyBorder="1" applyAlignment="1">
      <alignment horizontal="center"/>
    </xf>
    <xf numFmtId="0" fontId="54" fillId="22" borderId="27" xfId="46" applyFont="1" applyFill="1" applyBorder="1" applyAlignment="1" applyProtection="1">
      <alignment horizontal="center" vertical="center"/>
    </xf>
    <xf numFmtId="0" fontId="0" fillId="32" borderId="62" xfId="0" applyNumberFormat="1" applyFill="1" applyBorder="1" applyAlignment="1" applyProtection="1">
      <alignment horizontal="left"/>
    </xf>
    <xf numFmtId="0" fontId="53" fillId="31" borderId="18" xfId="0" applyFont="1" applyFill="1" applyBorder="1" applyAlignment="1" applyProtection="1">
      <alignment horizontal="center" vertical="center" wrapText="1"/>
    </xf>
    <xf numFmtId="0" fontId="53" fillId="31" borderId="10" xfId="0" applyFont="1" applyFill="1" applyBorder="1" applyAlignment="1" applyProtection="1">
      <alignment horizontal="center" vertical="center" wrapText="1"/>
    </xf>
    <xf numFmtId="0" fontId="53" fillId="31" borderId="19" xfId="0" applyFont="1" applyFill="1" applyBorder="1" applyAlignment="1" applyProtection="1">
      <alignment horizontal="center" vertical="center" wrapText="1"/>
    </xf>
    <xf numFmtId="0" fontId="53" fillId="29" borderId="70" xfId="0" applyFont="1" applyFill="1" applyBorder="1" applyAlignment="1" applyProtection="1">
      <alignment horizontal="center" vertical="center" wrapText="1"/>
    </xf>
    <xf numFmtId="0" fontId="53" fillId="29" borderId="71" xfId="0" applyFont="1" applyFill="1" applyBorder="1" applyAlignment="1" applyProtection="1">
      <alignment horizontal="center" vertical="center" wrapText="1"/>
    </xf>
    <xf numFmtId="0" fontId="53" fillId="21" borderId="14" xfId="0" applyFont="1" applyFill="1" applyBorder="1" applyAlignment="1" applyProtection="1">
      <alignment horizontal="center" vertical="center" wrapText="1"/>
    </xf>
    <xf numFmtId="0" fontId="54" fillId="32" borderId="62" xfId="46" applyFont="1" applyFill="1" applyBorder="1" applyAlignment="1" applyProtection="1">
      <alignment horizontal="left" vertical="center"/>
    </xf>
    <xf numFmtId="0" fontId="54" fillId="32" borderId="61" xfId="46" applyFont="1" applyFill="1" applyBorder="1" applyAlignment="1" applyProtection="1">
      <alignment horizontal="left" vertical="center"/>
    </xf>
    <xf numFmtId="0" fontId="91" fillId="22" borderId="31" xfId="46" applyFont="1" applyFill="1" applyBorder="1" applyAlignment="1" applyProtection="1">
      <alignment horizontal="left"/>
    </xf>
    <xf numFmtId="169" fontId="0" fillId="26" borderId="18" xfId="28" applyNumberFormat="1" applyFont="1" applyFill="1" applyBorder="1" applyAlignment="1" applyProtection="1">
      <alignment horizontal="right" indent="1"/>
      <protection locked="0"/>
    </xf>
    <xf numFmtId="169" fontId="0" fillId="26" borderId="19" xfId="28" applyNumberFormat="1" applyFont="1" applyFill="1" applyBorder="1" applyAlignment="1" applyProtection="1">
      <alignment horizontal="right" indent="1"/>
      <protection locked="0"/>
    </xf>
    <xf numFmtId="0" fontId="81" fillId="24" borderId="0" xfId="0" applyFont="1" applyFill="1" applyAlignment="1">
      <alignment horizontal="center" vertical="center"/>
    </xf>
    <xf numFmtId="3" fontId="51" fillId="0" borderId="0" xfId="0" applyNumberFormat="1" applyFont="1" applyFill="1" applyAlignment="1" applyProtection="1">
      <alignment horizontal="center"/>
    </xf>
    <xf numFmtId="0" fontId="54" fillId="0" borderId="0" xfId="46" applyFont="1" applyBorder="1" applyAlignment="1" applyProtection="1">
      <alignment horizontal="left"/>
    </xf>
    <xf numFmtId="0" fontId="41" fillId="0" borderId="0" xfId="46" applyFont="1" applyBorder="1" applyAlignment="1" applyProtection="1">
      <alignment horizontal="left" vertical="center"/>
    </xf>
    <xf numFmtId="0" fontId="41" fillId="0" borderId="0" xfId="46" applyFont="1" applyAlignment="1" applyProtection="1">
      <alignment horizontal="left" vertical="center"/>
    </xf>
    <xf numFmtId="0" fontId="31" fillId="0" borderId="18" xfId="0" applyFont="1" applyBorder="1" applyAlignment="1">
      <alignment horizontal="center"/>
    </xf>
    <xf numFmtId="0" fontId="31" fillId="0" borderId="19" xfId="0" applyFont="1" applyBorder="1" applyAlignment="1">
      <alignment horizontal="center"/>
    </xf>
    <xf numFmtId="0" fontId="31" fillId="0" borderId="52" xfId="0" applyFont="1" applyBorder="1" applyAlignment="1">
      <alignment horizontal="center"/>
    </xf>
    <xf numFmtId="0" fontId="0" fillId="34" borderId="18" xfId="0" applyFill="1" applyBorder="1" applyAlignment="1">
      <alignment horizontal="center"/>
    </xf>
    <xf numFmtId="0" fontId="0" fillId="34" borderId="10" xfId="0" applyFill="1" applyBorder="1" applyAlignment="1">
      <alignment horizontal="center"/>
    </xf>
    <xf numFmtId="0" fontId="0" fillId="34" borderId="19" xfId="0" applyFill="1" applyBorder="1" applyAlignment="1">
      <alignment horizontal="center"/>
    </xf>
    <xf numFmtId="0" fontId="0" fillId="34" borderId="18" xfId="0" applyFill="1" applyBorder="1" applyAlignment="1" applyProtection="1">
      <alignment horizontal="center"/>
    </xf>
    <xf numFmtId="0" fontId="0" fillId="34" borderId="10" xfId="0" applyFont="1" applyFill="1" applyBorder="1" applyAlignment="1" applyProtection="1">
      <alignment horizontal="center"/>
    </xf>
    <xf numFmtId="0" fontId="0" fillId="34" borderId="19" xfId="0" applyFont="1" applyFill="1" applyBorder="1" applyAlignment="1" applyProtection="1">
      <alignment horizontal="center"/>
    </xf>
    <xf numFmtId="0" fontId="0" fillId="28" borderId="18" xfId="0" applyFill="1" applyBorder="1" applyAlignment="1">
      <alignment horizontal="center"/>
    </xf>
    <xf numFmtId="0" fontId="0" fillId="28" borderId="10" xfId="0" applyFill="1" applyBorder="1" applyAlignment="1">
      <alignment horizontal="center"/>
    </xf>
    <xf numFmtId="0" fontId="0" fillId="28" borderId="19" xfId="0" applyFill="1" applyBorder="1" applyAlignment="1">
      <alignment horizontal="center"/>
    </xf>
    <xf numFmtId="0" fontId="0" fillId="28" borderId="18" xfId="0" applyFill="1" applyBorder="1" applyAlignment="1" applyProtection="1">
      <alignment horizontal="center"/>
    </xf>
    <xf numFmtId="0" fontId="0" fillId="28" borderId="10" xfId="0" applyFont="1" applyFill="1" applyBorder="1" applyAlignment="1" applyProtection="1">
      <alignment horizontal="center"/>
    </xf>
    <xf numFmtId="0" fontId="0" fillId="28" borderId="19" xfId="0" applyFont="1" applyFill="1" applyBorder="1" applyAlignment="1" applyProtection="1">
      <alignment horizontal="center"/>
    </xf>
    <xf numFmtId="0" fontId="0" fillId="33" borderId="18" xfId="0" applyFill="1" applyBorder="1" applyAlignment="1">
      <alignment horizontal="center"/>
    </xf>
    <xf numFmtId="0" fontId="0" fillId="33" borderId="10" xfId="0" applyFill="1" applyBorder="1" applyAlignment="1">
      <alignment horizontal="center"/>
    </xf>
    <xf numFmtId="0" fontId="0" fillId="33" borderId="19" xfId="0" applyFill="1" applyBorder="1" applyAlignment="1">
      <alignment horizontal="center"/>
    </xf>
    <xf numFmtId="0" fontId="0" fillId="33" borderId="18" xfId="0" applyFill="1" applyBorder="1" applyAlignment="1" applyProtection="1">
      <alignment horizontal="center"/>
    </xf>
    <xf numFmtId="0" fontId="0" fillId="33" borderId="10" xfId="0" applyFont="1" applyFill="1" applyBorder="1" applyAlignment="1" applyProtection="1">
      <alignment horizontal="center"/>
    </xf>
    <xf numFmtId="0" fontId="0" fillId="33" borderId="19" xfId="0" applyFont="1" applyFill="1" applyBorder="1" applyAlignment="1" applyProtection="1">
      <alignment horizontal="center"/>
    </xf>
    <xf numFmtId="0" fontId="121" fillId="0" borderId="0" xfId="0" applyFont="1" applyFill="1" applyBorder="1" applyAlignment="1">
      <alignment horizontal="right" vertical="top"/>
    </xf>
    <xf numFmtId="0" fontId="0" fillId="0" borderId="0" xfId="0" applyAlignment="1" applyProtection="1">
      <alignment horizontal="left" vertical="center" wrapText="1"/>
    </xf>
    <xf numFmtId="0" fontId="0" fillId="0" borderId="0" xfId="0" applyFont="1" applyAlignment="1" applyProtection="1">
      <alignment horizontal="left" vertical="center" wrapText="1"/>
    </xf>
    <xf numFmtId="0" fontId="0" fillId="0" borderId="0" xfId="0" applyAlignment="1" applyProtection="1">
      <alignment horizontal="left" wrapText="1"/>
    </xf>
    <xf numFmtId="0" fontId="0" fillId="0" borderId="0" xfId="0" applyFont="1" applyAlignment="1" applyProtection="1">
      <alignment horizontal="left" wrapText="1"/>
    </xf>
    <xf numFmtId="0" fontId="156" fillId="0" borderId="0" xfId="0" applyFont="1" applyAlignment="1" applyProtection="1">
      <alignment horizontal="left" vertical="center" wrapText="1"/>
    </xf>
    <xf numFmtId="0" fontId="93" fillId="47" borderId="104" xfId="0" applyFont="1" applyFill="1" applyBorder="1" applyAlignment="1">
      <alignment horizontal="center" wrapText="1"/>
    </xf>
    <xf numFmtId="0" fontId="93" fillId="47" borderId="125" xfId="0" applyFont="1" applyFill="1" applyBorder="1" applyAlignment="1">
      <alignment horizontal="center" wrapText="1"/>
    </xf>
    <xf numFmtId="0" fontId="93" fillId="47" borderId="123" xfId="0" applyFont="1" applyFill="1" applyBorder="1" applyAlignment="1">
      <alignment horizontal="center" wrapText="1"/>
    </xf>
    <xf numFmtId="0" fontId="93" fillId="41" borderId="78" xfId="0" applyFont="1" applyFill="1" applyBorder="1" applyAlignment="1" applyProtection="1">
      <alignment horizontal="center" wrapText="1"/>
    </xf>
    <xf numFmtId="0" fontId="25" fillId="0" borderId="0" xfId="0" applyFont="1" applyAlignment="1" applyProtection="1">
      <alignment horizontal="left" vertical="center" wrapText="1"/>
    </xf>
    <xf numFmtId="0" fontId="170" fillId="0" borderId="81" xfId="0" applyFont="1" applyBorder="1" applyAlignment="1" applyProtection="1">
      <alignment horizontal="center" wrapText="1"/>
    </xf>
  </cellXfs>
  <cellStyles count="57">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Comma" xfId="44" builtinId="3"/>
    <cellStyle name="Comma 2" xfId="47"/>
    <cellStyle name="Currency" xfId="28" builtinId="4"/>
    <cellStyle name="Currency 2" xfId="50"/>
    <cellStyle name="Currency 2 2" xfId="51"/>
    <cellStyle name="Explanatory Text 2" xfId="29"/>
    <cellStyle name="Good 2" xfId="30"/>
    <cellStyle name="Heading 1 2" xfId="31"/>
    <cellStyle name="Heading 2 2" xfId="32"/>
    <cellStyle name="Heading 3 2" xfId="33"/>
    <cellStyle name="Heading 4 2" xfId="34"/>
    <cellStyle name="Hyperlink" xfId="46" builtinId="8"/>
    <cellStyle name="Hyperlink 2" xfId="49"/>
    <cellStyle name="Hyperlink 3" xfId="56"/>
    <cellStyle name="Input 2" xfId="35"/>
    <cellStyle name="Linked Cell 2" xfId="36"/>
    <cellStyle name="Neutral 2" xfId="37"/>
    <cellStyle name="Normal" xfId="0" builtinId="0"/>
    <cellStyle name="Normal 2" xfId="52"/>
    <cellStyle name="Normal 3" xfId="48"/>
    <cellStyle name="Normal 3 2" xfId="53"/>
    <cellStyle name="Normal 4" xfId="54"/>
    <cellStyle name="Normal_FRANK_SS" xfId="45"/>
    <cellStyle name="Note 2" xfId="38"/>
    <cellStyle name="Output 2" xfId="39"/>
    <cellStyle name="Percent" xfId="40" builtinId="5"/>
    <cellStyle name="Percent 2" xfId="55"/>
    <cellStyle name="Title 2" xfId="41"/>
    <cellStyle name="Total 2" xfId="42"/>
    <cellStyle name="Warning Text 2" xfId="43"/>
  </cellStyles>
  <dxfs count="105">
    <dxf>
      <fill>
        <patternFill>
          <bgColor theme="1" tint="0.499984740745262"/>
        </patternFill>
      </fill>
    </dxf>
    <dxf>
      <fill>
        <patternFill>
          <bgColor rgb="FFFFC7CE"/>
        </patternFill>
      </fill>
    </dxf>
    <dxf>
      <font>
        <color theme="0" tint="-0.24994659260841701"/>
      </font>
      <fill>
        <patternFill>
          <bgColor theme="0" tint="-0.24994659260841701"/>
        </patternFill>
      </fill>
    </dxf>
    <dxf>
      <numFmt numFmtId="2" formatCode="0.00"/>
    </dxf>
    <dxf>
      <numFmt numFmtId="2" formatCode="0.00"/>
    </dxf>
    <dxf>
      <numFmt numFmtId="2" formatCode="0.00"/>
    </dxf>
    <dxf>
      <font>
        <color theme="1"/>
      </font>
      <fill>
        <patternFill>
          <bgColor theme="4" tint="0.39994506668294322"/>
        </patternFill>
      </fill>
      <border>
        <left style="thin">
          <color theme="1"/>
        </left>
        <right style="thin">
          <color theme="1"/>
        </right>
        <top style="thin">
          <color theme="1"/>
        </top>
        <bottom style="thin">
          <color theme="1"/>
        </bottom>
        <vertical/>
        <horizontal/>
      </border>
    </dxf>
    <dxf>
      <font>
        <color theme="1"/>
      </font>
      <fill>
        <patternFill>
          <bgColor rgb="FFFFFFCC"/>
        </patternFill>
      </fill>
      <border>
        <left style="thin">
          <color theme="1"/>
        </left>
        <right style="thin">
          <color theme="1"/>
        </right>
        <top style="thin">
          <color theme="1"/>
        </top>
        <bottom style="thin">
          <color theme="1"/>
        </bottom>
        <vertical/>
        <horizontal/>
      </border>
    </dxf>
    <dxf>
      <font>
        <color theme="1"/>
      </font>
      <fill>
        <patternFill>
          <bgColor theme="4" tint="0.39994506668294322"/>
        </patternFill>
      </fill>
      <border>
        <left style="thin">
          <color theme="1"/>
        </left>
        <right style="thin">
          <color theme="1"/>
        </right>
        <top style="thin">
          <color theme="1"/>
        </top>
        <bottom style="thin">
          <color theme="1"/>
        </bottom>
        <vertical/>
        <horizontal/>
      </border>
    </dxf>
    <dxf>
      <font>
        <color theme="1"/>
      </font>
      <fill>
        <patternFill>
          <bgColor theme="4" tint="0.39994506668294322"/>
        </patternFill>
      </fill>
      <border>
        <left style="thin">
          <color theme="1"/>
        </left>
        <right style="thin">
          <color theme="1"/>
        </right>
        <top style="thin">
          <color theme="1"/>
        </top>
        <bottom style="thin">
          <color theme="1"/>
        </bottom>
        <vertical/>
        <horizontal/>
      </border>
    </dxf>
    <dxf>
      <font>
        <color theme="1"/>
      </font>
      <fill>
        <patternFill>
          <bgColor theme="4" tint="0.39994506668294322"/>
        </patternFill>
      </fill>
      <border>
        <left style="thin">
          <color theme="1"/>
        </left>
        <right style="thin">
          <color theme="1"/>
        </right>
        <top style="thin">
          <color theme="1"/>
        </top>
        <bottom style="thin">
          <color theme="1"/>
        </bottom>
        <vertical/>
        <horizontal/>
      </border>
    </dxf>
    <dxf>
      <font>
        <color theme="1"/>
      </font>
      <fill>
        <patternFill>
          <bgColor rgb="FFFFFFCC"/>
        </patternFill>
      </fill>
      <border>
        <left style="thin">
          <color theme="1"/>
        </left>
        <right style="thin">
          <color theme="1"/>
        </right>
        <top style="thin">
          <color theme="1"/>
        </top>
        <bottom style="thin">
          <color theme="1"/>
        </bottom>
        <vertical/>
        <horizontal/>
      </border>
    </dxf>
    <dxf>
      <font>
        <color theme="1"/>
      </font>
      <fill>
        <patternFill>
          <bgColor theme="4" tint="0.39994506668294322"/>
        </patternFill>
      </fill>
      <border>
        <left style="thin">
          <color theme="1"/>
        </left>
        <right style="thin">
          <color theme="1"/>
        </right>
        <top style="thin">
          <color theme="1"/>
        </top>
        <bottom style="thin">
          <color theme="1"/>
        </bottom>
        <vertical/>
        <horizontal/>
      </border>
    </dxf>
    <dxf>
      <font>
        <color theme="1"/>
      </font>
      <fill>
        <patternFill>
          <bgColor rgb="FFFFFFCC"/>
        </patternFill>
      </fill>
      <border>
        <left style="thin">
          <color theme="1"/>
        </left>
        <right style="thin">
          <color theme="1"/>
        </right>
        <top style="thin">
          <color theme="1"/>
        </top>
        <bottom style="thin">
          <color theme="1"/>
        </bottom>
        <vertical/>
        <horizontal/>
      </border>
    </dxf>
    <dxf>
      <font>
        <color theme="1"/>
      </font>
      <fill>
        <patternFill>
          <bgColor theme="4" tint="0.39994506668294322"/>
        </patternFill>
      </fill>
      <border>
        <left style="thin">
          <color auto="1"/>
        </left>
        <right style="thin">
          <color auto="1"/>
        </right>
        <top style="thin">
          <color auto="1"/>
        </top>
        <bottom style="thin">
          <color auto="1"/>
        </bottom>
        <vertical/>
        <horizontal/>
      </border>
    </dxf>
    <dxf>
      <font>
        <color theme="1"/>
      </font>
      <fill>
        <patternFill>
          <bgColor rgb="FFFFFFCC"/>
        </patternFill>
      </fill>
      <border>
        <left style="thin">
          <color auto="1"/>
        </left>
        <right style="thin">
          <color auto="1"/>
        </right>
        <top style="thin">
          <color auto="1"/>
        </top>
        <bottom style="thin">
          <color auto="1"/>
        </bottom>
        <vertical/>
        <horizontal/>
      </border>
    </dxf>
    <dxf>
      <font>
        <color theme="1"/>
      </font>
      <fill>
        <patternFill>
          <bgColor rgb="FFFFFFCC"/>
        </patternFill>
      </fill>
      <border>
        <left style="thin">
          <color theme="1"/>
        </left>
        <right style="thin">
          <color theme="1"/>
        </right>
        <top style="thin">
          <color theme="1"/>
        </top>
        <bottom style="thin">
          <color theme="1"/>
        </bottom>
        <vertical/>
        <horizontal/>
      </border>
    </dxf>
    <dxf>
      <font>
        <color rgb="FFFF0000"/>
      </font>
    </dxf>
    <dxf>
      <font>
        <color rgb="FFFF0000"/>
      </font>
    </dxf>
    <dxf>
      <font>
        <color rgb="FFFF0000"/>
      </font>
    </dxf>
    <dxf>
      <font>
        <color rgb="FFFF0000"/>
      </font>
    </dxf>
    <dxf>
      <font>
        <color rgb="FFFF0000"/>
      </font>
    </dxf>
    <dxf>
      <font>
        <color theme="1"/>
      </font>
    </dxf>
    <dxf>
      <font>
        <color theme="1"/>
      </font>
    </dxf>
    <dxf>
      <font>
        <b/>
        <i/>
        <color rgb="FFFF0000"/>
      </font>
    </dxf>
    <dxf>
      <font>
        <color theme="1"/>
      </font>
    </dxf>
    <dxf>
      <font>
        <color theme="1"/>
      </font>
    </dxf>
    <dxf>
      <font>
        <color theme="1"/>
      </font>
    </dxf>
    <dxf>
      <font>
        <color theme="1"/>
      </font>
    </dxf>
    <dxf>
      <font>
        <color rgb="FF0000FF"/>
      </font>
    </dxf>
    <dxf>
      <font>
        <color theme="1"/>
      </font>
    </dxf>
    <dxf>
      <font>
        <color theme="1"/>
      </font>
    </dxf>
    <dxf>
      <font>
        <color theme="1"/>
      </font>
      <fill>
        <patternFill>
          <bgColor rgb="FFFFFFCC"/>
        </patternFill>
      </fill>
      <border>
        <left style="thin">
          <color auto="1"/>
        </left>
        <right style="thin">
          <color auto="1"/>
        </right>
        <top style="thin">
          <color auto="1"/>
        </top>
        <bottom style="thin">
          <color auto="1"/>
        </bottom>
      </border>
    </dxf>
    <dxf>
      <font>
        <color theme="1"/>
      </font>
    </dxf>
    <dxf>
      <font>
        <color theme="1"/>
      </font>
    </dxf>
    <dxf>
      <font>
        <color theme="1"/>
      </font>
    </dxf>
    <dxf>
      <font>
        <color theme="1"/>
      </font>
    </dxf>
    <dxf>
      <font>
        <color theme="1"/>
      </font>
    </dxf>
    <dxf>
      <font>
        <color theme="1"/>
      </font>
      <fill>
        <patternFill>
          <bgColor rgb="FFFFFFCC"/>
        </patternFill>
      </fill>
      <border>
        <left style="thin">
          <color auto="1"/>
        </left>
        <right style="thin">
          <color auto="1"/>
        </right>
        <top style="thin">
          <color auto="1"/>
        </top>
        <bottom style="thin">
          <color auto="1"/>
        </bottom>
      </border>
    </dxf>
    <dxf>
      <font>
        <color theme="1"/>
      </font>
    </dxf>
    <dxf>
      <font>
        <color theme="1"/>
      </font>
      <fill>
        <patternFill>
          <bgColor rgb="FFFFFFCC"/>
        </patternFill>
      </fill>
      <border>
        <left style="thin">
          <color auto="1"/>
        </left>
        <right style="thin">
          <color auto="1"/>
        </right>
        <top style="thin">
          <color auto="1"/>
        </top>
        <bottom style="thin">
          <color auto="1"/>
        </bottom>
        <vertical/>
        <horizontal/>
      </border>
    </dxf>
    <dxf>
      <font>
        <color theme="1"/>
      </font>
    </dxf>
    <dxf>
      <font>
        <color rgb="FFFF0000"/>
      </font>
    </dxf>
    <dxf>
      <font>
        <color theme="1"/>
      </font>
      <fill>
        <patternFill>
          <bgColor theme="4" tint="0.79998168889431442"/>
        </patternFill>
      </fill>
    </dxf>
    <dxf>
      <font>
        <color theme="1"/>
      </font>
      <fill>
        <patternFill>
          <bgColor theme="6" tint="0.39994506668294322"/>
        </patternFill>
      </fill>
      <border>
        <left style="thin">
          <color auto="1"/>
        </left>
        <right style="thin">
          <color auto="1"/>
        </right>
        <top style="thin">
          <color auto="1"/>
        </top>
        <bottom style="thin">
          <color auto="1"/>
        </bottom>
        <vertical/>
        <horizontal/>
      </border>
    </dxf>
    <dxf>
      <font>
        <color theme="1"/>
      </font>
      <fill>
        <patternFill>
          <bgColor rgb="FFFFFFCC"/>
        </patternFill>
      </fill>
      <border>
        <left style="thin">
          <color auto="1"/>
        </left>
        <right style="thin">
          <color auto="1"/>
        </right>
        <top style="thin">
          <color auto="1"/>
        </top>
        <bottom style="thin">
          <color auto="1"/>
        </bottom>
        <vertical/>
        <horizontal/>
      </border>
    </dxf>
    <dxf>
      <font>
        <color theme="1"/>
      </font>
      <fill>
        <patternFill>
          <bgColor rgb="FFFFFFCC"/>
        </patternFill>
      </fill>
      <border>
        <left style="thin">
          <color auto="1"/>
        </left>
        <right style="thin">
          <color auto="1"/>
        </right>
        <top style="thin">
          <color auto="1"/>
        </top>
        <bottom style="thin">
          <color auto="1"/>
        </bottom>
        <vertical/>
        <horizontal/>
      </border>
    </dxf>
    <dxf>
      <font>
        <color theme="1"/>
      </font>
      <fill>
        <patternFill>
          <bgColor theme="6" tint="0.39994506668294322"/>
        </patternFill>
      </fill>
      <border>
        <left style="thin">
          <color auto="1"/>
        </left>
        <right style="thin">
          <color auto="1"/>
        </right>
        <top style="thin">
          <color auto="1"/>
        </top>
        <bottom style="thin">
          <color auto="1"/>
        </bottom>
        <vertical/>
        <horizontal/>
      </border>
    </dxf>
    <dxf>
      <font>
        <color theme="1"/>
      </font>
      <fill>
        <patternFill>
          <bgColor rgb="FFFFFFCC"/>
        </patternFill>
      </fill>
      <border>
        <left style="thin">
          <color auto="1"/>
        </left>
        <right style="thin">
          <color auto="1"/>
        </right>
        <top style="thin">
          <color auto="1"/>
        </top>
        <bottom style="thin">
          <color auto="1"/>
        </bottom>
        <vertical/>
        <horizontal/>
      </border>
    </dxf>
    <dxf>
      <font>
        <color theme="1"/>
      </font>
      <fill>
        <patternFill>
          <bgColor theme="6" tint="0.39994506668294322"/>
        </patternFill>
      </fill>
      <border>
        <left style="thin">
          <color auto="1"/>
        </left>
        <right style="thin">
          <color auto="1"/>
        </right>
        <top style="thin">
          <color auto="1"/>
        </top>
        <bottom style="thin">
          <color auto="1"/>
        </bottom>
        <vertical/>
        <horizontal/>
      </border>
    </dxf>
    <dxf>
      <font>
        <color theme="1"/>
      </font>
      <fill>
        <patternFill>
          <bgColor theme="6" tint="0.39994506668294322"/>
        </patternFill>
      </fill>
      <border>
        <left style="thin">
          <color auto="1"/>
        </left>
        <right style="thin">
          <color auto="1"/>
        </right>
        <top style="thin">
          <color auto="1"/>
        </top>
        <bottom style="thin">
          <color auto="1"/>
        </bottom>
        <vertical/>
        <horizontal/>
      </border>
    </dxf>
    <dxf>
      <font>
        <color theme="1"/>
      </font>
      <fill>
        <patternFill>
          <bgColor rgb="FFFFFFCC"/>
        </patternFill>
      </fill>
      <border>
        <left style="thin">
          <color auto="1"/>
        </left>
        <right style="thin">
          <color auto="1"/>
        </right>
        <top style="thin">
          <color auto="1"/>
        </top>
        <bottom style="thin">
          <color auto="1"/>
        </bottom>
        <vertical/>
        <horizontal/>
      </border>
    </dxf>
    <dxf>
      <font>
        <color theme="1"/>
      </font>
      <fill>
        <patternFill>
          <bgColor rgb="FFFFFFCC"/>
        </patternFill>
      </fill>
      <border>
        <left style="thin">
          <color auto="1"/>
        </left>
        <right style="thin">
          <color auto="1"/>
        </right>
        <top style="thin">
          <color auto="1"/>
        </top>
        <bottom style="thin">
          <color auto="1"/>
        </bottom>
        <vertical/>
        <horizontal/>
      </border>
    </dxf>
    <dxf>
      <font>
        <color auto="1"/>
      </font>
      <fill>
        <patternFill>
          <bgColor theme="6" tint="0.39994506668294322"/>
        </patternFill>
      </fill>
      <border>
        <left style="thin">
          <color auto="1"/>
        </left>
        <right style="thin">
          <color auto="1"/>
        </right>
        <top style="thin">
          <color auto="1"/>
        </top>
        <bottom style="thin">
          <color auto="1"/>
        </bottom>
        <vertical/>
        <horizontal/>
      </border>
    </dxf>
    <dxf>
      <font>
        <color rgb="FF0000FF"/>
      </font>
    </dxf>
    <dxf>
      <font>
        <color theme="1"/>
      </font>
      <fill>
        <patternFill>
          <bgColor theme="6" tint="0.39994506668294322"/>
        </patternFill>
      </fill>
      <border>
        <left style="thin">
          <color auto="1"/>
        </left>
        <right style="thin">
          <color auto="1"/>
        </right>
        <top style="thin">
          <color auto="1"/>
        </top>
        <bottom style="thin">
          <color auto="1"/>
        </bottom>
        <vertical/>
        <horizontal/>
      </border>
    </dxf>
    <dxf>
      <font>
        <color theme="1"/>
      </font>
      <fill>
        <patternFill>
          <bgColor theme="6" tint="0.39994506668294322"/>
        </patternFill>
      </fill>
      <border>
        <left style="thin">
          <color auto="1"/>
        </left>
        <right style="thin">
          <color auto="1"/>
        </right>
        <top style="thin">
          <color auto="1"/>
        </top>
        <bottom style="thin">
          <color auto="1"/>
        </bottom>
        <vertical/>
        <horizontal/>
      </border>
    </dxf>
    <dxf>
      <font>
        <color rgb="FFFF0000"/>
      </font>
    </dxf>
    <dxf>
      <font>
        <color theme="1"/>
      </font>
    </dxf>
    <dxf>
      <font>
        <color theme="1"/>
      </font>
    </dxf>
    <dxf>
      <font>
        <color theme="1"/>
      </font>
    </dxf>
    <dxf>
      <font>
        <color theme="1"/>
      </font>
    </dxf>
    <dxf>
      <font>
        <color theme="1"/>
      </font>
    </dxf>
    <dxf>
      <font>
        <color theme="1"/>
      </font>
    </dxf>
    <dxf>
      <font>
        <color rgb="FF0000FF"/>
      </font>
    </dxf>
    <dxf>
      <font>
        <color theme="1"/>
      </font>
    </dxf>
    <dxf>
      <font>
        <color theme="1"/>
      </font>
    </dxf>
    <dxf>
      <font>
        <color rgb="FF0000FF"/>
      </font>
    </dxf>
    <dxf>
      <font>
        <color theme="1"/>
      </font>
    </dxf>
    <dxf>
      <font>
        <color theme="1"/>
      </font>
      <fill>
        <patternFill>
          <bgColor rgb="FFFFFFCC"/>
        </patternFill>
      </fill>
      <border>
        <left style="thin">
          <color auto="1"/>
        </left>
        <right style="thin">
          <color auto="1"/>
        </right>
        <top style="thin">
          <color auto="1"/>
        </top>
        <bottom style="thin">
          <color auto="1"/>
        </bottom>
        <vertical/>
        <horizontal/>
      </border>
    </dxf>
    <dxf>
      <font>
        <color theme="1"/>
      </font>
    </dxf>
    <dxf>
      <font>
        <color theme="1"/>
      </font>
    </dxf>
    <dxf>
      <font>
        <color theme="1"/>
      </font>
    </dxf>
    <dxf>
      <font>
        <color theme="1"/>
      </font>
    </dxf>
    <dxf>
      <font>
        <color theme="1"/>
      </font>
    </dxf>
    <dxf>
      <font>
        <color theme="1"/>
      </font>
      <fill>
        <patternFill>
          <bgColor rgb="FFFFFFCC"/>
        </patternFill>
      </fill>
      <border>
        <left style="thin">
          <color auto="1"/>
        </left>
        <right style="thin">
          <color auto="1"/>
        </right>
        <top style="thin">
          <color auto="1"/>
        </top>
        <bottom style="thin">
          <color auto="1"/>
        </bottom>
        <vertical/>
        <horizontal/>
      </border>
    </dxf>
    <dxf>
      <font>
        <color theme="1"/>
      </font>
    </dxf>
    <dxf>
      <font>
        <color theme="1"/>
      </font>
      <fill>
        <patternFill>
          <bgColor rgb="FFFFFFCC"/>
        </patternFill>
      </fill>
      <border>
        <left style="thin">
          <color auto="1"/>
        </left>
        <right style="thin">
          <color auto="1"/>
        </right>
        <top style="thin">
          <color auto="1"/>
        </top>
        <bottom style="thin">
          <color auto="1"/>
        </bottom>
        <vertical/>
        <horizontal/>
      </border>
    </dxf>
    <dxf>
      <font>
        <color theme="1"/>
      </font>
    </dxf>
    <dxf>
      <font>
        <color rgb="FFFF0000"/>
      </font>
    </dxf>
    <dxf>
      <font>
        <color theme="1"/>
      </font>
      <fill>
        <patternFill>
          <bgColor theme="6" tint="0.79998168889431442"/>
        </patternFill>
      </fill>
    </dxf>
    <dxf>
      <font>
        <color theme="1"/>
      </font>
      <fill>
        <patternFill>
          <bgColor rgb="FFFFFFCC"/>
        </patternFill>
      </fill>
      <border>
        <left style="thin">
          <color theme="1"/>
        </left>
        <right style="thin">
          <color theme="1"/>
        </right>
        <top style="thin">
          <color theme="1"/>
        </top>
        <bottom style="thin">
          <color theme="1"/>
        </bottom>
        <vertical/>
        <horizontal/>
      </border>
    </dxf>
    <dxf>
      <font>
        <color theme="1"/>
      </font>
      <fill>
        <patternFill>
          <bgColor rgb="FFFFFFCC"/>
        </patternFill>
      </fill>
      <border>
        <left style="thin">
          <color auto="1"/>
        </left>
        <right style="thin">
          <color auto="1"/>
        </right>
        <top style="thin">
          <color auto="1"/>
        </top>
        <bottom style="thin">
          <color auto="1"/>
        </bottom>
        <vertical/>
        <horizontal/>
      </border>
    </dxf>
    <dxf>
      <font>
        <color theme="1"/>
      </font>
      <fill>
        <patternFill>
          <bgColor rgb="FFFFFFCC"/>
        </patternFill>
      </fill>
      <border>
        <left style="thin">
          <color auto="1"/>
        </left>
        <right style="thin">
          <color auto="1"/>
        </right>
        <top style="thin">
          <color auto="1"/>
        </top>
        <bottom style="thin">
          <color auto="1"/>
        </bottom>
        <vertical/>
        <horizontal/>
      </border>
    </dxf>
    <dxf>
      <font>
        <color theme="1"/>
      </font>
      <fill>
        <patternFill>
          <bgColor rgb="FFFFFFCC"/>
        </patternFill>
      </fill>
      <border>
        <left style="thin">
          <color auto="1"/>
        </left>
        <right style="thin">
          <color auto="1"/>
        </right>
        <top style="thin">
          <color auto="1"/>
        </top>
        <bottom style="thin">
          <color auto="1"/>
        </bottom>
        <vertical/>
        <horizontal/>
      </border>
    </dxf>
    <dxf>
      <font>
        <color theme="1"/>
      </font>
    </dxf>
    <dxf>
      <font>
        <color theme="1"/>
      </font>
    </dxf>
    <dxf>
      <font>
        <color theme="1"/>
      </font>
      <fill>
        <patternFill>
          <bgColor rgb="FFFFFFCC"/>
        </patternFill>
      </fill>
      <border>
        <left style="thin">
          <color auto="1"/>
        </left>
        <right style="thin">
          <color auto="1"/>
        </right>
        <top style="thin">
          <color auto="1"/>
        </top>
        <bottom style="thin">
          <color auto="1"/>
        </bottom>
      </border>
    </dxf>
    <dxf>
      <font>
        <color theme="1"/>
      </font>
    </dxf>
    <dxf>
      <font>
        <color theme="1"/>
      </font>
    </dxf>
    <dxf>
      <font>
        <color theme="1"/>
      </font>
    </dxf>
    <dxf>
      <font>
        <color theme="1"/>
      </font>
    </dxf>
    <dxf>
      <font>
        <color theme="0"/>
      </font>
    </dxf>
    <dxf>
      <font>
        <color theme="0"/>
      </font>
    </dxf>
    <dxf>
      <font>
        <color theme="0"/>
      </font>
    </dxf>
    <dxf>
      <fill>
        <patternFill>
          <bgColor rgb="FFFFFF66"/>
        </patternFill>
      </fill>
    </dxf>
    <dxf>
      <font>
        <b val="0"/>
        <i/>
        <color theme="0" tint="-0.499984740745262"/>
      </font>
      <fill>
        <patternFill>
          <bgColor rgb="FFFFFFCC"/>
        </patternFill>
      </fill>
      <border>
        <vertical/>
        <horizontal/>
      </border>
    </dxf>
    <dxf>
      <fill>
        <patternFill>
          <bgColor rgb="FFFFFFCC"/>
        </patternFill>
      </fill>
    </dxf>
    <dxf>
      <font>
        <b val="0"/>
        <i/>
        <color auto="1"/>
      </font>
      <fill>
        <patternFill>
          <bgColor rgb="FFFFFFCC"/>
        </patternFill>
      </fill>
    </dxf>
    <dxf>
      <font>
        <b val="0"/>
        <i/>
        <color auto="1"/>
      </font>
      <fill>
        <patternFill>
          <bgColor rgb="FFFFFFCC"/>
        </patternFill>
      </fill>
    </dxf>
    <dxf>
      <font>
        <b val="0"/>
        <i/>
        <color auto="1"/>
      </font>
      <fill>
        <patternFill>
          <bgColor rgb="FFFFFFCC"/>
        </patternFill>
      </fill>
    </dxf>
    <dxf>
      <font>
        <b val="0"/>
        <i/>
        <color auto="1"/>
      </font>
      <fill>
        <patternFill patternType="none">
          <bgColor auto="1"/>
        </patternFill>
      </fill>
    </dxf>
    <dxf>
      <font>
        <b val="0"/>
        <i/>
        <color auto="1"/>
      </font>
      <fill>
        <patternFill patternType="none">
          <bgColor auto="1"/>
        </patternFill>
      </fill>
    </dxf>
    <dxf>
      <font>
        <b val="0"/>
        <i/>
        <color auto="1"/>
      </font>
      <fill>
        <patternFill patternType="solid">
          <bgColor rgb="FFFFFFCC"/>
        </patternFill>
      </fill>
    </dxf>
    <dxf>
      <font>
        <color theme="1"/>
      </font>
    </dxf>
  </dxfs>
  <tableStyles count="0" defaultTableStyle="TableStyleMedium9" defaultPivotStyle="PivotStyleLight16"/>
  <colors>
    <mruColors>
      <color rgb="FFF4F2E8"/>
      <color rgb="FF547198"/>
      <color rgb="FF0000FF"/>
      <color rgb="FFFFFFCC"/>
      <color rgb="FFF7FCFF"/>
      <color rgb="FFE7F6FF"/>
      <color rgb="FFFFFFE7"/>
      <color rgb="FFFFFF99"/>
      <color rgb="FFECF1F8"/>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dPt>
            <c:idx val="0"/>
            <c:bubble3D val="0"/>
            <c:spPr>
              <a:solidFill>
                <a:schemeClr val="tx1">
                  <a:lumMod val="50000"/>
                  <a:lumOff val="50000"/>
                </a:schemeClr>
              </a:solidFill>
            </c:spPr>
          </c:dPt>
          <c:dPt>
            <c:idx val="1"/>
            <c:bubble3D val="0"/>
            <c:spPr>
              <a:solidFill>
                <a:schemeClr val="tx2">
                  <a:lumMod val="60000"/>
                  <a:lumOff val="40000"/>
                </a:schemeClr>
              </a:solidFill>
            </c:spPr>
          </c:dPt>
          <c:dPt>
            <c:idx val="2"/>
            <c:bubble3D val="0"/>
            <c:spPr>
              <a:solidFill>
                <a:schemeClr val="accent3"/>
              </a:solidFill>
            </c:spPr>
          </c:dPt>
          <c:dLbls>
            <c:delete val="1"/>
          </c:dLbls>
          <c:cat>
            <c:strRef>
              <c:f>Intro!$M$8:$M$10</c:f>
              <c:strCache>
                <c:ptCount val="3"/>
                <c:pt idx="0">
                  <c:v>Garbage</c:v>
                </c:pt>
                <c:pt idx="1">
                  <c:v>Recyclable</c:v>
                </c:pt>
                <c:pt idx="2">
                  <c:v>Compostable</c:v>
                </c:pt>
              </c:strCache>
            </c:strRef>
          </c:cat>
          <c:val>
            <c:numRef>
              <c:f>Intro!$N$8:$N$10</c:f>
              <c:numCache>
                <c:formatCode>0%</c:formatCode>
                <c:ptCount val="3"/>
                <c:pt idx="0">
                  <c:v>0.17</c:v>
                </c:pt>
                <c:pt idx="1">
                  <c:v>0.35</c:v>
                </c:pt>
                <c:pt idx="2">
                  <c:v>0.25</c:v>
                </c:pt>
              </c:numCache>
            </c:numRef>
          </c:val>
        </c:ser>
        <c:dLbls>
          <c:showLegendKey val="0"/>
          <c:showVal val="1"/>
          <c:showCatName val="1"/>
          <c:showSerName val="0"/>
          <c:showPercent val="0"/>
          <c:showBubbleSize val="0"/>
          <c:showLeaderLines val="1"/>
        </c:dLbls>
      </c:pie3DChart>
    </c:plotArea>
    <c:plotVisOnly val="0"/>
    <c:dispBlanksAs val="gap"/>
    <c:showDLblsOverMax val="0"/>
  </c:chart>
  <c:spPr>
    <a:noFill/>
    <a:ln>
      <a:noFill/>
    </a:ln>
  </c:spPr>
  <c:printSettings>
    <c:headerFooter/>
    <c:pageMargins b="0.75000000000000255" l="0.70000000000000062" r="0.70000000000000062" t="0.750000000000002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tx1">
                  <a:lumMod val="75000"/>
                  <a:lumOff val="25000"/>
                </a:schemeClr>
              </a:solidFill>
            </c:spPr>
          </c:dPt>
          <c:dPt>
            <c:idx val="1"/>
            <c:bubble3D val="0"/>
            <c:spPr>
              <a:solidFill>
                <a:schemeClr val="accent1"/>
              </a:solidFill>
            </c:spPr>
          </c:dPt>
          <c:dPt>
            <c:idx val="2"/>
            <c:bubble3D val="0"/>
            <c:spPr>
              <a:solidFill>
                <a:schemeClr val="accent3"/>
              </a:solidFill>
            </c:spPr>
          </c:dPt>
          <c:cat>
            <c:strRef>
              <c:f>calcs!$F$30:$F$32</c:f>
              <c:strCache>
                <c:ptCount val="3"/>
                <c:pt idx="0">
                  <c:v>Trash, 0%</c:v>
                </c:pt>
                <c:pt idx="1">
                  <c:v>Recyclables, 0%</c:v>
                </c:pt>
                <c:pt idx="2">
                  <c:v>Compostables, 0%</c:v>
                </c:pt>
              </c:strCache>
            </c:strRef>
          </c:cat>
          <c:val>
            <c:numRef>
              <c:f>calcs!$E$30:$E$32</c:f>
              <c:numCache>
                <c:formatCode>General</c:formatCode>
                <c:ptCount val="3"/>
                <c:pt idx="0">
                  <c:v>0</c:v>
                </c:pt>
                <c:pt idx="1">
                  <c:v>0</c:v>
                </c:pt>
                <c:pt idx="2">
                  <c:v>0</c:v>
                </c:pt>
              </c:numCache>
            </c:numRef>
          </c:val>
        </c:ser>
        <c:dLbls>
          <c:showLegendKey val="0"/>
          <c:showVal val="0"/>
          <c:showCatName val="0"/>
          <c:showSerName val="0"/>
          <c:showPercent val="0"/>
          <c:showBubbleSize val="0"/>
          <c:showLeaderLines val="1"/>
        </c:dLbls>
        <c:firstSliceAng val="0"/>
      </c:pieChart>
    </c:plotArea>
    <c:legend>
      <c:legendPos val="r"/>
      <c:layout>
        <c:manualLayout>
          <c:xMode val="edge"/>
          <c:yMode val="edge"/>
          <c:x val="0.62703069724980443"/>
          <c:y val="0.22293134895705041"/>
          <c:w val="0.35847654912701327"/>
          <c:h val="0.38923694916184975"/>
        </c:manualLayout>
      </c:layout>
      <c:overlay val="0"/>
      <c:txPr>
        <a:bodyPr/>
        <a:lstStyle/>
        <a:p>
          <a:pPr rtl="0">
            <a:defRPr sz="1000"/>
          </a:pPr>
          <a:endParaRPr lang="en-US"/>
        </a:p>
      </c:txPr>
    </c:legend>
    <c:plotVisOnly val="1"/>
    <c:dispBlanksAs val="gap"/>
    <c:showDLblsOverMax val="0"/>
  </c:chart>
  <c:spPr>
    <a:noFill/>
    <a:ln w="12700">
      <a:noFill/>
    </a:ln>
  </c:spPr>
  <c:printSettings>
    <c:headerFooter/>
    <c:pageMargins b="0.75000000000000244" l="0.70000000000000062" r="0.70000000000000062" t="0.7500000000000024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tx1">
                  <a:lumMod val="75000"/>
                  <a:lumOff val="25000"/>
                </a:schemeClr>
              </a:solidFill>
            </c:spPr>
          </c:dPt>
          <c:dPt>
            <c:idx val="1"/>
            <c:bubble3D val="0"/>
            <c:spPr>
              <a:solidFill>
                <a:schemeClr val="accent1"/>
              </a:solidFill>
            </c:spPr>
          </c:dPt>
          <c:dPt>
            <c:idx val="2"/>
            <c:bubble3D val="0"/>
            <c:spPr>
              <a:solidFill>
                <a:schemeClr val="accent3"/>
              </a:solidFill>
            </c:spPr>
          </c:dPt>
          <c:val>
            <c:numRef>
              <c:f>calcs!$G$30:$G$32</c:f>
              <c:numCache>
                <c:formatCode>General</c:formatCode>
                <c:ptCount val="3"/>
                <c:pt idx="0">
                  <c:v>0</c:v>
                </c:pt>
                <c:pt idx="1">
                  <c:v>0</c:v>
                </c:pt>
                <c:pt idx="2">
                  <c:v>0</c:v>
                </c:pt>
              </c:numCache>
            </c:numRef>
          </c:val>
        </c:ser>
        <c:dLbls>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printSettings>
    <c:headerFooter/>
    <c:pageMargins b="0.75000000000000244" l="0.70000000000000062" r="0.70000000000000062" t="0.750000000000002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tx1">
                  <a:lumMod val="75000"/>
                  <a:lumOff val="25000"/>
                </a:schemeClr>
              </a:solidFill>
            </c:spPr>
          </c:dPt>
          <c:dPt>
            <c:idx val="1"/>
            <c:bubble3D val="0"/>
            <c:spPr>
              <a:solidFill>
                <a:schemeClr val="accent1"/>
              </a:solidFill>
            </c:spPr>
          </c:dPt>
          <c:dPt>
            <c:idx val="2"/>
            <c:bubble3D val="0"/>
            <c:spPr>
              <a:solidFill>
                <a:schemeClr val="accent3"/>
              </a:solidFill>
            </c:spPr>
          </c:dPt>
          <c:val>
            <c:numRef>
              <c:f>calcs!$H$30:$H$32</c:f>
              <c:numCache>
                <c:formatCode>General</c:formatCode>
                <c:ptCount val="3"/>
                <c:pt idx="0">
                  <c:v>0</c:v>
                </c:pt>
                <c:pt idx="1">
                  <c:v>0</c:v>
                </c:pt>
                <c:pt idx="2">
                  <c:v>0</c:v>
                </c:pt>
              </c:numCache>
            </c:numRef>
          </c:val>
        </c:ser>
        <c:dLbls>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printSettings>
    <c:headerFooter/>
    <c:pageMargins b="0.75000000000000266" l="0.70000000000000062" r="0.70000000000000062" t="0.75000000000000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024574397427041"/>
          <c:y val="0.13935106493340668"/>
          <c:w val="0.37259592965287708"/>
          <c:h val="0.72129787013319002"/>
        </c:manualLayout>
      </c:layout>
      <c:pieChart>
        <c:varyColors val="1"/>
        <c:ser>
          <c:idx val="0"/>
          <c:order val="0"/>
          <c:dPt>
            <c:idx val="0"/>
            <c:bubble3D val="0"/>
            <c:spPr>
              <a:solidFill>
                <a:schemeClr val="tx1">
                  <a:lumMod val="75000"/>
                  <a:lumOff val="25000"/>
                </a:schemeClr>
              </a:solidFill>
            </c:spPr>
          </c:dPt>
          <c:dPt>
            <c:idx val="1"/>
            <c:bubble3D val="0"/>
            <c:spPr>
              <a:solidFill>
                <a:schemeClr val="accent1"/>
              </a:solidFill>
            </c:spPr>
          </c:dPt>
          <c:dPt>
            <c:idx val="2"/>
            <c:bubble3D val="0"/>
            <c:spPr>
              <a:solidFill>
                <a:schemeClr val="accent3"/>
              </a:solidFill>
            </c:spPr>
          </c:dPt>
          <c:val>
            <c:numRef>
              <c:f>calcs!$I$30:$I$32</c:f>
              <c:numCache>
                <c:formatCode>General</c:formatCode>
                <c:ptCount val="3"/>
                <c:pt idx="0">
                  <c:v>0</c:v>
                </c:pt>
                <c:pt idx="1">
                  <c:v>0</c:v>
                </c:pt>
                <c:pt idx="2">
                  <c:v>0</c:v>
                </c:pt>
              </c:numCache>
            </c:numRef>
          </c:val>
        </c:ser>
        <c:dLbls>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printSettings>
    <c:headerFooter/>
    <c:pageMargins b="0.75000000000000289" l="0.70000000000000062" r="0.70000000000000062" t="0.7500000000000028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100"/>
              <a:t>Total Tons of Trash</a:t>
            </a:r>
          </a:p>
        </c:rich>
      </c:tx>
      <c:overlay val="0"/>
    </c:title>
    <c:autoTitleDeleted val="0"/>
    <c:plotArea>
      <c:layout/>
      <c:barChart>
        <c:barDir val="col"/>
        <c:grouping val="clustered"/>
        <c:varyColors val="0"/>
        <c:ser>
          <c:idx val="0"/>
          <c:order val="0"/>
          <c:tx>
            <c:strRef>
              <c:f>'4.Future_Benefits '!$Y$26</c:f>
              <c:strCache>
                <c:ptCount val="1"/>
                <c:pt idx="0">
                  <c:v>Before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'4.Future_Benefits '!$Y$28</c:f>
              <c:numCache>
                <c:formatCode>0</c:formatCode>
                <c:ptCount val="1"/>
                <c:pt idx="0">
                  <c:v>0</c:v>
                </c:pt>
              </c:numCache>
            </c:numRef>
          </c:val>
        </c:ser>
        <c:ser>
          <c:idx val="1"/>
          <c:order val="1"/>
          <c:tx>
            <c:strRef>
              <c:f>'4.Future_Benefits '!$Z$26</c:f>
              <c:strCache>
                <c:ptCount val="1"/>
                <c:pt idx="0">
                  <c:v>After</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'4.Future_Benefits '!$Z$28</c:f>
              <c:numCache>
                <c:formatCode>0</c:formatCode>
                <c:ptCount val="1"/>
                <c:pt idx="0">
                  <c:v>0</c:v>
                </c:pt>
              </c:numCache>
            </c:numRef>
          </c:val>
        </c:ser>
        <c:dLbls>
          <c:showLegendKey val="0"/>
          <c:showVal val="0"/>
          <c:showCatName val="0"/>
          <c:showSerName val="0"/>
          <c:showPercent val="0"/>
          <c:showBubbleSize val="0"/>
        </c:dLbls>
        <c:gapWidth val="150"/>
        <c:overlap val="-15"/>
        <c:axId val="321084232"/>
        <c:axId val="324092352"/>
      </c:barChart>
      <c:catAx>
        <c:axId val="321084232"/>
        <c:scaling>
          <c:orientation val="minMax"/>
        </c:scaling>
        <c:delete val="1"/>
        <c:axPos val="b"/>
        <c:majorTickMark val="out"/>
        <c:minorTickMark val="none"/>
        <c:tickLblPos val="none"/>
        <c:crossAx val="324092352"/>
        <c:crosses val="autoZero"/>
        <c:auto val="1"/>
        <c:lblAlgn val="ctr"/>
        <c:lblOffset val="100"/>
        <c:noMultiLvlLbl val="0"/>
      </c:catAx>
      <c:valAx>
        <c:axId val="324092352"/>
        <c:scaling>
          <c:orientation val="minMax"/>
          <c:min val="0"/>
        </c:scaling>
        <c:delete val="0"/>
        <c:axPos val="l"/>
        <c:majorGridlines/>
        <c:title>
          <c:tx>
            <c:rich>
              <a:bodyPr rot="-5400000" vert="horz"/>
              <a:lstStyle/>
              <a:p>
                <a:pPr>
                  <a:defRPr/>
                </a:pPr>
                <a:r>
                  <a:rPr lang="en-US"/>
                  <a:t>Total Tons</a:t>
                </a:r>
              </a:p>
            </c:rich>
          </c:tx>
          <c:overlay val="0"/>
        </c:title>
        <c:numFmt formatCode="0" sourceLinked="1"/>
        <c:majorTickMark val="out"/>
        <c:minorTickMark val="none"/>
        <c:tickLblPos val="nextTo"/>
        <c:crossAx val="321084232"/>
        <c:crosses val="autoZero"/>
        <c:crossBetween val="between"/>
      </c:valAx>
    </c:plotArea>
    <c:legend>
      <c:legendPos val="b"/>
      <c:layout>
        <c:manualLayout>
          <c:xMode val="edge"/>
          <c:yMode val="edge"/>
          <c:x val="0.25242891808335288"/>
          <c:y val="0.8699865520343526"/>
          <c:w val="0.63826881014875125"/>
          <c:h val="8.3717191601050026E-2"/>
        </c:manualLayout>
      </c:layout>
      <c:overlay val="0"/>
    </c:legend>
    <c:plotVisOnly val="1"/>
    <c:dispBlanksAs val="gap"/>
    <c:showDLblsOverMax val="0"/>
  </c:chart>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US" sz="1100"/>
              <a:t>Total Cost*</a:t>
            </a:r>
          </a:p>
        </c:rich>
      </c:tx>
      <c:overlay val="0"/>
    </c:title>
    <c:autoTitleDeleted val="0"/>
    <c:plotArea>
      <c:layout/>
      <c:barChart>
        <c:barDir val="col"/>
        <c:grouping val="clustered"/>
        <c:varyColors val="0"/>
        <c:ser>
          <c:idx val="0"/>
          <c:order val="0"/>
          <c:tx>
            <c:strRef>
              <c:f>'4.Future_Benefits '!$Y$26</c:f>
              <c:strCache>
                <c:ptCount val="1"/>
                <c:pt idx="0">
                  <c:v>Before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'4.Future_Benefits '!$Y$29</c:f>
              <c:numCache>
                <c:formatCode>_("$"* #,##0_);_("$"* \(#,##0\);_("$"* "-"??_);_(@_)</c:formatCode>
                <c:ptCount val="1"/>
                <c:pt idx="0">
                  <c:v>0</c:v>
                </c:pt>
              </c:numCache>
            </c:numRef>
          </c:val>
        </c:ser>
        <c:ser>
          <c:idx val="1"/>
          <c:order val="1"/>
          <c:tx>
            <c:strRef>
              <c:f>'4.Future_Benefits '!$Z$26</c:f>
              <c:strCache>
                <c:ptCount val="1"/>
                <c:pt idx="0">
                  <c:v>After</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'4.Future_Benefits '!$Z$29</c:f>
              <c:numCache>
                <c:formatCode>_("$"* #,##0_);_("$"* \(#,##0\);_("$"* "-"??_);_(@_)</c:formatCode>
                <c:ptCount val="1"/>
                <c:pt idx="0">
                  <c:v>0</c:v>
                </c:pt>
              </c:numCache>
            </c:numRef>
          </c:val>
        </c:ser>
        <c:dLbls>
          <c:showLegendKey val="0"/>
          <c:showVal val="0"/>
          <c:showCatName val="0"/>
          <c:showSerName val="0"/>
          <c:showPercent val="0"/>
          <c:showBubbleSize val="0"/>
        </c:dLbls>
        <c:gapWidth val="150"/>
        <c:overlap val="-15"/>
        <c:axId val="321083840"/>
        <c:axId val="324093136"/>
      </c:barChart>
      <c:catAx>
        <c:axId val="321083840"/>
        <c:scaling>
          <c:orientation val="minMax"/>
        </c:scaling>
        <c:delete val="1"/>
        <c:axPos val="b"/>
        <c:majorTickMark val="out"/>
        <c:minorTickMark val="none"/>
        <c:tickLblPos val="none"/>
        <c:crossAx val="324093136"/>
        <c:crosses val="autoZero"/>
        <c:auto val="1"/>
        <c:lblAlgn val="ctr"/>
        <c:lblOffset val="100"/>
        <c:noMultiLvlLbl val="0"/>
      </c:catAx>
      <c:valAx>
        <c:axId val="324093136"/>
        <c:scaling>
          <c:orientation val="minMax"/>
          <c:min val="0"/>
        </c:scaling>
        <c:delete val="0"/>
        <c:axPos val="l"/>
        <c:majorGridlines/>
        <c:title>
          <c:tx>
            <c:rich>
              <a:bodyPr rot="-5400000" vert="horz"/>
              <a:lstStyle/>
              <a:p>
                <a:pPr>
                  <a:defRPr/>
                </a:pPr>
                <a:r>
                  <a:rPr lang="en-US"/>
                  <a:t>Total Cost</a:t>
                </a:r>
              </a:p>
            </c:rich>
          </c:tx>
          <c:overlay val="0"/>
        </c:title>
        <c:numFmt formatCode="_(&quot;$&quot;* #,##0_);_(&quot;$&quot;* \(#,##0\);_(&quot;$&quot;* &quot;-&quot;??_);_(@_)" sourceLinked="1"/>
        <c:majorTickMark val="out"/>
        <c:minorTickMark val="none"/>
        <c:tickLblPos val="nextTo"/>
        <c:crossAx val="321083840"/>
        <c:crosses val="autoZero"/>
        <c:crossBetween val="between"/>
      </c:valAx>
    </c:plotArea>
    <c:legend>
      <c:legendPos val="b"/>
      <c:layout>
        <c:manualLayout>
          <c:xMode val="edge"/>
          <c:yMode val="edge"/>
          <c:x val="0.30274338349215785"/>
          <c:y val="0.8699865520343526"/>
          <c:w val="0.63826881014875159"/>
          <c:h val="8.3717191601050026E-2"/>
        </c:manualLayout>
      </c:layout>
      <c:overlay val="0"/>
    </c:legend>
    <c:plotVisOnly val="1"/>
    <c:dispBlanksAs val="gap"/>
    <c:showDLblsOverMax val="0"/>
  </c:chart>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US" sz="1100"/>
              <a:t>Total Carbon</a:t>
            </a:r>
            <a:r>
              <a:rPr lang="en-US" sz="1100" baseline="0"/>
              <a:t> </a:t>
            </a:r>
            <a:r>
              <a:rPr lang="en-US" sz="1100"/>
              <a:t>Footprint</a:t>
            </a:r>
            <a:r>
              <a:rPr lang="en-US" sz="1100" baseline="0"/>
              <a:t> </a:t>
            </a:r>
            <a:r>
              <a:rPr lang="en-US" sz="1100"/>
              <a:t>Reductions</a:t>
            </a:r>
          </a:p>
        </c:rich>
      </c:tx>
      <c:overlay val="0"/>
    </c:title>
    <c:autoTitleDeleted val="0"/>
    <c:plotArea>
      <c:layout>
        <c:manualLayout>
          <c:layoutTarget val="inner"/>
          <c:xMode val="edge"/>
          <c:yMode val="edge"/>
          <c:x val="0.21112203916590541"/>
          <c:y val="0.19321760455618744"/>
          <c:w val="0.74110381864841512"/>
          <c:h val="0.62564760486020365"/>
        </c:manualLayout>
      </c:layout>
      <c:barChart>
        <c:barDir val="col"/>
        <c:grouping val="clustered"/>
        <c:varyColors val="0"/>
        <c:ser>
          <c:idx val="0"/>
          <c:order val="0"/>
          <c:tx>
            <c:strRef>
              <c:f>'4.Future_Benefits '!$Y$26</c:f>
              <c:strCache>
                <c:ptCount val="1"/>
                <c:pt idx="0">
                  <c:v>Before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'4.Future_Benefits '!$Y$30</c:f>
              <c:numCache>
                <c:formatCode>0</c:formatCode>
                <c:ptCount val="1"/>
                <c:pt idx="0">
                  <c:v>0</c:v>
                </c:pt>
              </c:numCache>
            </c:numRef>
          </c:val>
        </c:ser>
        <c:ser>
          <c:idx val="1"/>
          <c:order val="1"/>
          <c:tx>
            <c:strRef>
              <c:f>'4.Future_Benefits '!$Z$26</c:f>
              <c:strCache>
                <c:ptCount val="1"/>
                <c:pt idx="0">
                  <c:v>After</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'4.Future_Benefits '!$Z$30</c:f>
              <c:numCache>
                <c:formatCode>0</c:formatCode>
                <c:ptCount val="1"/>
                <c:pt idx="0">
                  <c:v>0</c:v>
                </c:pt>
              </c:numCache>
            </c:numRef>
          </c:val>
        </c:ser>
        <c:dLbls>
          <c:showLegendKey val="0"/>
          <c:showVal val="0"/>
          <c:showCatName val="0"/>
          <c:showSerName val="0"/>
          <c:showPercent val="0"/>
          <c:showBubbleSize val="0"/>
        </c:dLbls>
        <c:gapWidth val="150"/>
        <c:overlap val="-15"/>
        <c:axId val="324093920"/>
        <c:axId val="321497608"/>
      </c:barChart>
      <c:catAx>
        <c:axId val="324093920"/>
        <c:scaling>
          <c:orientation val="minMax"/>
        </c:scaling>
        <c:delete val="1"/>
        <c:axPos val="b"/>
        <c:majorTickMark val="out"/>
        <c:minorTickMark val="none"/>
        <c:tickLblPos val="none"/>
        <c:crossAx val="321497608"/>
        <c:crosses val="autoZero"/>
        <c:auto val="1"/>
        <c:lblAlgn val="ctr"/>
        <c:lblOffset val="100"/>
        <c:noMultiLvlLbl val="0"/>
      </c:catAx>
      <c:valAx>
        <c:axId val="321497608"/>
        <c:scaling>
          <c:orientation val="minMax"/>
          <c:max val="0"/>
        </c:scaling>
        <c:delete val="0"/>
        <c:axPos val="l"/>
        <c:majorGridlines/>
        <c:title>
          <c:tx>
            <c:rich>
              <a:bodyPr rot="-5400000" vert="horz"/>
              <a:lstStyle/>
              <a:p>
                <a:pPr>
                  <a:defRPr/>
                </a:pPr>
                <a:r>
                  <a:rPr lang="en-US"/>
                  <a:t>Total MT CO</a:t>
                </a:r>
                <a:r>
                  <a:rPr lang="en-US" baseline="-25000"/>
                  <a:t>2</a:t>
                </a:r>
                <a:r>
                  <a:rPr lang="en-US"/>
                  <a:t>e Reduced</a:t>
                </a:r>
              </a:p>
            </c:rich>
          </c:tx>
          <c:overlay val="0"/>
        </c:title>
        <c:numFmt formatCode="0" sourceLinked="1"/>
        <c:majorTickMark val="out"/>
        <c:minorTickMark val="none"/>
        <c:tickLblPos val="nextTo"/>
        <c:crossAx val="324093920"/>
        <c:crosses val="autoZero"/>
        <c:crossBetween val="between"/>
      </c:valAx>
    </c:plotArea>
    <c:legend>
      <c:legendPos val="b"/>
      <c:layout>
        <c:manualLayout>
          <c:xMode val="edge"/>
          <c:yMode val="edge"/>
          <c:x val="0.30274338349215785"/>
          <c:y val="0.8699865520343526"/>
          <c:w val="0.63826881014875192"/>
          <c:h val="8.3717191601050026E-2"/>
        </c:manualLayout>
      </c:layout>
      <c:overlay val="0"/>
    </c:legend>
    <c:plotVisOnly val="1"/>
    <c:dispBlanksAs val="gap"/>
    <c:showDLblsOverMax val="0"/>
  </c:chart>
  <c:printSettings>
    <c:headerFooter/>
    <c:pageMargins b="0.75000000000001465" l="0.70000000000000062" r="0.70000000000000062" t="0.75000000000001465" header="0.30000000000000032" footer="0.30000000000000032"/>
    <c:pageSetup/>
  </c:printSettings>
</c:chartSpace>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checked="Checked"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firstButton="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firstButton="1"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firstButton="1"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checked="Checked"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CheckBox" checked="Checked" fmlaLink="$W$29"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X$29" noThreeD="1"/>
</file>

<file path=xl/ctrlProps/ctrlProp31.xml><?xml version="1.0" encoding="utf-8"?>
<formControlPr xmlns="http://schemas.microsoft.com/office/spreadsheetml/2009/9/main" objectType="CheckBox" fmlaLink="$Y$29" lockText="1" noThreeD="1"/>
</file>

<file path=xl/ctrlProps/ctrlProp32.xml><?xml version="1.0" encoding="utf-8"?>
<formControlPr xmlns="http://schemas.microsoft.com/office/spreadsheetml/2009/9/main" objectType="GBox"/>
</file>

<file path=xl/ctrlProps/ctrlProp33.xml><?xml version="1.0" encoding="utf-8"?>
<formControlPr xmlns="http://schemas.microsoft.com/office/spreadsheetml/2009/9/main" objectType="Radio" firstButton="1" fmlaLink="$V$8" lockText="1" noThreeD="1"/>
</file>

<file path=xl/ctrlProps/ctrlProp34.xml><?xml version="1.0" encoding="utf-8"?>
<formControlPr xmlns="http://schemas.microsoft.com/office/spreadsheetml/2009/9/main" objectType="Radio" checked="Checked"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GBox"/>
</file>

<file path=xl/ctrlProps/ctrlProp37.xml><?xml version="1.0" encoding="utf-8"?>
<formControlPr xmlns="http://schemas.microsoft.com/office/spreadsheetml/2009/9/main" objectType="Radio" checked="Checked" firstButton="1" fmlaLink="$W$8"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GBox"/>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fmlaLink="$X$8" lockText="1" noThreeD="1"/>
</file>

<file path=xl/ctrlProps/ctrlProp41.xml><?xml version="1.0" encoding="utf-8"?>
<formControlPr xmlns="http://schemas.microsoft.com/office/spreadsheetml/2009/9/main" objectType="Radio" checked="Checked"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checked="Checked" firstButton="1" fmlaLink="$W$10"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GBox"/>
</file>

<file path=xl/ctrlProps/ctrlProp47.xml><?xml version="1.0" encoding="utf-8"?>
<formControlPr xmlns="http://schemas.microsoft.com/office/spreadsheetml/2009/9/main" objectType="GBox"/>
</file>

<file path=xl/ctrlProps/ctrlProp48.xml><?xml version="1.0" encoding="utf-8"?>
<formControlPr xmlns="http://schemas.microsoft.com/office/spreadsheetml/2009/9/main" objectType="GBox"/>
</file>

<file path=xl/ctrlProps/ctrlProp49.xml><?xml version="1.0" encoding="utf-8"?>
<formControlPr xmlns="http://schemas.microsoft.com/office/spreadsheetml/2009/9/main" objectType="Radio" checked="Checked" firstButton="1" fmlaLink="$Y$10" lockText="1" noThreeD="1"/>
</file>

<file path=xl/ctrlProps/ctrlProp5.xml><?xml version="1.0" encoding="utf-8"?>
<formControlPr xmlns="http://schemas.microsoft.com/office/spreadsheetml/2009/9/main" objectType="CheckBox" fmlaLink="$T$22"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checked="Checked" firstButton="1" fmlaLink="$X$10"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CheckBox" fmlaLink="$T$14" lockText="1" noThreeD="1"/>
</file>

<file path=xl/ctrlProps/ctrlProp54.xml><?xml version="1.0" encoding="utf-8"?>
<formControlPr xmlns="http://schemas.microsoft.com/office/spreadsheetml/2009/9/main" objectType="CheckBox" fmlaLink="$U$14" lockText="1" noThreeD="1"/>
</file>

<file path=xl/ctrlProps/ctrlProp55.xml><?xml version="1.0" encoding="utf-8"?>
<formControlPr xmlns="http://schemas.microsoft.com/office/spreadsheetml/2009/9/main" objectType="CheckBox" fmlaLink="$V$14" lockText="1" noThreeD="1"/>
</file>

<file path=xl/ctrlProps/ctrlProp6.xml><?xml version="1.0" encoding="utf-8"?>
<formControlPr xmlns="http://schemas.microsoft.com/office/spreadsheetml/2009/9/main" objectType="CheckBox" fmlaLink="$T$23" lockText="1" noThreeD="1"/>
</file>

<file path=xl/ctrlProps/ctrlProp7.xml><?xml version="1.0" encoding="utf-8"?>
<formControlPr xmlns="http://schemas.microsoft.com/office/spreadsheetml/2009/9/main" objectType="CheckBox" fmlaLink="$T$24" lockText="1" noThreeD="1"/>
</file>

<file path=xl/ctrlProps/ctrlProp8.xml><?xml version="1.0" encoding="utf-8"?>
<formControlPr xmlns="http://schemas.microsoft.com/office/spreadsheetml/2009/9/main" objectType="CheckBox" fmlaLink="$T$25" lockText="1" noThreeD="1"/>
</file>

<file path=xl/ctrlProps/ctrlProp9.xml><?xml version="1.0" encoding="utf-8"?>
<formControlPr xmlns="http://schemas.microsoft.com/office/spreadsheetml/2009/9/main" objectType="Radio" firstButton="1" fmlaLink="$W$22"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1.wmf"/><Relationship Id="rId2" Type="http://schemas.openxmlformats.org/officeDocument/2006/relationships/hyperlink" Target="#'1.PlanAhead'!A1"/><Relationship Id="rId1" Type="http://schemas.openxmlformats.org/officeDocument/2006/relationships/chart" Target="../charts/chart1.xml"/><Relationship Id="rId4"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8.png"/></Relationships>
</file>

<file path=xl/drawings/_rels/drawing11.xml.rels><?xml version="1.0" encoding="UTF-8" standalone="yes"?>
<Relationships xmlns="http://schemas.openxmlformats.org/package/2006/relationships"><Relationship Id="rId3" Type="http://schemas.openxmlformats.org/officeDocument/2006/relationships/image" Target="../media/image13.jpeg"/><Relationship Id="rId2" Type="http://schemas.openxmlformats.org/officeDocument/2006/relationships/hyperlink" Target="http://www.seattle.gov/util/Services/Garbage/ResourceVenture/GetontheMap/index.htm" TargetMode="External"/><Relationship Id="rId1" Type="http://schemas.openxmlformats.org/officeDocument/2006/relationships/image" Target="../media/image1.wmf"/><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hyperlink" Target="#'4.TakeAction'!A1"/><Relationship Id="rId2" Type="http://schemas.openxmlformats.org/officeDocument/2006/relationships/hyperlink" Target="#'2.GatherData'!A1"/><Relationship Id="rId1" Type="http://schemas.openxmlformats.org/officeDocument/2006/relationships/image" Target="../media/image3.jpeg"/><Relationship Id="rId5" Type="http://schemas.openxmlformats.org/officeDocument/2006/relationships/image" Target="../media/image2.png"/><Relationship Id="rId4" Type="http://schemas.openxmlformats.org/officeDocument/2006/relationships/image" Target="../media/image1.wmf"/></Relationships>
</file>

<file path=xl/drawings/_rels/drawing3.xml.rels><?xml version="1.0" encoding="UTF-8" standalone="yes"?>
<Relationships xmlns="http://schemas.openxmlformats.org/package/2006/relationships"><Relationship Id="rId3" Type="http://schemas.openxmlformats.org/officeDocument/2006/relationships/hyperlink" Target="#'3.AnalyzeResults'!A1"/><Relationship Id="rId7" Type="http://schemas.openxmlformats.org/officeDocument/2006/relationships/image" Target="../media/image2.png"/><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image" Target="../media/image1.wmf"/><Relationship Id="rId5" Type="http://schemas.openxmlformats.org/officeDocument/2006/relationships/image" Target="../media/image7.jpeg"/><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3" Type="http://schemas.openxmlformats.org/officeDocument/2006/relationships/chart" Target="../charts/chart4.xml"/><Relationship Id="rId7" Type="http://schemas.openxmlformats.org/officeDocument/2006/relationships/image" Target="../media/image2.png"/><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image" Target="../media/image1.wmf"/><Relationship Id="rId5" Type="http://schemas.openxmlformats.org/officeDocument/2006/relationships/hyperlink" Target="#'4.TakeAction'!A1"/><Relationship Id="rId4"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image" Target="../media/image8.png"/></Relationships>
</file>

<file path=xl/drawings/_rels/drawing6.xml.rels><?xml version="1.0" encoding="UTF-8" standalone="yes"?>
<Relationships xmlns="http://schemas.openxmlformats.org/package/2006/relationships"><Relationship Id="rId1" Type="http://schemas.openxmlformats.org/officeDocument/2006/relationships/image" Target="../media/image8.png"/></Relationships>
</file>

<file path=xl/drawings/_rels/drawing7.xml.rels><?xml version="1.0" encoding="UTF-8" standalone="yes"?>
<Relationships xmlns="http://schemas.openxmlformats.org/package/2006/relationships"><Relationship Id="rId1" Type="http://schemas.openxmlformats.org/officeDocument/2006/relationships/image" Target="../media/image8.png"/></Relationships>
</file>

<file path=xl/drawings/_rels/drawing8.xml.rels><?xml version="1.0" encoding="UTF-8" standalone="yes"?>
<Relationships xmlns="http://schemas.openxmlformats.org/package/2006/relationships"><Relationship Id="rId8" Type="http://schemas.openxmlformats.org/officeDocument/2006/relationships/image" Target="../media/image12.png"/><Relationship Id="rId3" Type="http://schemas.openxmlformats.org/officeDocument/2006/relationships/chart" Target="../charts/chart6.xml"/><Relationship Id="rId7" Type="http://schemas.openxmlformats.org/officeDocument/2006/relationships/image" Target="../media/image11.jpeg"/><Relationship Id="rId2" Type="http://schemas.openxmlformats.org/officeDocument/2006/relationships/image" Target="../media/image10.jpeg"/><Relationship Id="rId1" Type="http://schemas.openxmlformats.org/officeDocument/2006/relationships/image" Target="../media/image9.jpeg"/><Relationship Id="rId6" Type="http://schemas.openxmlformats.org/officeDocument/2006/relationships/image" Target="../media/image8.png"/><Relationship Id="rId5" Type="http://schemas.openxmlformats.org/officeDocument/2006/relationships/chart" Target="../charts/chart8.xml"/><Relationship Id="rId4" Type="http://schemas.openxmlformats.org/officeDocument/2006/relationships/chart" Target="../charts/chart7.xml"/><Relationship Id="rId9" Type="http://schemas.openxmlformats.org/officeDocument/2006/relationships/hyperlink" Target="http://www.arb.ca.gov/cc/reporting/ghg-rep/ghg-rep.htm" TargetMode="External"/></Relationships>
</file>

<file path=xl/drawings/_rels/drawing9.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oneCellAnchor>
    <xdr:from>
      <xdr:col>7</xdr:col>
      <xdr:colOff>1209675</xdr:colOff>
      <xdr:row>7</xdr:row>
      <xdr:rowOff>66673</xdr:rowOff>
    </xdr:from>
    <xdr:ext cx="1933575" cy="1066801"/>
    <xdr:sp macro="" textlink="">
      <xdr:nvSpPr>
        <xdr:cNvPr id="2" name="TextBox 1"/>
        <xdr:cNvSpPr txBox="1"/>
      </xdr:nvSpPr>
      <xdr:spPr>
        <a:xfrm>
          <a:off x="5219700" y="1714498"/>
          <a:ext cx="1933575" cy="10668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b">
          <a:noAutofit/>
        </a:bodyPr>
        <a:lstStyle/>
        <a:p>
          <a:pPr marL="0" marR="0" algn="ctr">
            <a:spcBef>
              <a:spcPts val="0"/>
            </a:spcBef>
            <a:spcAft>
              <a:spcPts val="0"/>
            </a:spcAft>
          </a:pPr>
          <a:r>
            <a:rPr lang="en-US" sz="1000">
              <a:solidFill>
                <a:srgbClr val="9D4E13"/>
              </a:solidFill>
              <a:latin typeface="+mn-lt"/>
              <a:ea typeface="Calibri"/>
              <a:cs typeface="Times New Roman"/>
            </a:rPr>
            <a:t>This DIY</a:t>
          </a:r>
          <a:r>
            <a:rPr lang="en-US" sz="1000" baseline="0">
              <a:solidFill>
                <a:srgbClr val="9D4E13"/>
              </a:solidFill>
              <a:latin typeface="+mn-lt"/>
              <a:ea typeface="Calibri"/>
              <a:cs typeface="Times New Roman"/>
            </a:rPr>
            <a:t> Waste Assessment Tool is intended to help your business more easily understand your waste reduction and recycling opportunities.</a:t>
          </a:r>
          <a:endParaRPr lang="en-US" sz="1000">
            <a:solidFill>
              <a:srgbClr val="9D4E13"/>
            </a:solidFill>
            <a:latin typeface="+mn-lt"/>
            <a:ea typeface="Calibri"/>
            <a:cs typeface="Times New Roman"/>
          </a:endParaRPr>
        </a:p>
      </xdr:txBody>
    </xdr:sp>
    <xdr:clientData/>
  </xdr:oneCellAnchor>
  <xdr:oneCellAnchor>
    <xdr:from>
      <xdr:col>1</xdr:col>
      <xdr:colOff>161926</xdr:colOff>
      <xdr:row>7</xdr:row>
      <xdr:rowOff>38101</xdr:rowOff>
    </xdr:from>
    <xdr:ext cx="3676650" cy="1019174"/>
    <xdr:sp macro="" textlink="">
      <xdr:nvSpPr>
        <xdr:cNvPr id="4" name="TextBox 3"/>
        <xdr:cNvSpPr txBox="1"/>
      </xdr:nvSpPr>
      <xdr:spPr>
        <a:xfrm>
          <a:off x="276226" y="1724026"/>
          <a:ext cx="3676650" cy="1019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marL="342900" marR="0" lvl="0" indent="-342900">
            <a:spcBef>
              <a:spcPts val="0"/>
            </a:spcBef>
            <a:spcAft>
              <a:spcPts val="0"/>
            </a:spcAft>
            <a:buFont typeface="Symbol"/>
            <a:buChar char=""/>
          </a:pPr>
          <a:r>
            <a:rPr lang="en-US" sz="1100">
              <a:solidFill>
                <a:srgbClr val="547198"/>
              </a:solidFill>
              <a:latin typeface="+mn-lt"/>
              <a:ea typeface="Calibri"/>
              <a:cs typeface="Times New Roman"/>
            </a:rPr>
            <a:t>Save money</a:t>
          </a:r>
        </a:p>
        <a:p>
          <a:pPr marL="342900" marR="0" lvl="0" indent="-342900">
            <a:spcBef>
              <a:spcPts val="0"/>
            </a:spcBef>
            <a:spcAft>
              <a:spcPts val="0"/>
            </a:spcAft>
            <a:buFont typeface="Symbol"/>
            <a:buChar char=""/>
          </a:pPr>
          <a:r>
            <a:rPr lang="en-US" sz="1100">
              <a:solidFill>
                <a:srgbClr val="547198"/>
              </a:solidFill>
              <a:latin typeface="+mn-lt"/>
              <a:ea typeface="Calibri"/>
              <a:cs typeface="Times New Roman"/>
            </a:rPr>
            <a:t>Contribute to a healthy community and environment</a:t>
          </a:r>
        </a:p>
        <a:p>
          <a:pPr marL="342900" marR="0" lvl="0" indent="-342900">
            <a:spcBef>
              <a:spcPts val="0"/>
            </a:spcBef>
            <a:spcAft>
              <a:spcPts val="0"/>
            </a:spcAft>
            <a:buFont typeface="Symbol"/>
            <a:buChar char=""/>
          </a:pPr>
          <a:r>
            <a:rPr lang="en-US" sz="1100">
              <a:solidFill>
                <a:srgbClr val="547198"/>
              </a:solidFill>
              <a:latin typeface="+mn-lt"/>
              <a:ea typeface="Calibri"/>
              <a:cs typeface="Times New Roman"/>
            </a:rPr>
            <a:t>Keep valuable resources out of landfills</a:t>
          </a:r>
        </a:p>
        <a:p>
          <a:pPr marL="342900" marR="0" lvl="0" indent="-342900">
            <a:spcBef>
              <a:spcPts val="0"/>
            </a:spcBef>
            <a:spcAft>
              <a:spcPts val="0"/>
            </a:spcAft>
            <a:buFont typeface="Symbol"/>
            <a:buChar char=""/>
          </a:pPr>
          <a:r>
            <a:rPr lang="en-US" sz="1100">
              <a:solidFill>
                <a:srgbClr val="547198"/>
              </a:solidFill>
              <a:latin typeface="+mn-lt"/>
              <a:ea typeface="Calibri"/>
              <a:cs typeface="Times New Roman"/>
            </a:rPr>
            <a:t>Appeal</a:t>
          </a:r>
          <a:r>
            <a:rPr lang="en-US" sz="1100" baseline="0">
              <a:solidFill>
                <a:srgbClr val="547198"/>
              </a:solidFill>
              <a:latin typeface="+mn-lt"/>
              <a:ea typeface="Calibri"/>
              <a:cs typeface="Times New Roman"/>
            </a:rPr>
            <a:t> to environmentally-friendly customers </a:t>
          </a:r>
        </a:p>
        <a:p>
          <a:pPr marL="342900" marR="0" lvl="0" indent="-342900">
            <a:spcBef>
              <a:spcPts val="0"/>
            </a:spcBef>
            <a:spcAft>
              <a:spcPts val="0"/>
            </a:spcAft>
            <a:buFont typeface="Symbol"/>
            <a:buChar char=""/>
          </a:pPr>
          <a:r>
            <a:rPr lang="en-US" sz="1100" baseline="0">
              <a:solidFill>
                <a:srgbClr val="547198"/>
              </a:solidFill>
              <a:latin typeface="+mn-lt"/>
              <a:ea typeface="Calibri"/>
              <a:cs typeface="Times New Roman"/>
            </a:rPr>
            <a:t>Comply with regulations </a:t>
          </a:r>
          <a:endParaRPr lang="en-US" sz="1100">
            <a:solidFill>
              <a:srgbClr val="547198"/>
            </a:solidFill>
            <a:latin typeface="+mn-lt"/>
            <a:ea typeface="Calibri"/>
            <a:cs typeface="Times New Roman"/>
          </a:endParaRPr>
        </a:p>
        <a:p>
          <a:endParaRPr lang="en-US" sz="1100">
            <a:latin typeface="+mn-lt"/>
          </a:endParaRPr>
        </a:p>
      </xdr:txBody>
    </xdr:sp>
    <xdr:clientData/>
  </xdr:oneCellAnchor>
  <xdr:oneCellAnchor>
    <xdr:from>
      <xdr:col>1</xdr:col>
      <xdr:colOff>152401</xdr:colOff>
      <xdr:row>5</xdr:row>
      <xdr:rowOff>57150</xdr:rowOff>
    </xdr:from>
    <xdr:ext cx="4200524" cy="466725"/>
    <xdr:sp macro="" textlink="">
      <xdr:nvSpPr>
        <xdr:cNvPr id="8" name="TextBox 7"/>
        <xdr:cNvSpPr txBox="1"/>
      </xdr:nvSpPr>
      <xdr:spPr>
        <a:xfrm>
          <a:off x="266701" y="1219200"/>
          <a:ext cx="4200524" cy="466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marL="0" marR="0">
            <a:spcBef>
              <a:spcPts val="0"/>
            </a:spcBef>
            <a:spcAft>
              <a:spcPts val="0"/>
            </a:spcAft>
          </a:pPr>
          <a:r>
            <a:rPr lang="en-US" sz="1100">
              <a:latin typeface="+mn-lt"/>
              <a:ea typeface="Calibri"/>
              <a:cs typeface="Times New Roman"/>
            </a:rPr>
            <a:t>Find out</a:t>
          </a:r>
          <a:r>
            <a:rPr lang="en-US" sz="1100" baseline="0">
              <a:latin typeface="+mn-lt"/>
              <a:ea typeface="Calibri"/>
              <a:cs typeface="Times New Roman"/>
            </a:rPr>
            <a:t> today! </a:t>
          </a:r>
          <a:r>
            <a:rPr lang="en-US" sz="1100">
              <a:latin typeface="+mn-lt"/>
              <a:ea typeface="Calibri"/>
              <a:cs typeface="Times New Roman"/>
            </a:rPr>
            <a:t>You may be able to reduce</a:t>
          </a:r>
          <a:r>
            <a:rPr lang="en-US" sz="1100" baseline="0">
              <a:latin typeface="+mn-lt"/>
              <a:ea typeface="Calibri"/>
              <a:cs typeface="Times New Roman"/>
            </a:rPr>
            <a:t> waste and increase recycling at your business, helping you to:</a:t>
          </a:r>
          <a:endParaRPr lang="en-US" sz="1100">
            <a:latin typeface="+mn-lt"/>
            <a:ea typeface="Calibri"/>
            <a:cs typeface="Times New Roman"/>
          </a:endParaRPr>
        </a:p>
        <a:p>
          <a:pPr marL="0" marR="0">
            <a:spcBef>
              <a:spcPts val="0"/>
            </a:spcBef>
            <a:spcAft>
              <a:spcPts val="0"/>
            </a:spcAft>
          </a:pPr>
          <a:endParaRPr lang="en-US" sz="900">
            <a:latin typeface="+mn-lt"/>
            <a:ea typeface="Calibri"/>
            <a:cs typeface="Times New Roman"/>
          </a:endParaRPr>
        </a:p>
      </xdr:txBody>
    </xdr:sp>
    <xdr:clientData/>
  </xdr:oneCellAnchor>
  <xdr:twoCellAnchor>
    <xdr:from>
      <xdr:col>7</xdr:col>
      <xdr:colOff>1152525</xdr:colOff>
      <xdr:row>3</xdr:row>
      <xdr:rowOff>95250</xdr:rowOff>
    </xdr:from>
    <xdr:to>
      <xdr:col>10</xdr:col>
      <xdr:colOff>285750</xdr:colOff>
      <xdr:row>8</xdr:row>
      <xdr:rowOff>251460</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4</xdr:col>
      <xdr:colOff>38100</xdr:colOff>
      <xdr:row>28</xdr:row>
      <xdr:rowOff>171450</xdr:rowOff>
    </xdr:from>
    <xdr:ext cx="184731" cy="264560"/>
    <xdr:sp macro="" textlink="">
      <xdr:nvSpPr>
        <xdr:cNvPr id="10" name="TextBox 9"/>
        <xdr:cNvSpPr txBox="1"/>
      </xdr:nvSpPr>
      <xdr:spPr>
        <a:xfrm>
          <a:off x="2152650" y="714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twoCellAnchor>
    <xdr:from>
      <xdr:col>8</xdr:col>
      <xdr:colOff>276225</xdr:colOff>
      <xdr:row>16</xdr:row>
      <xdr:rowOff>104775</xdr:rowOff>
    </xdr:from>
    <xdr:to>
      <xdr:col>11</xdr:col>
      <xdr:colOff>0</xdr:colOff>
      <xdr:row>21</xdr:row>
      <xdr:rowOff>152400</xdr:rowOff>
    </xdr:to>
    <xdr:sp macro="" textlink="">
      <xdr:nvSpPr>
        <xdr:cNvPr id="11" name="Rounded Rectangle 10">
          <a:hlinkClick xmlns:r="http://schemas.openxmlformats.org/officeDocument/2006/relationships" r:id="rId2"/>
        </xdr:cNvPr>
        <xdr:cNvSpPr/>
      </xdr:nvSpPr>
      <xdr:spPr>
        <a:xfrm>
          <a:off x="6048375" y="4733925"/>
          <a:ext cx="1152525" cy="952500"/>
        </a:xfrm>
        <a:prstGeom prst="roundRect">
          <a:avLst/>
        </a:prstGeom>
        <a:gradFill flip="none" rotWithShape="1">
          <a:gsLst>
            <a:gs pos="0">
              <a:srgbClr val="FFFF99"/>
            </a:gs>
            <a:gs pos="80000">
              <a:srgbClr val="498D19"/>
            </a:gs>
            <a:gs pos="100000">
              <a:srgbClr val="498D19"/>
            </a:gs>
          </a:gsLst>
          <a:path path="circle">
            <a:fillToRect l="100000" t="100000"/>
          </a:path>
          <a:tileRect r="-100000" b="-100000"/>
        </a:gradFill>
        <a:ln>
          <a:noFill/>
        </a:ln>
      </xdr:spPr>
      <xdr:style>
        <a:lnRef idx="1">
          <a:schemeClr val="dk1"/>
        </a:lnRef>
        <a:fillRef idx="3">
          <a:schemeClr val="dk1"/>
        </a:fillRef>
        <a:effectRef idx="2">
          <a:schemeClr val="dk1"/>
        </a:effectRef>
        <a:fontRef idx="minor">
          <a:schemeClr val="lt1"/>
        </a:fontRef>
      </xdr:style>
      <xdr:txBody>
        <a:bodyPr vertOverflow="clip" lIns="0" rIns="0" rtlCol="0" anchor="t"/>
        <a:lstStyle/>
        <a:p>
          <a:pPr algn="ctr"/>
          <a:r>
            <a:rPr lang="en-US" sz="1100" b="1"/>
            <a:t>Plan Ahead</a:t>
          </a:r>
        </a:p>
        <a:p>
          <a:pPr algn="ctr"/>
          <a:r>
            <a:rPr lang="en-US" sz="3600" b="1">
              <a:solidFill>
                <a:schemeClr val="bg1"/>
              </a:solidFill>
              <a:sym typeface="Wingdings"/>
            </a:rPr>
            <a:t></a:t>
          </a:r>
          <a:endParaRPr lang="en-US" sz="3600" b="1">
            <a:solidFill>
              <a:schemeClr val="bg1"/>
            </a:solidFill>
          </a:endParaRPr>
        </a:p>
      </xdr:txBody>
    </xdr:sp>
    <xdr:clientData/>
  </xdr:twoCellAnchor>
  <xdr:twoCellAnchor editAs="oneCell">
    <xdr:from>
      <xdr:col>9</xdr:col>
      <xdr:colOff>400050</xdr:colOff>
      <xdr:row>23</xdr:row>
      <xdr:rowOff>40006</xdr:rowOff>
    </xdr:from>
    <xdr:to>
      <xdr:col>10</xdr:col>
      <xdr:colOff>288002</xdr:colOff>
      <xdr:row>23</xdr:row>
      <xdr:rowOff>257174</xdr:rowOff>
    </xdr:to>
    <xdr:pic>
      <xdr:nvPicPr>
        <xdr:cNvPr id="14" name="Picture 13" descr="CCG_logo_cmyk_wmf(new).wmf"/>
        <xdr:cNvPicPr>
          <a:picLocks noChangeAspect="1"/>
        </xdr:cNvPicPr>
      </xdr:nvPicPr>
      <xdr:blipFill>
        <a:blip xmlns:r="http://schemas.openxmlformats.org/officeDocument/2006/relationships" r:embed="rId3" cstate="print"/>
        <a:stretch>
          <a:fillRect/>
        </a:stretch>
      </xdr:blipFill>
      <xdr:spPr>
        <a:xfrm>
          <a:off x="6562725" y="5935981"/>
          <a:ext cx="621377" cy="217168"/>
        </a:xfrm>
        <a:prstGeom prst="rect">
          <a:avLst/>
        </a:prstGeom>
      </xdr:spPr>
    </xdr:pic>
    <xdr:clientData/>
  </xdr:twoCellAnchor>
  <xdr:twoCellAnchor editAs="oneCell">
    <xdr:from>
      <xdr:col>1</xdr:col>
      <xdr:colOff>19051</xdr:colOff>
      <xdr:row>18</xdr:row>
      <xdr:rowOff>57150</xdr:rowOff>
    </xdr:from>
    <xdr:to>
      <xdr:col>3</xdr:col>
      <xdr:colOff>276225</xdr:colOff>
      <xdr:row>21</xdr:row>
      <xdr:rowOff>161925</xdr:rowOff>
    </xdr:to>
    <xdr:pic>
      <xdr:nvPicPr>
        <xdr:cNvPr id="3" name="Picture 2"/>
        <xdr:cNvPicPr>
          <a:picLocks noChangeAspect="1"/>
        </xdr:cNvPicPr>
      </xdr:nvPicPr>
      <xdr:blipFill>
        <a:blip xmlns:r="http://schemas.openxmlformats.org/officeDocument/2006/relationships" r:embed="rId4"/>
        <a:stretch>
          <a:fillRect/>
        </a:stretch>
      </xdr:blipFill>
      <xdr:spPr>
        <a:xfrm>
          <a:off x="133351" y="4943475"/>
          <a:ext cx="1009649" cy="7334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9</xdr:col>
      <xdr:colOff>752475</xdr:colOff>
      <xdr:row>1</xdr:row>
      <xdr:rowOff>28575</xdr:rowOff>
    </xdr:from>
    <xdr:to>
      <xdr:col>13</xdr:col>
      <xdr:colOff>323850</xdr:colOff>
      <xdr:row>3</xdr:row>
      <xdr:rowOff>200025</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5324475" y="219075"/>
          <a:ext cx="2590800" cy="666750"/>
        </a:xfrm>
        <a:prstGeom prst="rect">
          <a:avLst/>
        </a:prstGeom>
        <a:noFill/>
        <a:ln w="1">
          <a:noFill/>
          <a:miter lim="800000"/>
          <a:headEnd/>
          <a:tailEnd type="none" w="med" len="med"/>
        </a:ln>
        <a:effectLst/>
      </xdr:spPr>
    </xdr:pic>
    <xdr:clientData/>
  </xdr:twoCellAnchor>
  <xdr:twoCellAnchor>
    <xdr:from>
      <xdr:col>1</xdr:col>
      <xdr:colOff>123826</xdr:colOff>
      <xdr:row>5</xdr:row>
      <xdr:rowOff>47625</xdr:rowOff>
    </xdr:from>
    <xdr:to>
      <xdr:col>13</xdr:col>
      <xdr:colOff>371475</xdr:colOff>
      <xdr:row>7</xdr:row>
      <xdr:rowOff>161925</xdr:rowOff>
    </xdr:to>
    <xdr:sp macro="" textlink="">
      <xdr:nvSpPr>
        <xdr:cNvPr id="3" name="TextBox 2"/>
        <xdr:cNvSpPr txBox="1"/>
      </xdr:nvSpPr>
      <xdr:spPr>
        <a:xfrm>
          <a:off x="238126" y="1209675"/>
          <a:ext cx="7724774" cy="590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This sheet provides the opportunity to replace</a:t>
          </a:r>
          <a:r>
            <a:rPr lang="en-US" sz="1100" baseline="0"/>
            <a:t> </a:t>
          </a:r>
          <a:r>
            <a:rPr lang="en-US" sz="1100"/>
            <a:t>the average regional</a:t>
          </a:r>
          <a:r>
            <a:rPr lang="en-US" sz="1100" baseline="0"/>
            <a:t> cost data used in the calculator with the actual </a:t>
          </a:r>
          <a:r>
            <a:rPr lang="en-US" sz="1100" i="1" baseline="0"/>
            <a:t>monthly</a:t>
          </a:r>
          <a:r>
            <a:rPr lang="en-US" sz="1100" baseline="0"/>
            <a:t> collection rates from your local hauler.  To use this option, click on the check box above each rate sheet and enter your specific rate information. If a service level is free, enter 0.  If a service level is not offered, enter NA.</a:t>
          </a:r>
        </a:p>
        <a:p>
          <a:endParaRPr 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9525</xdr:colOff>
          <xdr:row>13</xdr:row>
          <xdr:rowOff>28575</xdr:rowOff>
        </xdr:from>
        <xdr:to>
          <xdr:col>3</xdr:col>
          <xdr:colOff>314325</xdr:colOff>
          <xdr:row>14</xdr:row>
          <xdr:rowOff>9525</xdr:rowOff>
        </xdr:to>
        <xdr:sp macro="" textlink="">
          <xdr:nvSpPr>
            <xdr:cNvPr id="36865" name="Check Box 1" hidden="1">
              <a:extLst>
                <a:ext uri="{63B3BB69-23CF-44E3-9099-C40C66FF867C}">
                  <a14:compatExt spid="_x0000_s36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33</xdr:row>
          <xdr:rowOff>38100</xdr:rowOff>
        </xdr:from>
        <xdr:to>
          <xdr:col>3</xdr:col>
          <xdr:colOff>314325</xdr:colOff>
          <xdr:row>34</xdr:row>
          <xdr:rowOff>19050</xdr:rowOff>
        </xdr:to>
        <xdr:sp macro="" textlink="">
          <xdr:nvSpPr>
            <xdr:cNvPr id="36866" name="Check Box 2" hidden="1">
              <a:extLst>
                <a:ext uri="{63B3BB69-23CF-44E3-9099-C40C66FF867C}">
                  <a14:compatExt spid="_x0000_s36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52</xdr:row>
          <xdr:rowOff>104775</xdr:rowOff>
        </xdr:from>
        <xdr:to>
          <xdr:col>3</xdr:col>
          <xdr:colOff>314325</xdr:colOff>
          <xdr:row>54</xdr:row>
          <xdr:rowOff>19050</xdr:rowOff>
        </xdr:to>
        <xdr:sp macro="" textlink="">
          <xdr:nvSpPr>
            <xdr:cNvPr id="36867" name="Check Box 3" hidden="1">
              <a:extLst>
                <a:ext uri="{63B3BB69-23CF-44E3-9099-C40C66FF867C}">
                  <a14:compatExt spid="_x0000_s36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editAs="oneCell">
    <xdr:from>
      <xdr:col>2</xdr:col>
      <xdr:colOff>9525</xdr:colOff>
      <xdr:row>25</xdr:row>
      <xdr:rowOff>28575</xdr:rowOff>
    </xdr:from>
    <xdr:to>
      <xdr:col>3</xdr:col>
      <xdr:colOff>21302</xdr:colOff>
      <xdr:row>25</xdr:row>
      <xdr:rowOff>245744</xdr:rowOff>
    </xdr:to>
    <xdr:pic>
      <xdr:nvPicPr>
        <xdr:cNvPr id="3" name="Picture 2" descr="CCG_logo_cmyk_wmf(new).wmf"/>
        <xdr:cNvPicPr>
          <a:picLocks noChangeAspect="1"/>
        </xdr:cNvPicPr>
      </xdr:nvPicPr>
      <xdr:blipFill>
        <a:blip xmlns:r="http://schemas.openxmlformats.org/officeDocument/2006/relationships" r:embed="rId1" cstate="print"/>
        <a:stretch>
          <a:fillRect/>
        </a:stretch>
      </xdr:blipFill>
      <xdr:spPr>
        <a:xfrm>
          <a:off x="6734175" y="5476875"/>
          <a:ext cx="621377" cy="217169"/>
        </a:xfrm>
        <a:prstGeom prst="rect">
          <a:avLst/>
        </a:prstGeom>
      </xdr:spPr>
    </xdr:pic>
    <xdr:clientData/>
  </xdr:twoCellAnchor>
  <xdr:twoCellAnchor editAs="oneCell">
    <xdr:from>
      <xdr:col>1</xdr:col>
      <xdr:colOff>57150</xdr:colOff>
      <xdr:row>15</xdr:row>
      <xdr:rowOff>104775</xdr:rowOff>
    </xdr:from>
    <xdr:to>
      <xdr:col>1</xdr:col>
      <xdr:colOff>695325</xdr:colOff>
      <xdr:row>17</xdr:row>
      <xdr:rowOff>165896</xdr:rowOff>
    </xdr:to>
    <xdr:pic>
      <xdr:nvPicPr>
        <xdr:cNvPr id="5" name="Picture 4" descr="RV_SPU_GetOnTheMap.jpg">
          <a:hlinkClick xmlns:r="http://schemas.openxmlformats.org/officeDocument/2006/relationships" r:id="rId2"/>
        </xdr:cNvPr>
        <xdr:cNvPicPr>
          <a:picLocks noChangeAspect="1"/>
        </xdr:cNvPicPr>
      </xdr:nvPicPr>
      <xdr:blipFill>
        <a:blip xmlns:r="http://schemas.openxmlformats.org/officeDocument/2006/relationships" r:embed="rId3" cstate="print"/>
        <a:srcRect r="62570" b="33316"/>
        <a:stretch>
          <a:fillRect/>
        </a:stretch>
      </xdr:blipFill>
      <xdr:spPr>
        <a:xfrm>
          <a:off x="171450" y="4162425"/>
          <a:ext cx="638175" cy="737396"/>
        </a:xfrm>
        <a:prstGeom prst="roundRect">
          <a:avLst>
            <a:gd name="adj" fmla="val 3922"/>
          </a:avLst>
        </a:prstGeom>
        <a:effectLst/>
      </xdr:spPr>
    </xdr:pic>
    <xdr:clientData/>
  </xdr:twoCellAnchor>
  <xdr:twoCellAnchor editAs="oneCell">
    <xdr:from>
      <xdr:col>1</xdr:col>
      <xdr:colOff>0</xdr:colOff>
      <xdr:row>19</xdr:row>
      <xdr:rowOff>47625</xdr:rowOff>
    </xdr:from>
    <xdr:to>
      <xdr:col>1</xdr:col>
      <xdr:colOff>1009649</xdr:colOff>
      <xdr:row>23</xdr:row>
      <xdr:rowOff>133350</xdr:rowOff>
    </xdr:to>
    <xdr:pic>
      <xdr:nvPicPr>
        <xdr:cNvPr id="8" name="Picture 7"/>
        <xdr:cNvPicPr>
          <a:picLocks noChangeAspect="1"/>
        </xdr:cNvPicPr>
      </xdr:nvPicPr>
      <xdr:blipFill>
        <a:blip xmlns:r="http://schemas.openxmlformats.org/officeDocument/2006/relationships" r:embed="rId4"/>
        <a:stretch>
          <a:fillRect/>
        </a:stretch>
      </xdr:blipFill>
      <xdr:spPr>
        <a:xfrm>
          <a:off x="114300" y="5543550"/>
          <a:ext cx="1009649" cy="7334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266700</xdr:colOff>
      <xdr:row>27</xdr:row>
      <xdr:rowOff>141111</xdr:rowOff>
    </xdr:from>
    <xdr:to>
      <xdr:col>11</xdr:col>
      <xdr:colOff>1658853</xdr:colOff>
      <xdr:row>31</xdr:row>
      <xdr:rowOff>697415</xdr:rowOff>
    </xdr:to>
    <xdr:pic>
      <xdr:nvPicPr>
        <xdr:cNvPr id="8" name="Picture 7" descr="Visual Sorting 007.jpg"/>
        <xdr:cNvPicPr>
          <a:picLocks noChangeAspect="1"/>
        </xdr:cNvPicPr>
      </xdr:nvPicPr>
      <xdr:blipFill>
        <a:blip xmlns:r="http://schemas.openxmlformats.org/officeDocument/2006/relationships" r:embed="rId1" cstate="print"/>
        <a:srcRect l="10189" r="11905" b="6800"/>
        <a:stretch>
          <a:fillRect/>
        </a:stretch>
      </xdr:blipFill>
      <xdr:spPr>
        <a:xfrm>
          <a:off x="4886325" y="5208411"/>
          <a:ext cx="2324099" cy="1861230"/>
        </a:xfrm>
        <a:prstGeom prst="rect">
          <a:avLst/>
        </a:prstGeom>
      </xdr:spPr>
    </xdr:pic>
    <xdr:clientData/>
  </xdr:twoCellAnchor>
  <xdr:twoCellAnchor>
    <xdr:from>
      <xdr:col>11</xdr:col>
      <xdr:colOff>609601</xdr:colOff>
      <xdr:row>31</xdr:row>
      <xdr:rowOff>762000</xdr:rowOff>
    </xdr:from>
    <xdr:to>
      <xdr:col>11</xdr:col>
      <xdr:colOff>1762126</xdr:colOff>
      <xdr:row>36</xdr:row>
      <xdr:rowOff>142876</xdr:rowOff>
    </xdr:to>
    <xdr:sp macro="" textlink="">
      <xdr:nvSpPr>
        <xdr:cNvPr id="5" name="Rounded Rectangle 4">
          <a:hlinkClick xmlns:r="http://schemas.openxmlformats.org/officeDocument/2006/relationships" r:id="rId2"/>
        </xdr:cNvPr>
        <xdr:cNvSpPr/>
      </xdr:nvSpPr>
      <xdr:spPr>
        <a:xfrm>
          <a:off x="6162676" y="8772525"/>
          <a:ext cx="1152525" cy="876301"/>
        </a:xfrm>
        <a:prstGeom prst="roundRect">
          <a:avLst/>
        </a:prstGeom>
        <a:gradFill flip="none" rotWithShape="1">
          <a:gsLst>
            <a:gs pos="0">
              <a:srgbClr val="FFFF99"/>
            </a:gs>
            <a:gs pos="80000">
              <a:srgbClr val="498D19"/>
            </a:gs>
            <a:gs pos="100000">
              <a:srgbClr val="498D19"/>
            </a:gs>
          </a:gsLst>
          <a:path path="circle">
            <a:fillToRect l="100000" t="100000"/>
          </a:path>
          <a:tileRect r="-100000" b="-100000"/>
        </a:gradFill>
        <a:ln>
          <a:noFill/>
        </a:ln>
      </xdr:spPr>
      <xdr:style>
        <a:lnRef idx="1">
          <a:schemeClr val="dk1"/>
        </a:lnRef>
        <a:fillRef idx="3">
          <a:schemeClr val="dk1"/>
        </a:fillRef>
        <a:effectRef idx="2">
          <a:schemeClr val="dk1"/>
        </a:effectRef>
        <a:fontRef idx="minor">
          <a:schemeClr val="lt1"/>
        </a:fontRef>
      </xdr:style>
      <xdr:txBody>
        <a:bodyPr vertOverflow="clip" lIns="0" rIns="0" rtlCol="0" anchor="t"/>
        <a:lstStyle/>
        <a:p>
          <a:pPr algn="ctr"/>
          <a:r>
            <a:rPr lang="en-US" sz="1100" b="1"/>
            <a:t>Gather Data</a:t>
          </a:r>
        </a:p>
        <a:p>
          <a:pPr algn="ctr"/>
          <a:r>
            <a:rPr lang="en-US" sz="3600" b="1">
              <a:solidFill>
                <a:schemeClr val="bg1"/>
              </a:solidFill>
              <a:sym typeface="Wingdings"/>
            </a:rPr>
            <a:t></a:t>
          </a:r>
          <a:endParaRPr lang="en-US" sz="3600" b="1">
            <a:solidFill>
              <a:schemeClr val="bg1"/>
            </a:solidFill>
          </a:endParaRPr>
        </a:p>
      </xdr:txBody>
    </xdr:sp>
    <xdr:clientData/>
  </xdr:twoCellAnchor>
  <xdr:twoCellAnchor>
    <xdr:from>
      <xdr:col>4</xdr:col>
      <xdr:colOff>542925</xdr:colOff>
      <xdr:row>14</xdr:row>
      <xdr:rowOff>9525</xdr:rowOff>
    </xdr:from>
    <xdr:to>
      <xdr:col>6</xdr:col>
      <xdr:colOff>238125</xdr:colOff>
      <xdr:row>14</xdr:row>
      <xdr:rowOff>209550</xdr:rowOff>
    </xdr:to>
    <xdr:sp macro="" textlink="">
      <xdr:nvSpPr>
        <xdr:cNvPr id="6" name="Rectangle 5">
          <a:hlinkClick xmlns:r="http://schemas.openxmlformats.org/officeDocument/2006/relationships" r:id="rId3"/>
        </xdr:cNvPr>
        <xdr:cNvSpPr/>
      </xdr:nvSpPr>
      <xdr:spPr>
        <a:xfrm>
          <a:off x="2124075" y="3143250"/>
          <a:ext cx="83820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editAs="oneCell">
    <xdr:from>
      <xdr:col>11</xdr:col>
      <xdr:colOff>1162049</xdr:colOff>
      <xdr:row>38</xdr:row>
      <xdr:rowOff>11430</xdr:rowOff>
    </xdr:from>
    <xdr:to>
      <xdr:col>12</xdr:col>
      <xdr:colOff>2251</xdr:colOff>
      <xdr:row>38</xdr:row>
      <xdr:rowOff>228599</xdr:rowOff>
    </xdr:to>
    <xdr:pic>
      <xdr:nvPicPr>
        <xdr:cNvPr id="11" name="Picture 10" descr="CCG_logo_cmyk_wmf(new).wmf"/>
        <xdr:cNvPicPr>
          <a:picLocks noChangeAspect="1"/>
        </xdr:cNvPicPr>
      </xdr:nvPicPr>
      <xdr:blipFill>
        <a:blip xmlns:r="http://schemas.openxmlformats.org/officeDocument/2006/relationships" r:embed="rId4" cstate="print"/>
        <a:stretch>
          <a:fillRect/>
        </a:stretch>
      </xdr:blipFill>
      <xdr:spPr>
        <a:xfrm>
          <a:off x="6715124" y="10298430"/>
          <a:ext cx="621377" cy="21716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400050</xdr:colOff>
          <xdr:row>8</xdr:row>
          <xdr:rowOff>9525</xdr:rowOff>
        </xdr:from>
        <xdr:to>
          <xdr:col>2</xdr:col>
          <xdr:colOff>704850</xdr:colOff>
          <xdr:row>9</xdr:row>
          <xdr:rowOff>0</xdr:rowOff>
        </xdr:to>
        <xdr:sp macro="" textlink="">
          <xdr:nvSpPr>
            <xdr:cNvPr id="40989" name="Check Box 29" hidden="1">
              <a:extLst>
                <a:ext uri="{63B3BB69-23CF-44E3-9099-C40C66FF867C}">
                  <a14:compatExt spid="_x0000_s409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5</xdr:row>
          <xdr:rowOff>9525</xdr:rowOff>
        </xdr:from>
        <xdr:to>
          <xdr:col>2</xdr:col>
          <xdr:colOff>704850</xdr:colOff>
          <xdr:row>6</xdr:row>
          <xdr:rowOff>0</xdr:rowOff>
        </xdr:to>
        <xdr:sp macro="" textlink="">
          <xdr:nvSpPr>
            <xdr:cNvPr id="40990" name="Check Box 30" hidden="1">
              <a:extLst>
                <a:ext uri="{63B3BB69-23CF-44E3-9099-C40C66FF867C}">
                  <a14:compatExt spid="_x0000_s409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6</xdr:row>
          <xdr:rowOff>9525</xdr:rowOff>
        </xdr:from>
        <xdr:to>
          <xdr:col>2</xdr:col>
          <xdr:colOff>704850</xdr:colOff>
          <xdr:row>7</xdr:row>
          <xdr:rowOff>0</xdr:rowOff>
        </xdr:to>
        <xdr:sp macro="" textlink="">
          <xdr:nvSpPr>
            <xdr:cNvPr id="40991" name="Check Box 31" hidden="1">
              <a:extLst>
                <a:ext uri="{63B3BB69-23CF-44E3-9099-C40C66FF867C}">
                  <a14:compatExt spid="_x0000_s409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7</xdr:row>
          <xdr:rowOff>9525</xdr:rowOff>
        </xdr:from>
        <xdr:to>
          <xdr:col>2</xdr:col>
          <xdr:colOff>704850</xdr:colOff>
          <xdr:row>8</xdr:row>
          <xdr:rowOff>0</xdr:rowOff>
        </xdr:to>
        <xdr:sp macro="" textlink="">
          <xdr:nvSpPr>
            <xdr:cNvPr id="40992" name="Check Box 32" hidden="1">
              <a:extLst>
                <a:ext uri="{63B3BB69-23CF-44E3-9099-C40C66FF867C}">
                  <a14:compatExt spid="_x0000_s409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21</xdr:row>
          <xdr:rowOff>19050</xdr:rowOff>
        </xdr:from>
        <xdr:to>
          <xdr:col>6</xdr:col>
          <xdr:colOff>495300</xdr:colOff>
          <xdr:row>21</xdr:row>
          <xdr:rowOff>238125</xdr:rowOff>
        </xdr:to>
        <xdr:sp macro="" textlink="">
          <xdr:nvSpPr>
            <xdr:cNvPr id="40996" name="Check Box 36" hidden="1">
              <a:extLst>
                <a:ext uri="{63B3BB69-23CF-44E3-9099-C40C66FF867C}">
                  <a14:compatExt spid="_x0000_s409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22</xdr:row>
          <xdr:rowOff>19050</xdr:rowOff>
        </xdr:from>
        <xdr:to>
          <xdr:col>6</xdr:col>
          <xdr:colOff>495300</xdr:colOff>
          <xdr:row>22</xdr:row>
          <xdr:rowOff>238125</xdr:rowOff>
        </xdr:to>
        <xdr:sp macro="" textlink="">
          <xdr:nvSpPr>
            <xdr:cNvPr id="40997" name="Check Box 37" hidden="1">
              <a:extLst>
                <a:ext uri="{63B3BB69-23CF-44E3-9099-C40C66FF867C}">
                  <a14:compatExt spid="_x0000_s409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23</xdr:row>
          <xdr:rowOff>19050</xdr:rowOff>
        </xdr:from>
        <xdr:to>
          <xdr:col>6</xdr:col>
          <xdr:colOff>495300</xdr:colOff>
          <xdr:row>23</xdr:row>
          <xdr:rowOff>238125</xdr:rowOff>
        </xdr:to>
        <xdr:sp macro="" textlink="">
          <xdr:nvSpPr>
            <xdr:cNvPr id="40998" name="Check Box 38" hidden="1">
              <a:extLst>
                <a:ext uri="{63B3BB69-23CF-44E3-9099-C40C66FF867C}">
                  <a14:compatExt spid="_x0000_s409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24</xdr:row>
          <xdr:rowOff>19050</xdr:rowOff>
        </xdr:from>
        <xdr:to>
          <xdr:col>6</xdr:col>
          <xdr:colOff>495300</xdr:colOff>
          <xdr:row>24</xdr:row>
          <xdr:rowOff>238125</xdr:rowOff>
        </xdr:to>
        <xdr:sp macro="" textlink="">
          <xdr:nvSpPr>
            <xdr:cNvPr id="40999" name="Check Box 39" hidden="1">
              <a:extLst>
                <a:ext uri="{63B3BB69-23CF-44E3-9099-C40C66FF867C}">
                  <a14:compatExt spid="_x0000_s409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21</xdr:row>
          <xdr:rowOff>19050</xdr:rowOff>
        </xdr:from>
        <xdr:to>
          <xdr:col>11</xdr:col>
          <xdr:colOff>523875</xdr:colOff>
          <xdr:row>21</xdr:row>
          <xdr:rowOff>238125</xdr:rowOff>
        </xdr:to>
        <xdr:sp macro="" textlink="">
          <xdr:nvSpPr>
            <xdr:cNvPr id="41000" name="Option Button 40" hidden="1">
              <a:extLst>
                <a:ext uri="{63B3BB69-23CF-44E3-9099-C40C66FF867C}">
                  <a14:compatExt spid="_x0000_s41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742950</xdr:colOff>
          <xdr:row>21</xdr:row>
          <xdr:rowOff>19050</xdr:rowOff>
        </xdr:from>
        <xdr:to>
          <xdr:col>11</xdr:col>
          <xdr:colOff>1047750</xdr:colOff>
          <xdr:row>21</xdr:row>
          <xdr:rowOff>238125</xdr:rowOff>
        </xdr:to>
        <xdr:sp macro="" textlink="">
          <xdr:nvSpPr>
            <xdr:cNvPr id="41001" name="Option Button 41" hidden="1">
              <a:extLst>
                <a:ext uri="{63B3BB69-23CF-44E3-9099-C40C66FF867C}">
                  <a14:compatExt spid="_x0000_s410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1076325</xdr:colOff>
          <xdr:row>21</xdr:row>
          <xdr:rowOff>19050</xdr:rowOff>
        </xdr:from>
        <xdr:to>
          <xdr:col>11</xdr:col>
          <xdr:colOff>1381125</xdr:colOff>
          <xdr:row>21</xdr:row>
          <xdr:rowOff>238125</xdr:rowOff>
        </xdr:to>
        <xdr:sp macro="" textlink="">
          <xdr:nvSpPr>
            <xdr:cNvPr id="41002" name="Option Button 42" hidden="1">
              <a:extLst>
                <a:ext uri="{63B3BB69-23CF-44E3-9099-C40C66FF867C}">
                  <a14:compatExt spid="_x0000_s410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1447800</xdr:colOff>
          <xdr:row>21</xdr:row>
          <xdr:rowOff>19050</xdr:rowOff>
        </xdr:from>
        <xdr:to>
          <xdr:col>11</xdr:col>
          <xdr:colOff>1752600</xdr:colOff>
          <xdr:row>21</xdr:row>
          <xdr:rowOff>238125</xdr:rowOff>
        </xdr:to>
        <xdr:sp macro="" textlink="">
          <xdr:nvSpPr>
            <xdr:cNvPr id="41003" name="Option Button 43" hidden="1">
              <a:extLst>
                <a:ext uri="{63B3BB69-23CF-44E3-9099-C40C66FF867C}">
                  <a14:compatExt spid="_x0000_s410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24</xdr:row>
          <xdr:rowOff>19050</xdr:rowOff>
        </xdr:from>
        <xdr:to>
          <xdr:col>11</xdr:col>
          <xdr:colOff>523875</xdr:colOff>
          <xdr:row>24</xdr:row>
          <xdr:rowOff>238125</xdr:rowOff>
        </xdr:to>
        <xdr:sp macro="" textlink="">
          <xdr:nvSpPr>
            <xdr:cNvPr id="41004" name="Option Button 44" hidden="1">
              <a:extLst>
                <a:ext uri="{63B3BB69-23CF-44E3-9099-C40C66FF867C}">
                  <a14:compatExt spid="_x0000_s410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742950</xdr:colOff>
          <xdr:row>24</xdr:row>
          <xdr:rowOff>19050</xdr:rowOff>
        </xdr:from>
        <xdr:to>
          <xdr:col>11</xdr:col>
          <xdr:colOff>1047750</xdr:colOff>
          <xdr:row>24</xdr:row>
          <xdr:rowOff>238125</xdr:rowOff>
        </xdr:to>
        <xdr:sp macro="" textlink="">
          <xdr:nvSpPr>
            <xdr:cNvPr id="41005" name="Option Button 45" hidden="1">
              <a:extLst>
                <a:ext uri="{63B3BB69-23CF-44E3-9099-C40C66FF867C}">
                  <a14:compatExt spid="_x0000_s410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1076325</xdr:colOff>
          <xdr:row>24</xdr:row>
          <xdr:rowOff>19050</xdr:rowOff>
        </xdr:from>
        <xdr:to>
          <xdr:col>11</xdr:col>
          <xdr:colOff>1381125</xdr:colOff>
          <xdr:row>24</xdr:row>
          <xdr:rowOff>238125</xdr:rowOff>
        </xdr:to>
        <xdr:sp macro="" textlink="">
          <xdr:nvSpPr>
            <xdr:cNvPr id="41006" name="Option Button 46" hidden="1">
              <a:extLst>
                <a:ext uri="{63B3BB69-23CF-44E3-9099-C40C66FF867C}">
                  <a14:compatExt spid="_x0000_s410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1447800</xdr:colOff>
          <xdr:row>24</xdr:row>
          <xdr:rowOff>19050</xdr:rowOff>
        </xdr:from>
        <xdr:to>
          <xdr:col>11</xdr:col>
          <xdr:colOff>1752600</xdr:colOff>
          <xdr:row>24</xdr:row>
          <xdr:rowOff>238125</xdr:rowOff>
        </xdr:to>
        <xdr:sp macro="" textlink="">
          <xdr:nvSpPr>
            <xdr:cNvPr id="41007" name="Option Button 47" hidden="1">
              <a:extLst>
                <a:ext uri="{63B3BB69-23CF-44E3-9099-C40C66FF867C}">
                  <a14:compatExt spid="_x0000_s410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22</xdr:row>
          <xdr:rowOff>19050</xdr:rowOff>
        </xdr:from>
        <xdr:to>
          <xdr:col>11</xdr:col>
          <xdr:colOff>523875</xdr:colOff>
          <xdr:row>22</xdr:row>
          <xdr:rowOff>238125</xdr:rowOff>
        </xdr:to>
        <xdr:sp macro="" textlink="">
          <xdr:nvSpPr>
            <xdr:cNvPr id="41008" name="Option Button 48" hidden="1">
              <a:extLst>
                <a:ext uri="{63B3BB69-23CF-44E3-9099-C40C66FF867C}">
                  <a14:compatExt spid="_x0000_s410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742950</xdr:colOff>
          <xdr:row>22</xdr:row>
          <xdr:rowOff>19050</xdr:rowOff>
        </xdr:from>
        <xdr:to>
          <xdr:col>11</xdr:col>
          <xdr:colOff>1047750</xdr:colOff>
          <xdr:row>22</xdr:row>
          <xdr:rowOff>238125</xdr:rowOff>
        </xdr:to>
        <xdr:sp macro="" textlink="">
          <xdr:nvSpPr>
            <xdr:cNvPr id="41009" name="Option Button 49" hidden="1">
              <a:extLst>
                <a:ext uri="{63B3BB69-23CF-44E3-9099-C40C66FF867C}">
                  <a14:compatExt spid="_x0000_s410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1076325</xdr:colOff>
          <xdr:row>22</xdr:row>
          <xdr:rowOff>19050</xdr:rowOff>
        </xdr:from>
        <xdr:to>
          <xdr:col>11</xdr:col>
          <xdr:colOff>1381125</xdr:colOff>
          <xdr:row>22</xdr:row>
          <xdr:rowOff>238125</xdr:rowOff>
        </xdr:to>
        <xdr:sp macro="" textlink="">
          <xdr:nvSpPr>
            <xdr:cNvPr id="41010" name="Option Button 50" hidden="1">
              <a:extLst>
                <a:ext uri="{63B3BB69-23CF-44E3-9099-C40C66FF867C}">
                  <a14:compatExt spid="_x0000_s410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1447800</xdr:colOff>
          <xdr:row>22</xdr:row>
          <xdr:rowOff>19050</xdr:rowOff>
        </xdr:from>
        <xdr:to>
          <xdr:col>11</xdr:col>
          <xdr:colOff>1752600</xdr:colOff>
          <xdr:row>22</xdr:row>
          <xdr:rowOff>238125</xdr:rowOff>
        </xdr:to>
        <xdr:sp macro="" textlink="">
          <xdr:nvSpPr>
            <xdr:cNvPr id="41011" name="Option Button 51" hidden="1">
              <a:extLst>
                <a:ext uri="{63B3BB69-23CF-44E3-9099-C40C66FF867C}">
                  <a14:compatExt spid="_x0000_s410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23</xdr:row>
          <xdr:rowOff>19050</xdr:rowOff>
        </xdr:from>
        <xdr:to>
          <xdr:col>11</xdr:col>
          <xdr:colOff>523875</xdr:colOff>
          <xdr:row>23</xdr:row>
          <xdr:rowOff>238125</xdr:rowOff>
        </xdr:to>
        <xdr:sp macro="" textlink="">
          <xdr:nvSpPr>
            <xdr:cNvPr id="41012" name="Option Button 52" hidden="1">
              <a:extLst>
                <a:ext uri="{63B3BB69-23CF-44E3-9099-C40C66FF867C}">
                  <a14:compatExt spid="_x0000_s410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742950</xdr:colOff>
          <xdr:row>23</xdr:row>
          <xdr:rowOff>19050</xdr:rowOff>
        </xdr:from>
        <xdr:to>
          <xdr:col>11</xdr:col>
          <xdr:colOff>1047750</xdr:colOff>
          <xdr:row>23</xdr:row>
          <xdr:rowOff>238125</xdr:rowOff>
        </xdr:to>
        <xdr:sp macro="" textlink="">
          <xdr:nvSpPr>
            <xdr:cNvPr id="41013" name="Option Button 53" hidden="1">
              <a:extLst>
                <a:ext uri="{63B3BB69-23CF-44E3-9099-C40C66FF867C}">
                  <a14:compatExt spid="_x0000_s410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1076325</xdr:colOff>
          <xdr:row>23</xdr:row>
          <xdr:rowOff>19050</xdr:rowOff>
        </xdr:from>
        <xdr:to>
          <xdr:col>11</xdr:col>
          <xdr:colOff>1381125</xdr:colOff>
          <xdr:row>23</xdr:row>
          <xdr:rowOff>238125</xdr:rowOff>
        </xdr:to>
        <xdr:sp macro="" textlink="">
          <xdr:nvSpPr>
            <xdr:cNvPr id="41014" name="Option Button 54" hidden="1">
              <a:extLst>
                <a:ext uri="{63B3BB69-23CF-44E3-9099-C40C66FF867C}">
                  <a14:compatExt spid="_x0000_s410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1447800</xdr:colOff>
          <xdr:row>23</xdr:row>
          <xdr:rowOff>19050</xdr:rowOff>
        </xdr:from>
        <xdr:to>
          <xdr:col>11</xdr:col>
          <xdr:colOff>1752600</xdr:colOff>
          <xdr:row>23</xdr:row>
          <xdr:rowOff>238125</xdr:rowOff>
        </xdr:to>
        <xdr:sp macro="" textlink="">
          <xdr:nvSpPr>
            <xdr:cNvPr id="41015" name="Option Button 55" hidden="1">
              <a:extLst>
                <a:ext uri="{63B3BB69-23CF-44E3-9099-C40C66FF867C}">
                  <a14:compatExt spid="_x0000_s410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21</xdr:row>
          <xdr:rowOff>0</xdr:rowOff>
        </xdr:from>
        <xdr:to>
          <xdr:col>12</xdr:col>
          <xdr:colOff>0</xdr:colOff>
          <xdr:row>22</xdr:row>
          <xdr:rowOff>0</xdr:rowOff>
        </xdr:to>
        <xdr:sp macro="" textlink="">
          <xdr:nvSpPr>
            <xdr:cNvPr id="41017" name="Group Box 57" hidden="1">
              <a:extLst>
                <a:ext uri="{63B3BB69-23CF-44E3-9099-C40C66FF867C}">
                  <a14:compatExt spid="_x0000_s410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22</xdr:row>
          <xdr:rowOff>0</xdr:rowOff>
        </xdr:from>
        <xdr:to>
          <xdr:col>12</xdr:col>
          <xdr:colOff>0</xdr:colOff>
          <xdr:row>23</xdr:row>
          <xdr:rowOff>0</xdr:rowOff>
        </xdr:to>
        <xdr:sp macro="" textlink="">
          <xdr:nvSpPr>
            <xdr:cNvPr id="41018" name="Group Box 58" hidden="1">
              <a:extLst>
                <a:ext uri="{63B3BB69-23CF-44E3-9099-C40C66FF867C}">
                  <a14:compatExt spid="_x0000_s4101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23</xdr:row>
          <xdr:rowOff>0</xdr:rowOff>
        </xdr:from>
        <xdr:to>
          <xdr:col>12</xdr:col>
          <xdr:colOff>0</xdr:colOff>
          <xdr:row>24</xdr:row>
          <xdr:rowOff>0</xdr:rowOff>
        </xdr:to>
        <xdr:sp macro="" textlink="">
          <xdr:nvSpPr>
            <xdr:cNvPr id="41020" name="Group Box 60" hidden="1">
              <a:extLst>
                <a:ext uri="{63B3BB69-23CF-44E3-9099-C40C66FF867C}">
                  <a14:compatExt spid="_x0000_s4102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24</xdr:row>
          <xdr:rowOff>0</xdr:rowOff>
        </xdr:from>
        <xdr:to>
          <xdr:col>12</xdr:col>
          <xdr:colOff>0</xdr:colOff>
          <xdr:row>25</xdr:row>
          <xdr:rowOff>0</xdr:rowOff>
        </xdr:to>
        <xdr:sp macro="" textlink="">
          <xdr:nvSpPr>
            <xdr:cNvPr id="41021" name="Group Box 61" hidden="1">
              <a:extLst>
                <a:ext uri="{63B3BB69-23CF-44E3-9099-C40C66FF867C}">
                  <a14:compatExt spid="_x0000_s4102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editAs="oneCell">
    <xdr:from>
      <xdr:col>1</xdr:col>
      <xdr:colOff>19050</xdr:colOff>
      <xdr:row>32</xdr:row>
      <xdr:rowOff>28575</xdr:rowOff>
    </xdr:from>
    <xdr:to>
      <xdr:col>2</xdr:col>
      <xdr:colOff>914399</xdr:colOff>
      <xdr:row>37</xdr:row>
      <xdr:rowOff>0</xdr:rowOff>
    </xdr:to>
    <xdr:pic>
      <xdr:nvPicPr>
        <xdr:cNvPr id="35" name="Picture 34"/>
        <xdr:cNvPicPr>
          <a:picLocks noChangeAspect="1"/>
        </xdr:cNvPicPr>
      </xdr:nvPicPr>
      <xdr:blipFill>
        <a:blip xmlns:r="http://schemas.openxmlformats.org/officeDocument/2006/relationships" r:embed="rId5"/>
        <a:stretch>
          <a:fillRect/>
        </a:stretch>
      </xdr:blipFill>
      <xdr:spPr>
        <a:xfrm>
          <a:off x="133350" y="9039225"/>
          <a:ext cx="1009649" cy="7334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23410</xdr:colOff>
      <xdr:row>3</xdr:row>
      <xdr:rowOff>28442</xdr:rowOff>
    </xdr:from>
    <xdr:to>
      <xdr:col>13</xdr:col>
      <xdr:colOff>5329</xdr:colOff>
      <xdr:row>10</xdr:row>
      <xdr:rowOff>753796</xdr:rowOff>
    </xdr:to>
    <xdr:pic>
      <xdr:nvPicPr>
        <xdr:cNvPr id="57346" name="Picture 2" descr="http://www.backtolifechiro.com/images/clipboard.jpg"/>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rot="454805">
          <a:off x="5738410" y="771392"/>
          <a:ext cx="1312244" cy="1839779"/>
        </a:xfrm>
        <a:prstGeom prst="rect">
          <a:avLst/>
        </a:prstGeom>
        <a:noFill/>
      </xdr:spPr>
    </xdr:pic>
    <xdr:clientData/>
  </xdr:twoCellAnchor>
  <xdr:twoCellAnchor editAs="oneCell">
    <xdr:from>
      <xdr:col>12</xdr:col>
      <xdr:colOff>447675</xdr:colOff>
      <xdr:row>40</xdr:row>
      <xdr:rowOff>47625</xdr:rowOff>
    </xdr:from>
    <xdr:to>
      <xdr:col>13</xdr:col>
      <xdr:colOff>3175</xdr:colOff>
      <xdr:row>42</xdr:row>
      <xdr:rowOff>154176</xdr:rowOff>
    </xdr:to>
    <xdr:pic>
      <xdr:nvPicPr>
        <xdr:cNvPr id="3" name="Picture 2" descr="RV_SPU_LogoLockup.jpg"/>
        <xdr:cNvPicPr>
          <a:picLocks noChangeAspect="1"/>
        </xdr:cNvPicPr>
      </xdr:nvPicPr>
      <xdr:blipFill>
        <a:blip xmlns:r="http://schemas.openxmlformats.org/officeDocument/2006/relationships" r:embed="rId2" cstate="print"/>
        <a:stretch>
          <a:fillRect/>
        </a:stretch>
      </xdr:blipFill>
      <xdr:spPr>
        <a:xfrm>
          <a:off x="5876925" y="7400925"/>
          <a:ext cx="1292225" cy="525651"/>
        </a:xfrm>
        <a:prstGeom prst="rect">
          <a:avLst/>
        </a:prstGeom>
      </xdr:spPr>
    </xdr:pic>
    <xdr:clientData/>
  </xdr:twoCellAnchor>
  <xdr:twoCellAnchor>
    <xdr:from>
      <xdr:col>11</xdr:col>
      <xdr:colOff>361950</xdr:colOff>
      <xdr:row>38</xdr:row>
      <xdr:rowOff>95250</xdr:rowOff>
    </xdr:from>
    <xdr:to>
      <xdr:col>14</xdr:col>
      <xdr:colOff>28194</xdr:colOff>
      <xdr:row>42</xdr:row>
      <xdr:rowOff>142875</xdr:rowOff>
    </xdr:to>
    <xdr:sp macro="" textlink="">
      <xdr:nvSpPr>
        <xdr:cNvPr id="6" name="Rounded Rectangle 5">
          <a:hlinkClick xmlns:r="http://schemas.openxmlformats.org/officeDocument/2006/relationships" r:id="rId3"/>
        </xdr:cNvPr>
        <xdr:cNvSpPr/>
      </xdr:nvSpPr>
      <xdr:spPr>
        <a:xfrm>
          <a:off x="6048375" y="8086725"/>
          <a:ext cx="1152144" cy="952500"/>
        </a:xfrm>
        <a:prstGeom prst="roundRect">
          <a:avLst/>
        </a:prstGeom>
        <a:gradFill flip="none" rotWithShape="1">
          <a:gsLst>
            <a:gs pos="0">
              <a:srgbClr val="FFFF99"/>
            </a:gs>
            <a:gs pos="80000">
              <a:srgbClr val="498D19"/>
            </a:gs>
            <a:gs pos="100000">
              <a:srgbClr val="498D19"/>
            </a:gs>
          </a:gsLst>
          <a:path path="circle">
            <a:fillToRect l="100000" t="100000"/>
          </a:path>
          <a:tileRect r="-100000" b="-100000"/>
        </a:gradFill>
        <a:ln>
          <a:noFill/>
        </a:ln>
      </xdr:spPr>
      <xdr:style>
        <a:lnRef idx="1">
          <a:schemeClr val="dk1"/>
        </a:lnRef>
        <a:fillRef idx="3">
          <a:schemeClr val="dk1"/>
        </a:fillRef>
        <a:effectRef idx="2">
          <a:schemeClr val="dk1"/>
        </a:effectRef>
        <a:fontRef idx="minor">
          <a:schemeClr val="lt1"/>
        </a:fontRef>
      </xdr:style>
      <xdr:txBody>
        <a:bodyPr vertOverflow="clip" lIns="0" rIns="0" rtlCol="0" anchor="t"/>
        <a:lstStyle/>
        <a:p>
          <a:pPr algn="ctr"/>
          <a:r>
            <a:rPr lang="en-US" sz="1100" b="1"/>
            <a:t>Analyze Results</a:t>
          </a:r>
        </a:p>
        <a:p>
          <a:pPr algn="ctr"/>
          <a:r>
            <a:rPr lang="en-US" sz="3600" b="1">
              <a:solidFill>
                <a:schemeClr val="bg1"/>
              </a:solidFill>
              <a:sym typeface="Wingdings"/>
            </a:rPr>
            <a:t></a:t>
          </a:r>
          <a:endParaRPr lang="en-US" sz="3600" b="1">
            <a:solidFill>
              <a:schemeClr val="bg1"/>
            </a:solidFill>
          </a:endParaRPr>
        </a:p>
      </xdr:txBody>
    </xdr:sp>
    <xdr:clientData/>
  </xdr:twoCellAnchor>
  <xdr:twoCellAnchor editAs="oneCell">
    <xdr:from>
      <xdr:col>10</xdr:col>
      <xdr:colOff>179061</xdr:colOff>
      <xdr:row>4</xdr:row>
      <xdr:rowOff>230881</xdr:rowOff>
    </xdr:from>
    <xdr:to>
      <xdr:col>12</xdr:col>
      <xdr:colOff>53228</xdr:colOff>
      <xdr:row>10</xdr:row>
      <xdr:rowOff>571339</xdr:rowOff>
    </xdr:to>
    <xdr:pic>
      <xdr:nvPicPr>
        <xdr:cNvPr id="57347" name="Picture 3"/>
        <xdr:cNvPicPr>
          <a:picLocks noChangeAspect="1" noChangeArrowheads="1"/>
        </xdr:cNvPicPr>
      </xdr:nvPicPr>
      <xdr:blipFill>
        <a:blip xmlns:r="http://schemas.openxmlformats.org/officeDocument/2006/relationships" r:embed="rId4" cstate="print"/>
        <a:srcRect/>
        <a:stretch>
          <a:fillRect/>
        </a:stretch>
      </xdr:blipFill>
      <xdr:spPr bwMode="auto">
        <a:xfrm rot="473488">
          <a:off x="5894061" y="1097656"/>
          <a:ext cx="988592" cy="1331058"/>
        </a:xfrm>
        <a:prstGeom prst="rect">
          <a:avLst/>
        </a:prstGeom>
        <a:noFill/>
        <a:ln w="1">
          <a:noFill/>
          <a:miter lim="800000"/>
          <a:headEnd/>
          <a:tailEnd type="none" w="med" len="med"/>
        </a:ln>
        <a:effectLst/>
      </xdr:spPr>
    </xdr:pic>
    <xdr:clientData/>
  </xdr:twoCellAnchor>
  <xdr:twoCellAnchor editAs="oneCell">
    <xdr:from>
      <xdr:col>8</xdr:col>
      <xdr:colOff>185343</xdr:colOff>
      <xdr:row>4</xdr:row>
      <xdr:rowOff>242806</xdr:rowOff>
    </xdr:from>
    <xdr:to>
      <xdr:col>11</xdr:col>
      <xdr:colOff>249568</xdr:colOff>
      <xdr:row>12</xdr:row>
      <xdr:rowOff>89263</xdr:rowOff>
    </xdr:to>
    <xdr:pic>
      <xdr:nvPicPr>
        <xdr:cNvPr id="57345" name="Picture 1" descr="http://www.worldtvpc.com/blog/wp-content/uploads/2010/09/lg-android-tablet-pc2.jpg"/>
        <xdr:cNvPicPr>
          <a:picLocks noChangeAspect="1" noChangeArrowheads="1"/>
        </xdr:cNvPicPr>
      </xdr:nvPicPr>
      <xdr:blipFill>
        <a:blip xmlns:r="http://schemas.openxmlformats.org/officeDocument/2006/relationships" r:embed="rId5" cstate="print">
          <a:clrChange>
            <a:clrFrom>
              <a:srgbClr val="FFFFFF"/>
            </a:clrFrom>
            <a:clrTo>
              <a:srgbClr val="FFFFFF">
                <a:alpha val="0"/>
              </a:srgbClr>
            </a:clrTo>
          </a:clrChange>
        </a:blip>
        <a:srcRect/>
        <a:stretch>
          <a:fillRect/>
        </a:stretch>
      </xdr:blipFill>
      <xdr:spPr bwMode="auto">
        <a:xfrm rot="3159753">
          <a:off x="4599527" y="1295972"/>
          <a:ext cx="1780032" cy="1407250"/>
        </a:xfrm>
        <a:prstGeom prst="rect">
          <a:avLst/>
        </a:prstGeom>
        <a:noFill/>
      </xdr:spPr>
    </xdr:pic>
    <xdr:clientData/>
  </xdr:twoCellAnchor>
  <xdr:twoCellAnchor editAs="oneCell">
    <xdr:from>
      <xdr:col>12</xdr:col>
      <xdr:colOff>131098</xdr:colOff>
      <xdr:row>44</xdr:row>
      <xdr:rowOff>9525</xdr:rowOff>
    </xdr:from>
    <xdr:to>
      <xdr:col>14</xdr:col>
      <xdr:colOff>95249</xdr:colOff>
      <xdr:row>46</xdr:row>
      <xdr:rowOff>36194</xdr:rowOff>
    </xdr:to>
    <xdr:pic>
      <xdr:nvPicPr>
        <xdr:cNvPr id="9" name="Picture 8" descr="CCG_logo_cmyk_wmf(new).wmf"/>
        <xdr:cNvPicPr>
          <a:picLocks noChangeAspect="1"/>
        </xdr:cNvPicPr>
      </xdr:nvPicPr>
      <xdr:blipFill>
        <a:blip xmlns:r="http://schemas.openxmlformats.org/officeDocument/2006/relationships" r:embed="rId6" cstate="print"/>
        <a:stretch>
          <a:fillRect/>
        </a:stretch>
      </xdr:blipFill>
      <xdr:spPr>
        <a:xfrm>
          <a:off x="6646198" y="9286875"/>
          <a:ext cx="621376" cy="217169"/>
        </a:xfrm>
        <a:prstGeom prst="rect">
          <a:avLst/>
        </a:prstGeom>
      </xdr:spPr>
    </xdr:pic>
    <xdr:clientData/>
  </xdr:twoCellAnchor>
  <xdr:twoCellAnchor editAs="oneCell">
    <xdr:from>
      <xdr:col>1</xdr:col>
      <xdr:colOff>9525</xdr:colOff>
      <xdr:row>39</xdr:row>
      <xdr:rowOff>0</xdr:rowOff>
    </xdr:from>
    <xdr:to>
      <xdr:col>2</xdr:col>
      <xdr:colOff>876299</xdr:colOff>
      <xdr:row>42</xdr:row>
      <xdr:rowOff>161925</xdr:rowOff>
    </xdr:to>
    <xdr:pic>
      <xdr:nvPicPr>
        <xdr:cNvPr id="11" name="Picture 10"/>
        <xdr:cNvPicPr>
          <a:picLocks noChangeAspect="1"/>
        </xdr:cNvPicPr>
      </xdr:nvPicPr>
      <xdr:blipFill>
        <a:blip xmlns:r="http://schemas.openxmlformats.org/officeDocument/2006/relationships" r:embed="rId7"/>
        <a:stretch>
          <a:fillRect/>
        </a:stretch>
      </xdr:blipFill>
      <xdr:spPr>
        <a:xfrm>
          <a:off x="123825" y="8324850"/>
          <a:ext cx="1009649" cy="7334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97632</xdr:colOff>
      <xdr:row>15</xdr:row>
      <xdr:rowOff>142875</xdr:rowOff>
    </xdr:from>
    <xdr:to>
      <xdr:col>6</xdr:col>
      <xdr:colOff>371475</xdr:colOff>
      <xdr:row>27</xdr:row>
      <xdr:rowOff>228599</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466973</xdr:colOff>
      <xdr:row>15</xdr:row>
      <xdr:rowOff>119061</xdr:rowOff>
    </xdr:from>
    <xdr:to>
      <xdr:col>10</xdr:col>
      <xdr:colOff>211931</xdr:colOff>
      <xdr:row>20</xdr:row>
      <xdr:rowOff>211930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466973</xdr:colOff>
      <xdr:row>20</xdr:row>
      <xdr:rowOff>104775</xdr:rowOff>
    </xdr:from>
    <xdr:to>
      <xdr:col>10</xdr:col>
      <xdr:colOff>211931</xdr:colOff>
      <xdr:row>24</xdr:row>
      <xdr:rowOff>188119</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452437</xdr:colOff>
      <xdr:row>24</xdr:row>
      <xdr:rowOff>80964</xdr:rowOff>
    </xdr:from>
    <xdr:to>
      <xdr:col>10</xdr:col>
      <xdr:colOff>226219</xdr:colOff>
      <xdr:row>29</xdr:row>
      <xdr:rowOff>166687</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47625</xdr:colOff>
      <xdr:row>15</xdr:row>
      <xdr:rowOff>76200</xdr:rowOff>
    </xdr:from>
    <xdr:to>
      <xdr:col>12</xdr:col>
      <xdr:colOff>202406</xdr:colOff>
      <xdr:row>29</xdr:row>
      <xdr:rowOff>95250</xdr:rowOff>
    </xdr:to>
    <xdr:sp macro="" textlink="">
      <xdr:nvSpPr>
        <xdr:cNvPr id="13" name="Rectangle 12"/>
        <xdr:cNvSpPr/>
      </xdr:nvSpPr>
      <xdr:spPr>
        <a:xfrm>
          <a:off x="4679156" y="3898106"/>
          <a:ext cx="3643313" cy="2733675"/>
        </a:xfrm>
        <a:prstGeom prst="rect">
          <a:avLst/>
        </a:prstGeom>
        <a:noFill/>
        <a:ln w="12700">
          <a:solidFill>
            <a:srgbClr val="54719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11</xdr:col>
      <xdr:colOff>311944</xdr:colOff>
      <xdr:row>51</xdr:row>
      <xdr:rowOff>121443</xdr:rowOff>
    </xdr:from>
    <xdr:to>
      <xdr:col>12</xdr:col>
      <xdr:colOff>216313</xdr:colOff>
      <xdr:row>55</xdr:row>
      <xdr:rowOff>152400</xdr:rowOff>
    </xdr:to>
    <xdr:sp macro="" textlink="">
      <xdr:nvSpPr>
        <xdr:cNvPr id="9" name="Rounded Rectangle 8">
          <a:hlinkClick xmlns:r="http://schemas.openxmlformats.org/officeDocument/2006/relationships" r:id="rId5"/>
        </xdr:cNvPr>
        <xdr:cNvSpPr/>
      </xdr:nvSpPr>
      <xdr:spPr>
        <a:xfrm>
          <a:off x="6484144" y="10722768"/>
          <a:ext cx="1152144" cy="954882"/>
        </a:xfrm>
        <a:prstGeom prst="roundRect">
          <a:avLst/>
        </a:prstGeom>
        <a:gradFill flip="none" rotWithShape="1">
          <a:gsLst>
            <a:gs pos="0">
              <a:srgbClr val="FFFF99"/>
            </a:gs>
            <a:gs pos="80000">
              <a:srgbClr val="498D19"/>
            </a:gs>
            <a:gs pos="100000">
              <a:srgbClr val="498D19"/>
            </a:gs>
          </a:gsLst>
          <a:path path="circle">
            <a:fillToRect l="100000" t="100000"/>
          </a:path>
          <a:tileRect r="-100000" b="-100000"/>
        </a:gradFill>
        <a:ln>
          <a:noFill/>
        </a:ln>
      </xdr:spPr>
      <xdr:style>
        <a:lnRef idx="1">
          <a:schemeClr val="dk1"/>
        </a:lnRef>
        <a:fillRef idx="3">
          <a:schemeClr val="dk1"/>
        </a:fillRef>
        <a:effectRef idx="2">
          <a:schemeClr val="dk1"/>
        </a:effectRef>
        <a:fontRef idx="minor">
          <a:schemeClr val="lt1"/>
        </a:fontRef>
      </xdr:style>
      <xdr:txBody>
        <a:bodyPr vertOverflow="clip" lIns="0" rIns="0" rtlCol="0" anchor="t"/>
        <a:lstStyle/>
        <a:p>
          <a:pPr algn="ctr"/>
          <a:r>
            <a:rPr lang="en-US" sz="1100" b="1"/>
            <a:t>Take Action!</a:t>
          </a:r>
        </a:p>
        <a:p>
          <a:pPr algn="ctr"/>
          <a:r>
            <a:rPr lang="en-US" sz="3600" b="1">
              <a:solidFill>
                <a:schemeClr val="bg1"/>
              </a:solidFill>
              <a:sym typeface="Wingdings"/>
            </a:rPr>
            <a:t></a:t>
          </a:r>
          <a:endParaRPr lang="en-US" sz="3600" b="1">
            <a:solidFill>
              <a:schemeClr val="bg1"/>
            </a:solidFill>
          </a:endParaRPr>
        </a:p>
      </xdr:txBody>
    </xdr:sp>
    <xdr:clientData/>
  </xdr:twoCellAnchor>
  <xdr:twoCellAnchor>
    <xdr:from>
      <xdr:col>3</xdr:col>
      <xdr:colOff>571500</xdr:colOff>
      <xdr:row>51</xdr:row>
      <xdr:rowOff>381000</xdr:rowOff>
    </xdr:from>
    <xdr:to>
      <xdr:col>5</xdr:col>
      <xdr:colOff>457200</xdr:colOff>
      <xdr:row>52</xdr:row>
      <xdr:rowOff>19050</xdr:rowOff>
    </xdr:to>
    <xdr:sp macro="" textlink="">
      <xdr:nvSpPr>
        <xdr:cNvPr id="14" name="Rectangle 13">
          <a:hlinkClick xmlns:r="http://schemas.openxmlformats.org/officeDocument/2006/relationships" r:id="rId5"/>
        </xdr:cNvPr>
        <xdr:cNvSpPr/>
      </xdr:nvSpPr>
      <xdr:spPr>
        <a:xfrm>
          <a:off x="2143125" y="10982325"/>
          <a:ext cx="1485900"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editAs="oneCell">
    <xdr:from>
      <xdr:col>11</xdr:col>
      <xdr:colOff>819150</xdr:colOff>
      <xdr:row>57</xdr:row>
      <xdr:rowOff>38100</xdr:rowOff>
    </xdr:from>
    <xdr:to>
      <xdr:col>12</xdr:col>
      <xdr:colOff>192752</xdr:colOff>
      <xdr:row>57</xdr:row>
      <xdr:rowOff>255269</xdr:rowOff>
    </xdr:to>
    <xdr:pic>
      <xdr:nvPicPr>
        <xdr:cNvPr id="16" name="Picture 15" descr="CCG_logo_cmyk_wmf(new).wmf"/>
        <xdr:cNvPicPr>
          <a:picLocks noChangeAspect="1"/>
        </xdr:cNvPicPr>
      </xdr:nvPicPr>
      <xdr:blipFill>
        <a:blip xmlns:r="http://schemas.openxmlformats.org/officeDocument/2006/relationships" r:embed="rId6" cstate="print"/>
        <a:stretch>
          <a:fillRect/>
        </a:stretch>
      </xdr:blipFill>
      <xdr:spPr>
        <a:xfrm>
          <a:off x="7143750" y="11963400"/>
          <a:ext cx="621377" cy="217169"/>
        </a:xfrm>
        <a:prstGeom prst="rect">
          <a:avLst/>
        </a:prstGeom>
      </xdr:spPr>
    </xdr:pic>
    <xdr:clientData/>
  </xdr:twoCellAnchor>
  <xdr:twoCellAnchor editAs="oneCell">
    <xdr:from>
      <xdr:col>2</xdr:col>
      <xdr:colOff>1</xdr:colOff>
      <xdr:row>52</xdr:row>
      <xdr:rowOff>38101</xdr:rowOff>
    </xdr:from>
    <xdr:to>
      <xdr:col>2</xdr:col>
      <xdr:colOff>734291</xdr:colOff>
      <xdr:row>55</xdr:row>
      <xdr:rowOff>180976</xdr:rowOff>
    </xdr:to>
    <xdr:pic>
      <xdr:nvPicPr>
        <xdr:cNvPr id="15" name="Picture 14"/>
        <xdr:cNvPicPr>
          <a:picLocks noChangeAspect="1"/>
        </xdr:cNvPicPr>
      </xdr:nvPicPr>
      <xdr:blipFill>
        <a:blip xmlns:r="http://schemas.openxmlformats.org/officeDocument/2006/relationships" r:embed="rId7"/>
        <a:stretch>
          <a:fillRect/>
        </a:stretch>
      </xdr:blipFill>
      <xdr:spPr>
        <a:xfrm>
          <a:off x="228601" y="11172826"/>
          <a:ext cx="734290" cy="5334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16</xdr:col>
      <xdr:colOff>249239</xdr:colOff>
      <xdr:row>15</xdr:row>
      <xdr:rowOff>38101</xdr:rowOff>
    </xdr:from>
    <xdr:to>
      <xdr:col>16</xdr:col>
      <xdr:colOff>257175</xdr:colOff>
      <xdr:row>19</xdr:row>
      <xdr:rowOff>123828</xdr:rowOff>
    </xdr:to>
    <xdr:cxnSp macro="">
      <xdr:nvCxnSpPr>
        <xdr:cNvPr id="3" name="Straight Arrow Connector 2"/>
        <xdr:cNvCxnSpPr/>
      </xdr:nvCxnSpPr>
      <xdr:spPr>
        <a:xfrm rot="16200000" flipH="1">
          <a:off x="8644731" y="4091784"/>
          <a:ext cx="933452" cy="7936"/>
        </a:xfrm>
        <a:prstGeom prst="straightConnector1">
          <a:avLst/>
        </a:prstGeom>
        <a:ln>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13</xdr:col>
      <xdr:colOff>9525</xdr:colOff>
      <xdr:row>1</xdr:row>
      <xdr:rowOff>47625</xdr:rowOff>
    </xdr:from>
    <xdr:to>
      <xdr:col>16</xdr:col>
      <xdr:colOff>485775</xdr:colOff>
      <xdr:row>3</xdr:row>
      <xdr:rowOff>161925</xdr:rowOff>
    </xdr:to>
    <xdr:pic>
      <xdr:nvPicPr>
        <xdr:cNvPr id="4"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6905625" y="238125"/>
          <a:ext cx="2276475" cy="666750"/>
        </a:xfrm>
        <a:prstGeom prst="rect">
          <a:avLst/>
        </a:prstGeom>
        <a:noFill/>
        <a:ln w="1">
          <a:noFill/>
          <a:miter lim="800000"/>
          <a:headEnd/>
          <a:tailEnd type="none" w="med" len="med"/>
        </a:ln>
        <a:effectLst/>
      </xdr:spPr>
    </xdr:pic>
    <xdr:clientData/>
  </xdr:twoCellAnchor>
  <xdr:twoCellAnchor>
    <xdr:from>
      <xdr:col>2</xdr:col>
      <xdr:colOff>9525</xdr:colOff>
      <xdr:row>32</xdr:row>
      <xdr:rowOff>257175</xdr:rowOff>
    </xdr:from>
    <xdr:to>
      <xdr:col>15</xdr:col>
      <xdr:colOff>238125</xdr:colOff>
      <xdr:row>35</xdr:row>
      <xdr:rowOff>190500</xdr:rowOff>
    </xdr:to>
    <xdr:sp macro="" textlink="">
      <xdr:nvSpPr>
        <xdr:cNvPr id="5" name="TextBox 4"/>
        <xdr:cNvSpPr txBox="1"/>
      </xdr:nvSpPr>
      <xdr:spPr>
        <a:xfrm>
          <a:off x="323850" y="6486525"/>
          <a:ext cx="8001000" cy="733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0" i="1"/>
            <a:t>* The </a:t>
          </a:r>
          <a:r>
            <a:rPr lang="en-US" sz="1100" i="1"/>
            <a:t>estimates provided</a:t>
          </a:r>
          <a:r>
            <a:rPr lang="en-US" sz="1100" i="1" baseline="0"/>
            <a:t> in the calculator </a:t>
          </a:r>
          <a:r>
            <a:rPr lang="en-US" sz="1100" i="1"/>
            <a:t>for your trash quantity, cost, and makeup are based on the best available information for your business sector.  However, these estimates reflect average trash data for businesses with varying levels of recycling and in different  regions of the state.  The averages may not accurately represent your business's trash.</a:t>
          </a:r>
        </a:p>
      </xdr:txBody>
    </xdr:sp>
    <xdr:clientData/>
  </xdr:twoCellAnchor>
  <mc:AlternateContent xmlns:mc="http://schemas.openxmlformats.org/markup-compatibility/2006">
    <mc:Choice xmlns:a14="http://schemas.microsoft.com/office/drawing/2010/main" Requires="a14">
      <xdr:twoCellAnchor editAs="oneCell">
        <xdr:from>
          <xdr:col>1</xdr:col>
          <xdr:colOff>180975</xdr:colOff>
          <xdr:row>14</xdr:row>
          <xdr:rowOff>38100</xdr:rowOff>
        </xdr:from>
        <xdr:to>
          <xdr:col>2</xdr:col>
          <xdr:colOff>285750</xdr:colOff>
          <xdr:row>15</xdr:row>
          <xdr:rowOff>19050</xdr:rowOff>
        </xdr:to>
        <xdr:sp macro="" textlink="">
          <xdr:nvSpPr>
            <xdr:cNvPr id="26671" name="Check Box 47" hidden="1">
              <a:extLst>
                <a:ext uri="{63B3BB69-23CF-44E3-9099-C40C66FF867C}">
                  <a14:compatExt spid="_x0000_s26671"/>
                </a:ext>
              </a:extLst>
            </xdr:cNvPr>
            <xdr:cNvSpPr/>
          </xdr:nvSpPr>
          <xdr:spPr bwMode="auto">
            <a:xfrm>
              <a:off x="0" y="0"/>
              <a:ext cx="0" cy="0"/>
            </a:xfrm>
            <a:prstGeom prst="rect">
              <a:avLst/>
            </a:prstGeom>
            <a:noFill/>
            <a:ln>
              <a:noFill/>
            </a:ln>
            <a:extLst>
              <a:ext uri="{909E8E84-426E-40DD-AFC4-6F175D3DCCD1}">
                <a14:hiddenFill>
                  <a:solidFill>
                    <a:srgbClr val="FFFF99" mc:Ignorable="a14" a14:legacySpreadsheetColorIndex="43"/>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14</xdr:row>
          <xdr:rowOff>38100</xdr:rowOff>
        </xdr:from>
        <xdr:to>
          <xdr:col>7</xdr:col>
          <xdr:colOff>57150</xdr:colOff>
          <xdr:row>15</xdr:row>
          <xdr:rowOff>19050</xdr:rowOff>
        </xdr:to>
        <xdr:sp macro="" textlink="">
          <xdr:nvSpPr>
            <xdr:cNvPr id="26672" name="Check Box 48" hidden="1">
              <a:extLst>
                <a:ext uri="{63B3BB69-23CF-44E3-9099-C40C66FF867C}">
                  <a14:compatExt spid="_x0000_s26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15</xdr:row>
          <xdr:rowOff>28575</xdr:rowOff>
        </xdr:from>
        <xdr:to>
          <xdr:col>7</xdr:col>
          <xdr:colOff>66675</xdr:colOff>
          <xdr:row>16</xdr:row>
          <xdr:rowOff>9525</xdr:rowOff>
        </xdr:to>
        <xdr:sp macro="" textlink="">
          <xdr:nvSpPr>
            <xdr:cNvPr id="26674" name="Check Box 50" hidden="1">
              <a:extLst>
                <a:ext uri="{63B3BB69-23CF-44E3-9099-C40C66FF867C}">
                  <a14:compatExt spid="_x0000_s26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xdr:col>
      <xdr:colOff>19050</xdr:colOff>
      <xdr:row>85</xdr:row>
      <xdr:rowOff>142876</xdr:rowOff>
    </xdr:from>
    <xdr:to>
      <xdr:col>15</xdr:col>
      <xdr:colOff>419100</xdr:colOff>
      <xdr:row>92</xdr:row>
      <xdr:rowOff>180976</xdr:rowOff>
    </xdr:to>
    <xdr:sp macro="" textlink="">
      <xdr:nvSpPr>
        <xdr:cNvPr id="4" name="TextBox 3"/>
        <xdr:cNvSpPr txBox="1"/>
      </xdr:nvSpPr>
      <xdr:spPr>
        <a:xfrm>
          <a:off x="133350" y="17440276"/>
          <a:ext cx="8020050" cy="137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i="1"/>
            <a:t>* Please note: </a:t>
          </a:r>
          <a:r>
            <a:rPr lang="en-US" sz="1100" b="0" i="1"/>
            <a:t> The </a:t>
          </a:r>
          <a:r>
            <a:rPr lang="en-US" sz="1100" i="1"/>
            <a:t>estimates provided for your trash quantity, cost, and makeup are based on the best available information for your business sector.  However, these estimates reflect average trash data for businesses with varying levels of recycling and in different  regions of the state.  The averages may not accurately represent your business's trash.</a:t>
          </a:r>
        </a:p>
      </xdr:txBody>
    </xdr:sp>
    <xdr:clientData/>
  </xdr:twoCellAnchor>
  <xdr:twoCellAnchor>
    <xdr:from>
      <xdr:col>1</xdr:col>
      <xdr:colOff>76200</xdr:colOff>
      <xdr:row>67</xdr:row>
      <xdr:rowOff>28575</xdr:rowOff>
    </xdr:from>
    <xdr:to>
      <xdr:col>16</xdr:col>
      <xdr:colOff>295275</xdr:colOff>
      <xdr:row>69</xdr:row>
      <xdr:rowOff>0</xdr:rowOff>
    </xdr:to>
    <xdr:sp macro="" textlink="">
      <xdr:nvSpPr>
        <xdr:cNvPr id="17" name="TextBox 16"/>
        <xdr:cNvSpPr txBox="1"/>
      </xdr:nvSpPr>
      <xdr:spPr>
        <a:xfrm>
          <a:off x="190500" y="11049000"/>
          <a:ext cx="8524875" cy="409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000" b="1" i="1"/>
            <a:t>Tip</a:t>
          </a:r>
          <a:r>
            <a:rPr lang="en-US" sz="1000" i="1"/>
            <a:t>:  To use</a:t>
          </a:r>
          <a:r>
            <a:rPr lang="en-US" sz="1000" i="1" baseline="0"/>
            <a:t> this section, c</a:t>
          </a:r>
          <a:r>
            <a:rPr lang="en-US" sz="1000" i="1"/>
            <a:t>lick on the button "Have information on number of containers and pickups" in the trash amount box at the top of this sheet.</a:t>
          </a:r>
          <a:r>
            <a:rPr kumimoji="0" lang="en-US" sz="1000" b="0" i="0" u="none" strike="noStrike" kern="0" cap="none" spc="0" normalizeH="0" baseline="0" noProof="0">
              <a:ln>
                <a:noFill/>
              </a:ln>
              <a:solidFill>
                <a:prstClr val="black"/>
              </a:solidFill>
              <a:effectLst/>
              <a:uLnTx/>
              <a:uFillTx/>
              <a:latin typeface="+mn-lt"/>
              <a:ea typeface="+mn-ea"/>
              <a:cs typeface="+mn-cs"/>
            </a:rPr>
            <a:t>       </a:t>
          </a:r>
        </a:p>
        <a:p>
          <a:pPr marL="0" marR="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prstClr val="black"/>
              </a:solidFill>
              <a:effectLst/>
              <a:uLnTx/>
              <a:uFillTx/>
              <a:latin typeface="+mn-lt"/>
              <a:ea typeface="+mn-ea"/>
              <a:cs typeface="+mn-cs"/>
            </a:rPr>
            <a:t>         </a:t>
          </a:r>
          <a:r>
            <a:rPr kumimoji="0" lang="en-US" sz="1000" b="0" i="1" u="none" strike="noStrike" kern="0" cap="none" spc="0" normalizeH="0" baseline="0" noProof="0">
              <a:ln>
                <a:noFill/>
              </a:ln>
              <a:solidFill>
                <a:prstClr val="black"/>
              </a:solidFill>
              <a:effectLst/>
              <a:uLnTx/>
              <a:uFillTx/>
              <a:latin typeface="+mn-lt"/>
              <a:ea typeface="+mn-ea"/>
              <a:cs typeface="+mn-cs"/>
            </a:rPr>
            <a:t>The information you enter here will show up in the box at the top of the sheet as well</a:t>
          </a:r>
          <a:r>
            <a:rPr kumimoji="0" lang="en-US" sz="1000" b="0" i="1" u="none" strike="noStrike" kern="0" cap="none" spc="0" normalizeH="0" baseline="0" noProof="0">
              <a:ln>
                <a:noFill/>
              </a:ln>
              <a:solidFill>
                <a:schemeClr val="dk1"/>
              </a:solidFill>
              <a:effectLst/>
              <a:uLnTx/>
              <a:uFillTx/>
              <a:latin typeface="+mn-lt"/>
              <a:ea typeface="+mn-ea"/>
              <a:cs typeface="+mn-cs"/>
            </a:rPr>
            <a:t>.</a:t>
          </a:r>
          <a:endParaRPr lang="en-US" sz="1000" b="0" i="0" u="none" strike="noStrike">
            <a:solidFill>
              <a:schemeClr val="dk1"/>
            </a:solidFill>
            <a:latin typeface="+mn-lt"/>
            <a:ea typeface="+mn-ea"/>
            <a:cs typeface="+mn-cs"/>
          </a:endParaRPr>
        </a:p>
        <a:p>
          <a:r>
            <a:rPr lang="en-US" sz="1000" b="0" i="0" u="none" strike="noStrike" baseline="0">
              <a:solidFill>
                <a:schemeClr val="dk1"/>
              </a:solidFill>
              <a:latin typeface="+mn-lt"/>
              <a:ea typeface="+mn-ea"/>
              <a:cs typeface="+mn-cs"/>
            </a:rPr>
            <a:t>        </a:t>
          </a:r>
          <a:endParaRPr lang="en-US" sz="1000" i="1"/>
        </a:p>
      </xdr:txBody>
    </xdr:sp>
    <xdr:clientData/>
  </xdr:twoCellAnchor>
  <xdr:twoCellAnchor>
    <xdr:from>
      <xdr:col>9</xdr:col>
      <xdr:colOff>200024</xdr:colOff>
      <xdr:row>36</xdr:row>
      <xdr:rowOff>161922</xdr:rowOff>
    </xdr:from>
    <xdr:to>
      <xdr:col>11</xdr:col>
      <xdr:colOff>238125</xdr:colOff>
      <xdr:row>44</xdr:row>
      <xdr:rowOff>114299</xdr:rowOff>
    </xdr:to>
    <xdr:sp macro="" textlink="">
      <xdr:nvSpPr>
        <xdr:cNvPr id="7" name="Text Box 75"/>
        <xdr:cNvSpPr txBox="1">
          <a:spLocks noChangeArrowheads="1"/>
        </xdr:cNvSpPr>
      </xdr:nvSpPr>
      <xdr:spPr bwMode="auto">
        <a:xfrm>
          <a:off x="4181474" y="8391522"/>
          <a:ext cx="1362076" cy="1857377"/>
        </a:xfrm>
        <a:prstGeom prst="rect">
          <a:avLst/>
        </a:prstGeom>
        <a:noFill/>
        <a:ln w="9525">
          <a:noFill/>
          <a:miter lim="800000"/>
          <a:headEnd/>
          <a:tailEnd/>
        </a:ln>
      </xdr:spPr>
      <xdr:txBody>
        <a:bodyPr vertOverflow="clip" wrap="square" lIns="27432" tIns="22860" rIns="0" bIns="0" anchor="t" upright="1"/>
        <a:lstStyle/>
        <a:p>
          <a:pPr algn="l" rtl="0">
            <a:defRPr sz="1000"/>
          </a:pPr>
          <a:r>
            <a:rPr lang="en-US" sz="950" b="1" i="1" strike="noStrike">
              <a:solidFill>
                <a:srgbClr val="000000"/>
              </a:solidFill>
              <a:latin typeface="Calibri"/>
              <a:ea typeface="Calibri"/>
              <a:cs typeface="Calibri"/>
            </a:rPr>
            <a:t>Tip:  </a:t>
          </a:r>
          <a:r>
            <a:rPr lang="en-US" sz="950" b="0" i="1" strike="noStrike">
              <a:solidFill>
                <a:srgbClr val="000000"/>
              </a:solidFill>
              <a:latin typeface="Calibri"/>
              <a:ea typeface="Calibri"/>
              <a:cs typeface="Calibri"/>
            </a:rPr>
            <a:t>If you would like to change the makeup of your trash instead of using the average makeup for your</a:t>
          </a:r>
          <a:r>
            <a:rPr lang="en-US" sz="950" b="0" i="1" strike="noStrike" baseline="0">
              <a:solidFill>
                <a:srgbClr val="000000"/>
              </a:solidFill>
              <a:latin typeface="Calibri"/>
              <a:ea typeface="Calibri"/>
              <a:cs typeface="Calibri"/>
            </a:rPr>
            <a:t> business type on the left, please make sure the percentages you enter add up to 100%.</a:t>
          </a:r>
        </a:p>
        <a:p>
          <a:pPr algn="l" rtl="0">
            <a:defRPr sz="1000"/>
          </a:pPr>
          <a:r>
            <a:rPr lang="en-US" sz="950" b="0" i="1" strike="noStrike" baseline="0">
              <a:solidFill>
                <a:srgbClr val="000000"/>
              </a:solidFill>
              <a:latin typeface="Calibri"/>
              <a:ea typeface="Calibri"/>
              <a:cs typeface="Calibri"/>
            </a:rPr>
            <a:t>Please choose below  whether to evaluate this makeup by weight or  by volume.</a:t>
          </a:r>
          <a:endParaRPr lang="en-US" sz="950" b="1" i="1" strike="noStrike">
            <a:solidFill>
              <a:srgbClr val="000000"/>
            </a:solidFill>
            <a:latin typeface="Calibri"/>
            <a:ea typeface="Calibri"/>
            <a:cs typeface="Calibri"/>
          </a:endParaRPr>
        </a:p>
      </xdr:txBody>
    </xdr:sp>
    <xdr:clientData/>
  </xdr:twoCellAnchor>
  <xdr:twoCellAnchor>
    <xdr:from>
      <xdr:col>16</xdr:col>
      <xdr:colOff>277812</xdr:colOff>
      <xdr:row>21</xdr:row>
      <xdr:rowOff>1</xdr:rowOff>
    </xdr:from>
    <xdr:to>
      <xdr:col>16</xdr:col>
      <xdr:colOff>304799</xdr:colOff>
      <xdr:row>27</xdr:row>
      <xdr:rowOff>180978</xdr:rowOff>
    </xdr:to>
    <xdr:cxnSp macro="">
      <xdr:nvCxnSpPr>
        <xdr:cNvPr id="8" name="Straight Arrow Connector 7"/>
        <xdr:cNvCxnSpPr/>
      </xdr:nvCxnSpPr>
      <xdr:spPr>
        <a:xfrm rot="16200000" flipH="1">
          <a:off x="8101805" y="5663408"/>
          <a:ext cx="1371602" cy="26987"/>
        </a:xfrm>
        <a:prstGeom prst="straightConnector1">
          <a:avLst/>
        </a:prstGeom>
        <a:ln>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13</xdr:col>
      <xdr:colOff>323850</xdr:colOff>
      <xdr:row>1</xdr:row>
      <xdr:rowOff>47625</xdr:rowOff>
    </xdr:from>
    <xdr:to>
      <xdr:col>17</xdr:col>
      <xdr:colOff>180975</xdr:colOff>
      <xdr:row>3</xdr:row>
      <xdr:rowOff>219075</xdr:rowOff>
    </xdr:to>
    <xdr:pic>
      <xdr:nvPicPr>
        <xdr:cNvPr id="9"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6943725" y="238125"/>
          <a:ext cx="2276475" cy="666750"/>
        </a:xfrm>
        <a:prstGeom prst="rect">
          <a:avLst/>
        </a:prstGeom>
        <a:noFill/>
        <a:ln w="1">
          <a:noFill/>
          <a:miter lim="800000"/>
          <a:headEnd/>
          <a:tailEnd type="none" w="med" len="med"/>
        </a:ln>
        <a:effectLst/>
      </xdr:spPr>
    </xdr:pic>
    <xdr:clientData/>
  </xdr:twoCellAnchor>
  <xdr:twoCellAnchor>
    <xdr:from>
      <xdr:col>16</xdr:col>
      <xdr:colOff>352425</xdr:colOff>
      <xdr:row>35</xdr:row>
      <xdr:rowOff>0</xdr:rowOff>
    </xdr:from>
    <xdr:to>
      <xdr:col>16</xdr:col>
      <xdr:colOff>370680</xdr:colOff>
      <xdr:row>38</xdr:row>
      <xdr:rowOff>208760</xdr:rowOff>
    </xdr:to>
    <xdr:cxnSp macro="">
      <xdr:nvCxnSpPr>
        <xdr:cNvPr id="10" name="Straight Arrow Connector 9"/>
        <xdr:cNvCxnSpPr/>
      </xdr:nvCxnSpPr>
      <xdr:spPr>
        <a:xfrm rot="16200000" flipH="1">
          <a:off x="8320085" y="8062915"/>
          <a:ext cx="923135" cy="18255"/>
        </a:xfrm>
        <a:prstGeom prst="straightConnector1">
          <a:avLst/>
        </a:prstGeom>
        <a:ln>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0</xdr:col>
          <xdr:colOff>85725</xdr:colOff>
          <xdr:row>5</xdr:row>
          <xdr:rowOff>219075</xdr:rowOff>
        </xdr:from>
        <xdr:to>
          <xdr:col>18</xdr:col>
          <xdr:colOff>19050</xdr:colOff>
          <xdr:row>19</xdr:row>
          <xdr:rowOff>28575</xdr:rowOff>
        </xdr:to>
        <xdr:sp macro="" textlink="">
          <xdr:nvSpPr>
            <xdr:cNvPr id="30744" name="Group Box 24" hidden="1">
              <a:extLst>
                <a:ext uri="{63B3BB69-23CF-44E3-9099-C40C66FF867C}">
                  <a14:compatExt spid="_x0000_s3074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xdr:row>
          <xdr:rowOff>114300</xdr:rowOff>
        </xdr:from>
        <xdr:to>
          <xdr:col>2</xdr:col>
          <xdr:colOff>114300</xdr:colOff>
          <xdr:row>8</xdr:row>
          <xdr:rowOff>95250</xdr:rowOff>
        </xdr:to>
        <xdr:sp macro="" textlink="">
          <xdr:nvSpPr>
            <xdr:cNvPr id="30745" name="Option Button 25" hidden="1">
              <a:extLst>
                <a:ext uri="{63B3BB69-23CF-44E3-9099-C40C66FF867C}">
                  <a14:compatExt spid="_x0000_s30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7</xdr:row>
          <xdr:rowOff>123825</xdr:rowOff>
        </xdr:from>
        <xdr:to>
          <xdr:col>6</xdr:col>
          <xdr:colOff>104775</xdr:colOff>
          <xdr:row>8</xdr:row>
          <xdr:rowOff>104775</xdr:rowOff>
        </xdr:to>
        <xdr:sp macro="" textlink="">
          <xdr:nvSpPr>
            <xdr:cNvPr id="30746" name="Option Button 26" hidden="1">
              <a:extLst>
                <a:ext uri="{63B3BB69-23CF-44E3-9099-C40C66FF867C}">
                  <a14:compatExt spid="_x0000_s30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7</xdr:row>
          <xdr:rowOff>114300</xdr:rowOff>
        </xdr:from>
        <xdr:to>
          <xdr:col>13</xdr:col>
          <xdr:colOff>123825</xdr:colOff>
          <xdr:row>8</xdr:row>
          <xdr:rowOff>95250</xdr:rowOff>
        </xdr:to>
        <xdr:sp macro="" textlink="">
          <xdr:nvSpPr>
            <xdr:cNvPr id="30747" name="Option Button 27" hidden="1">
              <a:extLst>
                <a:ext uri="{63B3BB69-23CF-44E3-9099-C40C66FF867C}">
                  <a14:compatExt spid="_x0000_s30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19</xdr:row>
          <xdr:rowOff>209550</xdr:rowOff>
        </xdr:from>
        <xdr:to>
          <xdr:col>14</xdr:col>
          <xdr:colOff>19050</xdr:colOff>
          <xdr:row>32</xdr:row>
          <xdr:rowOff>19050</xdr:rowOff>
        </xdr:to>
        <xdr:sp macro="" textlink="">
          <xdr:nvSpPr>
            <xdr:cNvPr id="30748" name="Group Box 28" hidden="1">
              <a:extLst>
                <a:ext uri="{63B3BB69-23CF-44E3-9099-C40C66FF867C}">
                  <a14:compatExt spid="_x0000_s3074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xdr:row>
          <xdr:rowOff>66675</xdr:rowOff>
        </xdr:from>
        <xdr:to>
          <xdr:col>2</xdr:col>
          <xdr:colOff>114300</xdr:colOff>
          <xdr:row>22</xdr:row>
          <xdr:rowOff>76200</xdr:rowOff>
        </xdr:to>
        <xdr:sp macro="" textlink="">
          <xdr:nvSpPr>
            <xdr:cNvPr id="30749" name="Option Button 29" hidden="1">
              <a:extLst>
                <a:ext uri="{63B3BB69-23CF-44E3-9099-C40C66FF867C}">
                  <a14:compatExt spid="_x0000_s30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21</xdr:row>
          <xdr:rowOff>76200</xdr:rowOff>
        </xdr:from>
        <xdr:to>
          <xdr:col>6</xdr:col>
          <xdr:colOff>104775</xdr:colOff>
          <xdr:row>22</xdr:row>
          <xdr:rowOff>85725</xdr:rowOff>
        </xdr:to>
        <xdr:sp macro="" textlink="">
          <xdr:nvSpPr>
            <xdr:cNvPr id="30750" name="Option Button 30" hidden="1">
              <a:extLst>
                <a:ext uri="{63B3BB69-23CF-44E3-9099-C40C66FF867C}">
                  <a14:compatExt spid="_x0000_s30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32</xdr:row>
          <xdr:rowOff>209550</xdr:rowOff>
        </xdr:from>
        <xdr:to>
          <xdr:col>12</xdr:col>
          <xdr:colOff>19050</xdr:colOff>
          <xdr:row>50</xdr:row>
          <xdr:rowOff>19050</xdr:rowOff>
        </xdr:to>
        <xdr:sp macro="" textlink="">
          <xdr:nvSpPr>
            <xdr:cNvPr id="30751" name="Group Box 31" hidden="1">
              <a:extLst>
                <a:ext uri="{63B3BB69-23CF-44E3-9099-C40C66FF867C}">
                  <a14:compatExt spid="_x0000_s3075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800100</xdr:colOff>
          <xdr:row>34</xdr:row>
          <xdr:rowOff>200025</xdr:rowOff>
        </xdr:from>
        <xdr:to>
          <xdr:col>2</xdr:col>
          <xdr:colOff>1104900</xdr:colOff>
          <xdr:row>35</xdr:row>
          <xdr:rowOff>200025</xdr:rowOff>
        </xdr:to>
        <xdr:sp macro="" textlink="">
          <xdr:nvSpPr>
            <xdr:cNvPr id="30752" name="Option Button 32" hidden="1">
              <a:extLst>
                <a:ext uri="{63B3BB69-23CF-44E3-9099-C40C66FF867C}">
                  <a14:compatExt spid="_x0000_s30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476250</xdr:colOff>
          <xdr:row>34</xdr:row>
          <xdr:rowOff>209550</xdr:rowOff>
        </xdr:from>
        <xdr:to>
          <xdr:col>5</xdr:col>
          <xdr:colOff>295275</xdr:colOff>
          <xdr:row>35</xdr:row>
          <xdr:rowOff>190500</xdr:rowOff>
        </xdr:to>
        <xdr:sp macro="" textlink="">
          <xdr:nvSpPr>
            <xdr:cNvPr id="30753" name="Option Button 33" hidden="1">
              <a:extLst>
                <a:ext uri="{63B3BB69-23CF-44E3-9099-C40C66FF867C}">
                  <a14:compatExt spid="_x0000_s30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xdr:row>
          <xdr:rowOff>28575</xdr:rowOff>
        </xdr:from>
        <xdr:to>
          <xdr:col>2</xdr:col>
          <xdr:colOff>114300</xdr:colOff>
          <xdr:row>13</xdr:row>
          <xdr:rowOff>9525</xdr:rowOff>
        </xdr:to>
        <xdr:sp macro="" textlink="">
          <xdr:nvSpPr>
            <xdr:cNvPr id="30755" name="Option Button 35" hidden="1">
              <a:extLst>
                <a:ext uri="{63B3BB69-23CF-44E3-9099-C40C66FF867C}">
                  <a14:compatExt spid="_x0000_s30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1</xdr:col>
      <xdr:colOff>76201</xdr:colOff>
      <xdr:row>69</xdr:row>
      <xdr:rowOff>28575</xdr:rowOff>
    </xdr:from>
    <xdr:to>
      <xdr:col>15</xdr:col>
      <xdr:colOff>600076</xdr:colOff>
      <xdr:row>71</xdr:row>
      <xdr:rowOff>19050</xdr:rowOff>
    </xdr:to>
    <xdr:sp macro="" textlink="">
      <xdr:nvSpPr>
        <xdr:cNvPr id="8" name="TextBox 7"/>
        <xdr:cNvSpPr txBox="1"/>
      </xdr:nvSpPr>
      <xdr:spPr>
        <a:xfrm>
          <a:off x="190501" y="14506575"/>
          <a:ext cx="8191500"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00" b="1" i="1"/>
            <a:t>Tip</a:t>
          </a:r>
          <a:r>
            <a:rPr lang="en-US" sz="1000" i="1"/>
            <a:t>:  To use</a:t>
          </a:r>
          <a:r>
            <a:rPr lang="en-US" sz="1000" i="1" baseline="0"/>
            <a:t> this section, c</a:t>
          </a:r>
          <a:r>
            <a:rPr lang="en-US" sz="1000" i="1"/>
            <a:t>lick on the button "Have information on number of containers and pickups" in the trash amount box at the top of this sheet. </a:t>
          </a:r>
          <a:endParaRPr lang="en-US" sz="1000" b="0" i="0" u="none" strike="noStrike">
            <a:solidFill>
              <a:schemeClr val="dk1"/>
            </a:solidFill>
            <a:latin typeface="+mn-lt"/>
            <a:ea typeface="+mn-ea"/>
            <a:cs typeface="+mn-cs"/>
          </a:endParaRPr>
        </a:p>
        <a:p>
          <a:r>
            <a:rPr lang="en-US" sz="1000" b="0" i="0" u="none" strike="noStrike" baseline="0">
              <a:solidFill>
                <a:schemeClr val="dk1"/>
              </a:solidFill>
              <a:latin typeface="+mn-lt"/>
              <a:ea typeface="+mn-ea"/>
              <a:cs typeface="+mn-cs"/>
            </a:rPr>
            <a:t>        </a:t>
          </a:r>
          <a:r>
            <a:rPr lang="en-US" sz="1000" i="1"/>
            <a:t>The information you enter</a:t>
          </a:r>
          <a:r>
            <a:rPr lang="en-US" sz="1000" i="1" baseline="0"/>
            <a:t> here will show up in the box at the top of the sheet as well.</a:t>
          </a:r>
          <a:endParaRPr lang="en-US" sz="1000" i="1"/>
        </a:p>
      </xdr:txBody>
    </xdr:sp>
    <xdr:clientData/>
  </xdr:twoCellAnchor>
  <xdr:twoCellAnchor>
    <xdr:from>
      <xdr:col>1</xdr:col>
      <xdr:colOff>133350</xdr:colOff>
      <xdr:row>89</xdr:row>
      <xdr:rowOff>76200</xdr:rowOff>
    </xdr:from>
    <xdr:to>
      <xdr:col>15</xdr:col>
      <xdr:colOff>400050</xdr:colOff>
      <xdr:row>95</xdr:row>
      <xdr:rowOff>66675</xdr:rowOff>
    </xdr:to>
    <xdr:sp macro="" textlink="">
      <xdr:nvSpPr>
        <xdr:cNvPr id="9" name="TextBox 8"/>
        <xdr:cNvSpPr txBox="1"/>
      </xdr:nvSpPr>
      <xdr:spPr>
        <a:xfrm>
          <a:off x="247650" y="18811875"/>
          <a:ext cx="8020050" cy="1419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i="1"/>
            <a:t>* Please note: </a:t>
          </a:r>
          <a:r>
            <a:rPr lang="en-US" sz="1100" b="0" i="1"/>
            <a:t> The </a:t>
          </a:r>
          <a:r>
            <a:rPr lang="en-US" sz="1100" i="1"/>
            <a:t>estimates provided for your recycling quantity, cost, and makeup are based on the best available information for your business sector.  However, these estimates reflect average recycling data for businesses with varying levels of recycling and in different  regions of the state.  The averages may not accurately represent your business's recycling.</a:t>
          </a:r>
        </a:p>
      </xdr:txBody>
    </xdr:sp>
    <xdr:clientData/>
  </xdr:twoCellAnchor>
  <xdr:twoCellAnchor>
    <xdr:from>
      <xdr:col>16</xdr:col>
      <xdr:colOff>277020</xdr:colOff>
      <xdr:row>23</xdr:row>
      <xdr:rowOff>10317</xdr:rowOff>
    </xdr:from>
    <xdr:to>
      <xdr:col>16</xdr:col>
      <xdr:colOff>295275</xdr:colOff>
      <xdr:row>27</xdr:row>
      <xdr:rowOff>219077</xdr:rowOff>
    </xdr:to>
    <xdr:cxnSp macro="">
      <xdr:nvCxnSpPr>
        <xdr:cNvPr id="11" name="Straight Arrow Connector 10"/>
        <xdr:cNvCxnSpPr/>
      </xdr:nvCxnSpPr>
      <xdr:spPr>
        <a:xfrm rot="16200000" flipH="1">
          <a:off x="8273255" y="5453857"/>
          <a:ext cx="923135" cy="18255"/>
        </a:xfrm>
        <a:prstGeom prst="straightConnector1">
          <a:avLst/>
        </a:prstGeom>
        <a:ln>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13</xdr:col>
      <xdr:colOff>304800</xdr:colOff>
      <xdr:row>1</xdr:row>
      <xdr:rowOff>28575</xdr:rowOff>
    </xdr:from>
    <xdr:to>
      <xdr:col>17</xdr:col>
      <xdr:colOff>180975</xdr:colOff>
      <xdr:row>3</xdr:row>
      <xdr:rowOff>200025</xdr:rowOff>
    </xdr:to>
    <xdr:pic>
      <xdr:nvPicPr>
        <xdr:cNvPr id="10"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6896100" y="219075"/>
          <a:ext cx="2276475" cy="666750"/>
        </a:xfrm>
        <a:prstGeom prst="rect">
          <a:avLst/>
        </a:prstGeom>
        <a:noFill/>
        <a:ln w="1">
          <a:noFill/>
          <a:miter lim="800000"/>
          <a:headEnd/>
          <a:tailEnd type="none" w="med" len="med"/>
        </a:ln>
        <a:effectLst/>
      </xdr:spPr>
    </xdr:pic>
    <xdr:clientData/>
  </xdr:twoCellAnchor>
  <xdr:twoCellAnchor>
    <xdr:from>
      <xdr:col>16</xdr:col>
      <xdr:colOff>296070</xdr:colOff>
      <xdr:row>35</xdr:row>
      <xdr:rowOff>219867</xdr:rowOff>
    </xdr:from>
    <xdr:to>
      <xdr:col>16</xdr:col>
      <xdr:colOff>314325</xdr:colOff>
      <xdr:row>39</xdr:row>
      <xdr:rowOff>190502</xdr:rowOff>
    </xdr:to>
    <xdr:cxnSp macro="">
      <xdr:nvCxnSpPr>
        <xdr:cNvPr id="6" name="Straight Arrow Connector 5"/>
        <xdr:cNvCxnSpPr/>
      </xdr:nvCxnSpPr>
      <xdr:spPr>
        <a:xfrm rot="16200000" flipH="1">
          <a:off x="8187530" y="7806532"/>
          <a:ext cx="923135" cy="18255"/>
        </a:xfrm>
        <a:prstGeom prst="straightConnector1">
          <a:avLst/>
        </a:prstGeom>
        <a:ln>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28575</xdr:colOff>
          <xdr:row>7</xdr:row>
          <xdr:rowOff>114300</xdr:rowOff>
        </xdr:from>
        <xdr:to>
          <xdr:col>2</xdr:col>
          <xdr:colOff>133350</xdr:colOff>
          <xdr:row>8</xdr:row>
          <xdr:rowOff>104775</xdr:rowOff>
        </xdr:to>
        <xdr:sp macro="" textlink="">
          <xdr:nvSpPr>
            <xdr:cNvPr id="31758" name="Option Button 14" hidden="1">
              <a:extLst>
                <a:ext uri="{63B3BB69-23CF-44E3-9099-C40C66FF867C}">
                  <a14:compatExt spid="_x0000_s31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7</xdr:row>
          <xdr:rowOff>95250</xdr:rowOff>
        </xdr:from>
        <xdr:to>
          <xdr:col>7</xdr:col>
          <xdr:colOff>104775</xdr:colOff>
          <xdr:row>8</xdr:row>
          <xdr:rowOff>76200</xdr:rowOff>
        </xdr:to>
        <xdr:sp macro="" textlink="">
          <xdr:nvSpPr>
            <xdr:cNvPr id="31759" name="Option Button 15" hidden="1">
              <a:extLst>
                <a:ext uri="{63B3BB69-23CF-44E3-9099-C40C66FF867C}">
                  <a14:compatExt spid="_x0000_s31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7</xdr:row>
          <xdr:rowOff>123825</xdr:rowOff>
        </xdr:from>
        <xdr:to>
          <xdr:col>13</xdr:col>
          <xdr:colOff>38100</xdr:colOff>
          <xdr:row>8</xdr:row>
          <xdr:rowOff>104775</xdr:rowOff>
        </xdr:to>
        <xdr:sp macro="" textlink="">
          <xdr:nvSpPr>
            <xdr:cNvPr id="31760" name="Option Button 16" hidden="1">
              <a:extLst>
                <a:ext uri="{63B3BB69-23CF-44E3-9099-C40C66FF867C}">
                  <a14:compatExt spid="_x0000_s31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5</xdr:row>
          <xdr:rowOff>276225</xdr:rowOff>
        </xdr:from>
        <xdr:to>
          <xdr:col>18</xdr:col>
          <xdr:colOff>19050</xdr:colOff>
          <xdr:row>21</xdr:row>
          <xdr:rowOff>19050</xdr:rowOff>
        </xdr:to>
        <xdr:sp macro="" textlink="">
          <xdr:nvSpPr>
            <xdr:cNvPr id="31761" name="Group Box 17" hidden="1">
              <a:extLst>
                <a:ext uri="{63B3BB69-23CF-44E3-9099-C40C66FF867C}">
                  <a14:compatExt spid="_x0000_s3176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21</xdr:row>
          <xdr:rowOff>209550</xdr:rowOff>
        </xdr:from>
        <xdr:to>
          <xdr:col>14</xdr:col>
          <xdr:colOff>19050</xdr:colOff>
          <xdr:row>34</xdr:row>
          <xdr:rowOff>28575</xdr:rowOff>
        </xdr:to>
        <xdr:sp macro="" textlink="">
          <xdr:nvSpPr>
            <xdr:cNvPr id="31762" name="Group Box 18" hidden="1">
              <a:extLst>
                <a:ext uri="{63B3BB69-23CF-44E3-9099-C40C66FF867C}">
                  <a14:compatExt spid="_x0000_s317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34</xdr:row>
          <xdr:rowOff>228600</xdr:rowOff>
        </xdr:from>
        <xdr:to>
          <xdr:col>12</xdr:col>
          <xdr:colOff>19050</xdr:colOff>
          <xdr:row>52</xdr:row>
          <xdr:rowOff>19050</xdr:rowOff>
        </xdr:to>
        <xdr:sp macro="" textlink="">
          <xdr:nvSpPr>
            <xdr:cNvPr id="31763" name="Group Box 19" hidden="1">
              <a:extLst>
                <a:ext uri="{63B3BB69-23CF-44E3-9099-C40C66FF867C}">
                  <a14:compatExt spid="_x0000_s3176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609600</xdr:colOff>
          <xdr:row>37</xdr:row>
          <xdr:rowOff>0</xdr:rowOff>
        </xdr:from>
        <xdr:to>
          <xdr:col>2</xdr:col>
          <xdr:colOff>914400</xdr:colOff>
          <xdr:row>38</xdr:row>
          <xdr:rowOff>0</xdr:rowOff>
        </xdr:to>
        <xdr:sp macro="" textlink="">
          <xdr:nvSpPr>
            <xdr:cNvPr id="31764" name="Option Button 20" hidden="1">
              <a:extLst>
                <a:ext uri="{63B3BB69-23CF-44E3-9099-C40C66FF867C}">
                  <a14:compatExt spid="_x0000_s31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428625</xdr:colOff>
          <xdr:row>37</xdr:row>
          <xdr:rowOff>0</xdr:rowOff>
        </xdr:from>
        <xdr:to>
          <xdr:col>5</xdr:col>
          <xdr:colOff>257175</xdr:colOff>
          <xdr:row>37</xdr:row>
          <xdr:rowOff>219075</xdr:rowOff>
        </xdr:to>
        <xdr:sp macro="" textlink="">
          <xdr:nvSpPr>
            <xdr:cNvPr id="31765" name="Option Button 21" hidden="1">
              <a:extLst>
                <a:ext uri="{63B3BB69-23CF-44E3-9099-C40C66FF867C}">
                  <a14:compatExt spid="_x0000_s31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23</xdr:row>
          <xdr:rowOff>123825</xdr:rowOff>
        </xdr:from>
        <xdr:to>
          <xdr:col>2</xdr:col>
          <xdr:colOff>133350</xdr:colOff>
          <xdr:row>24</xdr:row>
          <xdr:rowOff>104775</xdr:rowOff>
        </xdr:to>
        <xdr:sp macro="" textlink="">
          <xdr:nvSpPr>
            <xdr:cNvPr id="31766" name="Option Button 22" hidden="1">
              <a:extLst>
                <a:ext uri="{63B3BB69-23CF-44E3-9099-C40C66FF867C}">
                  <a14:compatExt spid="_x0000_s31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23</xdr:row>
          <xdr:rowOff>114300</xdr:rowOff>
        </xdr:from>
        <xdr:to>
          <xdr:col>6</xdr:col>
          <xdr:colOff>104775</xdr:colOff>
          <xdr:row>24</xdr:row>
          <xdr:rowOff>95250</xdr:rowOff>
        </xdr:to>
        <xdr:sp macro="" textlink="">
          <xdr:nvSpPr>
            <xdr:cNvPr id="31767" name="Option Button 23" hidden="1">
              <a:extLst>
                <a:ext uri="{63B3BB69-23CF-44E3-9099-C40C66FF867C}">
                  <a14:compatExt spid="_x0000_s317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1</xdr:col>
      <xdr:colOff>95251</xdr:colOff>
      <xdr:row>5</xdr:row>
      <xdr:rowOff>57149</xdr:rowOff>
    </xdr:from>
    <xdr:to>
      <xdr:col>20</xdr:col>
      <xdr:colOff>1</xdr:colOff>
      <xdr:row>8</xdr:row>
      <xdr:rowOff>857250</xdr:rowOff>
    </xdr:to>
    <xdr:sp macro="" textlink="">
      <xdr:nvSpPr>
        <xdr:cNvPr id="3" name="TextBox 2"/>
        <xdr:cNvSpPr txBox="1"/>
      </xdr:nvSpPr>
      <xdr:spPr>
        <a:xfrm>
          <a:off x="209551" y="1219199"/>
          <a:ext cx="9029700" cy="13716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Use the table below</a:t>
          </a:r>
          <a:r>
            <a:rPr lang="en-US" sz="1100" baseline="0"/>
            <a:t> to evaluate the benefits you can achieve by reducing the amount of material you send to the landfill.  To use this table:</a:t>
          </a:r>
        </a:p>
        <a:p>
          <a:endParaRPr lang="en-US" sz="500" baseline="0"/>
        </a:p>
        <a:p>
          <a:r>
            <a:rPr lang="en-US" sz="1100" baseline="0"/>
            <a:t>	</a:t>
          </a:r>
          <a:r>
            <a:rPr lang="en-US" sz="1100" b="1" i="1" baseline="0"/>
            <a:t>Review</a:t>
          </a:r>
          <a:r>
            <a:rPr lang="en-US" sz="1100" baseline="0"/>
            <a:t> the "Current" section of the table, which is based on the information about your business, trash, and recycling that you have 	already entered.  </a:t>
          </a:r>
        </a:p>
        <a:p>
          <a:endParaRPr lang="en-US" sz="500" baseline="0"/>
        </a:p>
        <a:p>
          <a:r>
            <a:rPr lang="en-US" sz="1100" baseline="0"/>
            <a:t>	</a:t>
          </a:r>
          <a:r>
            <a:rPr lang="en-US" sz="1100" b="1" i="1" baseline="0"/>
            <a:t>Enter</a:t>
          </a:r>
          <a:r>
            <a:rPr lang="en-US" sz="1100" baseline="0"/>
            <a:t> a new, higher recycling rate and/or enter the percent of your trash that you would like to reduce in the yellow action cells </a:t>
          </a:r>
        </a:p>
        <a:p>
          <a:r>
            <a:rPr lang="en-US" sz="1100" baseline="0"/>
            <a:t>	</a:t>
          </a:r>
          <a:r>
            <a:rPr lang="en-US" sz="1100" baseline="0">
              <a:solidFill>
                <a:schemeClr val="dk1"/>
              </a:solidFill>
              <a:latin typeface="+mn-lt"/>
              <a:ea typeface="+mn-ea"/>
              <a:cs typeface="+mn-cs"/>
            </a:rPr>
            <a:t>in the "Future Actions" section </a:t>
          </a:r>
          <a:r>
            <a:rPr lang="en-US" sz="1100" baseline="0"/>
            <a:t>(refer to the Glossary and Guidelines pages for more information about these two types of actions).  </a:t>
          </a:r>
        </a:p>
        <a:p>
          <a:endParaRPr lang="en-US" sz="500" baseline="0"/>
        </a:p>
        <a:p>
          <a:r>
            <a:rPr lang="en-US" sz="1100" baseline="0"/>
            <a:t>The "Results" section and bar charts below the table summarize the trash, cost, and footprint savings</a:t>
          </a:r>
          <a:r>
            <a:rPr lang="en-US" sz="1100" baseline="30000"/>
            <a:t>1</a:t>
          </a:r>
          <a:r>
            <a:rPr lang="en-US" sz="1100" baseline="0"/>
            <a:t> for you!</a:t>
          </a:r>
        </a:p>
        <a:p>
          <a:endParaRPr lang="en-US" sz="1100"/>
        </a:p>
      </xdr:txBody>
    </xdr:sp>
    <xdr:clientData/>
  </xdr:twoCellAnchor>
  <xdr:twoCellAnchor editAs="oneCell">
    <xdr:from>
      <xdr:col>3</xdr:col>
      <xdr:colOff>221630</xdr:colOff>
      <xdr:row>58</xdr:row>
      <xdr:rowOff>146446</xdr:rowOff>
    </xdr:from>
    <xdr:to>
      <xdr:col>3</xdr:col>
      <xdr:colOff>400050</xdr:colOff>
      <xdr:row>59</xdr:row>
      <xdr:rowOff>219075</xdr:rowOff>
    </xdr:to>
    <xdr:pic>
      <xdr:nvPicPr>
        <xdr:cNvPr id="7" name="Picture 6" descr="incadescent.jpg"/>
        <xdr:cNvPicPr>
          <a:picLocks noChangeAspect="1"/>
        </xdr:cNvPicPr>
      </xdr:nvPicPr>
      <xdr:blipFill>
        <a:blip xmlns:r="http://schemas.openxmlformats.org/officeDocument/2006/relationships" r:embed="rId1" cstate="print"/>
        <a:srcRect/>
        <a:stretch>
          <a:fillRect/>
        </a:stretch>
      </xdr:blipFill>
      <xdr:spPr bwMode="auto">
        <a:xfrm>
          <a:off x="678830" y="13090921"/>
          <a:ext cx="178420" cy="310754"/>
        </a:xfrm>
        <a:prstGeom prst="rect">
          <a:avLst/>
        </a:prstGeom>
        <a:noFill/>
        <a:ln w="9525">
          <a:noFill/>
          <a:miter lim="800000"/>
          <a:headEnd/>
          <a:tailEnd/>
        </a:ln>
      </xdr:spPr>
    </xdr:pic>
    <xdr:clientData/>
  </xdr:twoCellAnchor>
  <xdr:twoCellAnchor editAs="oneCell">
    <xdr:from>
      <xdr:col>3</xdr:col>
      <xdr:colOff>419100</xdr:colOff>
      <xdr:row>56</xdr:row>
      <xdr:rowOff>142875</xdr:rowOff>
    </xdr:from>
    <xdr:to>
      <xdr:col>3</xdr:col>
      <xdr:colOff>743953</xdr:colOff>
      <xdr:row>57</xdr:row>
      <xdr:rowOff>161925</xdr:rowOff>
    </xdr:to>
    <xdr:pic>
      <xdr:nvPicPr>
        <xdr:cNvPr id="8" name="Picture 7" descr="Jetta.jpg"/>
        <xdr:cNvPicPr>
          <a:picLocks noChangeAspect="1"/>
        </xdr:cNvPicPr>
      </xdr:nvPicPr>
      <xdr:blipFill>
        <a:blip xmlns:r="http://schemas.openxmlformats.org/officeDocument/2006/relationships" r:embed="rId2" cstate="print"/>
        <a:srcRect/>
        <a:stretch>
          <a:fillRect/>
        </a:stretch>
      </xdr:blipFill>
      <xdr:spPr bwMode="auto">
        <a:xfrm>
          <a:off x="876300" y="12611100"/>
          <a:ext cx="324853" cy="257175"/>
        </a:xfrm>
        <a:prstGeom prst="rect">
          <a:avLst/>
        </a:prstGeom>
        <a:noFill/>
        <a:ln w="9525">
          <a:noFill/>
          <a:miter lim="800000"/>
          <a:headEnd/>
          <a:tailEnd/>
        </a:ln>
      </xdr:spPr>
    </xdr:pic>
    <xdr:clientData/>
  </xdr:twoCellAnchor>
  <xdr:twoCellAnchor>
    <xdr:from>
      <xdr:col>1</xdr:col>
      <xdr:colOff>47627</xdr:colOff>
      <xdr:row>30</xdr:row>
      <xdr:rowOff>114300</xdr:rowOff>
    </xdr:from>
    <xdr:to>
      <xdr:col>7</xdr:col>
      <xdr:colOff>219074</xdr:colOff>
      <xdr:row>43</xdr:row>
      <xdr:rowOff>104775</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323851</xdr:colOff>
      <xdr:row>30</xdr:row>
      <xdr:rowOff>104775</xdr:rowOff>
    </xdr:from>
    <xdr:to>
      <xdr:col>13</xdr:col>
      <xdr:colOff>476251</xdr:colOff>
      <xdr:row>43</xdr:row>
      <xdr:rowOff>104775</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590550</xdr:colOff>
      <xdr:row>30</xdr:row>
      <xdr:rowOff>104775</xdr:rowOff>
    </xdr:from>
    <xdr:to>
      <xdr:col>19</xdr:col>
      <xdr:colOff>628651</xdr:colOff>
      <xdr:row>43</xdr:row>
      <xdr:rowOff>95250</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xdr:col>
      <xdr:colOff>323851</xdr:colOff>
      <xdr:row>15</xdr:row>
      <xdr:rowOff>0</xdr:rowOff>
    </xdr:from>
    <xdr:to>
      <xdr:col>19</xdr:col>
      <xdr:colOff>325439</xdr:colOff>
      <xdr:row>18</xdr:row>
      <xdr:rowOff>161927</xdr:rowOff>
    </xdr:to>
    <xdr:cxnSp macro="">
      <xdr:nvCxnSpPr>
        <xdr:cNvPr id="12" name="Straight Arrow Connector 11"/>
        <xdr:cNvCxnSpPr/>
      </xdr:nvCxnSpPr>
      <xdr:spPr>
        <a:xfrm rot="5400000">
          <a:off x="8349456" y="4414045"/>
          <a:ext cx="1114427" cy="1588"/>
        </a:xfrm>
        <a:prstGeom prst="straightConnector1">
          <a:avLst/>
        </a:prstGeom>
        <a:ln>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15</xdr:col>
      <xdr:colOff>323850</xdr:colOff>
      <xdr:row>1</xdr:row>
      <xdr:rowOff>38100</xdr:rowOff>
    </xdr:from>
    <xdr:to>
      <xdr:col>19</xdr:col>
      <xdr:colOff>447675</xdr:colOff>
      <xdr:row>3</xdr:row>
      <xdr:rowOff>209550</xdr:rowOff>
    </xdr:to>
    <xdr:pic>
      <xdr:nvPicPr>
        <xdr:cNvPr id="13" name="Picture 1"/>
        <xdr:cNvPicPr>
          <a:picLocks noChangeAspect="1" noChangeArrowheads="1"/>
        </xdr:cNvPicPr>
      </xdr:nvPicPr>
      <xdr:blipFill>
        <a:blip xmlns:r="http://schemas.openxmlformats.org/officeDocument/2006/relationships" r:embed="rId6" cstate="print"/>
        <a:srcRect/>
        <a:stretch>
          <a:fillRect/>
        </a:stretch>
      </xdr:blipFill>
      <xdr:spPr bwMode="auto">
        <a:xfrm>
          <a:off x="6753225" y="228600"/>
          <a:ext cx="2276475" cy="666750"/>
        </a:xfrm>
        <a:prstGeom prst="rect">
          <a:avLst/>
        </a:prstGeom>
        <a:noFill/>
        <a:ln w="1">
          <a:noFill/>
          <a:miter lim="800000"/>
          <a:headEnd/>
          <a:tailEnd type="none" w="med" len="med"/>
        </a:ln>
        <a:effectLst/>
      </xdr:spPr>
    </xdr:pic>
    <xdr:clientData/>
  </xdr:twoCellAnchor>
  <xdr:twoCellAnchor editAs="oneCell">
    <xdr:from>
      <xdr:col>3</xdr:col>
      <xdr:colOff>342900</xdr:colOff>
      <xdr:row>62</xdr:row>
      <xdr:rowOff>161924</xdr:rowOff>
    </xdr:from>
    <xdr:to>
      <xdr:col>3</xdr:col>
      <xdr:colOff>735806</xdr:colOff>
      <xdr:row>64</xdr:row>
      <xdr:rowOff>114299</xdr:rowOff>
    </xdr:to>
    <xdr:pic>
      <xdr:nvPicPr>
        <xdr:cNvPr id="15" name="Picture 14" descr="tree.jpg"/>
        <xdr:cNvPicPr>
          <a:picLocks noChangeAspect="1"/>
        </xdr:cNvPicPr>
      </xdr:nvPicPr>
      <xdr:blipFill>
        <a:blip xmlns:r="http://schemas.openxmlformats.org/officeDocument/2006/relationships" r:embed="rId7" cstate="print"/>
        <a:srcRect/>
        <a:stretch>
          <a:fillRect/>
        </a:stretch>
      </xdr:blipFill>
      <xdr:spPr bwMode="auto">
        <a:xfrm>
          <a:off x="800100" y="14058899"/>
          <a:ext cx="392906" cy="428625"/>
        </a:xfrm>
        <a:prstGeom prst="rect">
          <a:avLst/>
        </a:prstGeom>
        <a:noFill/>
        <a:ln w="9525">
          <a:noFill/>
          <a:miter lim="800000"/>
          <a:headEnd/>
          <a:tailEnd/>
        </a:ln>
      </xdr:spPr>
    </xdr:pic>
    <xdr:clientData/>
  </xdr:twoCellAnchor>
  <xdr:twoCellAnchor editAs="oneCell">
    <xdr:from>
      <xdr:col>5</xdr:col>
      <xdr:colOff>38101</xdr:colOff>
      <xdr:row>60</xdr:row>
      <xdr:rowOff>148336</xdr:rowOff>
    </xdr:from>
    <xdr:to>
      <xdr:col>5</xdr:col>
      <xdr:colOff>419101</xdr:colOff>
      <xdr:row>62</xdr:row>
      <xdr:rowOff>57150</xdr:rowOff>
    </xdr:to>
    <xdr:pic>
      <xdr:nvPicPr>
        <xdr:cNvPr id="38917" name="Picture 5"/>
        <xdr:cNvPicPr>
          <a:picLocks noChangeAspect="1" noChangeArrowheads="1"/>
        </xdr:cNvPicPr>
      </xdr:nvPicPr>
      <xdr:blipFill>
        <a:blip xmlns:r="http://schemas.openxmlformats.org/officeDocument/2006/relationships" r:embed="rId8" cstate="print"/>
        <a:srcRect r="6250" b="5250"/>
        <a:stretch>
          <a:fillRect/>
        </a:stretch>
      </xdr:blipFill>
      <xdr:spPr bwMode="auto">
        <a:xfrm>
          <a:off x="1828801" y="13569061"/>
          <a:ext cx="381000" cy="385064"/>
        </a:xfrm>
        <a:prstGeom prst="rect">
          <a:avLst/>
        </a:prstGeom>
        <a:noFill/>
        <a:ln w="1">
          <a:noFill/>
          <a:miter lim="800000"/>
          <a:headEnd/>
          <a:tailEnd type="none" w="med" len="med"/>
        </a:ln>
        <a:effectLst/>
      </xdr:spPr>
    </xdr:pic>
    <xdr:clientData/>
  </xdr:twoCellAnchor>
  <xdr:twoCellAnchor>
    <xdr:from>
      <xdr:col>1</xdr:col>
      <xdr:colOff>133351</xdr:colOff>
      <xdr:row>64</xdr:row>
      <xdr:rowOff>171452</xdr:rowOff>
    </xdr:from>
    <xdr:to>
      <xdr:col>19</xdr:col>
      <xdr:colOff>581026</xdr:colOff>
      <xdr:row>66</xdr:row>
      <xdr:rowOff>145792</xdr:rowOff>
    </xdr:to>
    <xdr:sp macro="" textlink="">
      <xdr:nvSpPr>
        <xdr:cNvPr id="16" name="TextBox 15">
          <a:hlinkClick xmlns:r="http://schemas.openxmlformats.org/officeDocument/2006/relationships" r:id="rId9"/>
        </xdr:cNvPr>
        <xdr:cNvSpPr txBox="1"/>
      </xdr:nvSpPr>
      <xdr:spPr>
        <a:xfrm>
          <a:off x="247651" y="15011402"/>
          <a:ext cx="8934450" cy="42201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00" baseline="30000"/>
            <a:t>1</a:t>
          </a:r>
          <a:r>
            <a:rPr lang="en-US" sz="1000"/>
            <a:t> The carbon footprint results in this calculator are not suitable for reporting your company's greenhouse gas inventory as required for major sources by the California </a:t>
          </a:r>
        </a:p>
        <a:p>
          <a:pPr marL="0" marR="0" indent="0" defTabSz="914400" eaLnBrk="1" fontAlgn="auto" latinLnBrk="0" hangingPunct="1">
            <a:lnSpc>
              <a:spcPct val="100000"/>
            </a:lnSpc>
            <a:spcBef>
              <a:spcPts val="0"/>
            </a:spcBef>
            <a:spcAft>
              <a:spcPts val="0"/>
            </a:spcAft>
            <a:buClrTx/>
            <a:buSzTx/>
            <a:buFontTx/>
            <a:buNone/>
            <a:tabLst/>
            <a:defRPr/>
          </a:pPr>
          <a:r>
            <a:rPr lang="en-US" sz="1000"/>
            <a:t>   Global Warming Solutions Act. Please visit the California Air Resources Board website for more details: </a:t>
          </a:r>
          <a:r>
            <a:rPr lang="en-US" sz="1000" u="sng">
              <a:solidFill>
                <a:srgbClr val="0000FF"/>
              </a:solidFill>
            </a:rPr>
            <a:t>http://www.arb.ca.gov/cc/reporting/ghg-rep/ghg-rep.htm</a:t>
          </a:r>
          <a:r>
            <a:rPr lang="en-US" sz="1000" u="none">
              <a:solidFill>
                <a:sysClr val="windowText" lastClr="000000"/>
              </a:solidFill>
            </a:rPr>
            <a: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5</xdr:row>
      <xdr:rowOff>38101</xdr:rowOff>
    </xdr:from>
    <xdr:to>
      <xdr:col>15</xdr:col>
      <xdr:colOff>333374</xdr:colOff>
      <xdr:row>8</xdr:row>
      <xdr:rowOff>123825</xdr:rowOff>
    </xdr:to>
    <xdr:sp macro="" textlink="">
      <xdr:nvSpPr>
        <xdr:cNvPr id="2" name="TextBox 1"/>
        <xdr:cNvSpPr txBox="1"/>
      </xdr:nvSpPr>
      <xdr:spPr>
        <a:xfrm>
          <a:off x="247650" y="1219201"/>
          <a:ext cx="8753474" cy="657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This sheet provides</a:t>
          </a:r>
          <a:r>
            <a:rPr lang="en-US" sz="1100" baseline="0"/>
            <a:t> references, examples, and guidelines for what can be source reduced or recycled.  Review the experiences of other businesses to help gauge how much more you could be recycling.  Use the information on this page to get an idea of the percentages to enter in the Future Actions tab.</a:t>
          </a:r>
        </a:p>
        <a:p>
          <a:endParaRPr lang="en-US" sz="1100"/>
        </a:p>
      </xdr:txBody>
    </xdr:sp>
    <xdr:clientData/>
  </xdr:twoCellAnchor>
  <xdr:twoCellAnchor editAs="oneCell">
    <xdr:from>
      <xdr:col>11</xdr:col>
      <xdr:colOff>476250</xdr:colOff>
      <xdr:row>1</xdr:row>
      <xdr:rowOff>28575</xdr:rowOff>
    </xdr:from>
    <xdr:to>
      <xdr:col>15</xdr:col>
      <xdr:colOff>457200</xdr:colOff>
      <xdr:row>3</xdr:row>
      <xdr:rowOff>200025</xdr:rowOff>
    </xdr:to>
    <xdr:pic>
      <xdr:nvPicPr>
        <xdr:cNvPr id="3"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6848475" y="219075"/>
          <a:ext cx="2276475" cy="666750"/>
        </a:xfrm>
        <a:prstGeom prst="rect">
          <a:avLst/>
        </a:prstGeom>
        <a:noFill/>
        <a:ln w="1">
          <a:noFill/>
          <a:miter lim="800000"/>
          <a:headEnd/>
          <a:tailEnd type="none" w="med" len="med"/>
        </a:ln>
        <a:effectLst/>
      </xdr:spPr>
    </xdr:pic>
    <xdr:clientData/>
  </xdr:twoCellAnchor>
  <xdr:twoCellAnchor>
    <xdr:from>
      <xdr:col>2</xdr:col>
      <xdr:colOff>57150</xdr:colOff>
      <xdr:row>13</xdr:row>
      <xdr:rowOff>161925</xdr:rowOff>
    </xdr:from>
    <xdr:to>
      <xdr:col>16</xdr:col>
      <xdr:colOff>95250</xdr:colOff>
      <xdr:row>32</xdr:row>
      <xdr:rowOff>38100</xdr:rowOff>
    </xdr:to>
    <xdr:sp macro="" textlink="">
      <xdr:nvSpPr>
        <xdr:cNvPr id="4" name="TextBox 3"/>
        <xdr:cNvSpPr txBox="1"/>
      </xdr:nvSpPr>
      <xdr:spPr>
        <a:xfrm>
          <a:off x="342900" y="2266950"/>
          <a:ext cx="8905875" cy="3924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latin typeface="+mn-lt"/>
              <a:ea typeface="+mn-ea"/>
              <a:cs typeface="+mn-cs"/>
            </a:rPr>
            <a:t>California</a:t>
          </a:r>
          <a:r>
            <a:rPr lang="en-US" sz="1100" baseline="0">
              <a:solidFill>
                <a:schemeClr val="dk1"/>
              </a:solidFill>
              <a:latin typeface="+mn-lt"/>
              <a:ea typeface="+mn-ea"/>
              <a:cs typeface="+mn-cs"/>
            </a:rPr>
            <a:t> businesses recycle an average of about 40%, or between about 20% and 70% of their total waste generated.  California multi-family complexes recycle an average of about 10% of their total waste.* Award-winning business examples are shown below:</a:t>
          </a:r>
          <a:endParaRPr lang="en-US"/>
        </a:p>
        <a:p>
          <a:pPr fontAlgn="base"/>
          <a:endParaRPr lang="en-US" sz="1100" baseline="0">
            <a:solidFill>
              <a:schemeClr val="dk1"/>
            </a:solidFill>
            <a:latin typeface="+mn-lt"/>
            <a:ea typeface="+mn-ea"/>
            <a:cs typeface="+mn-cs"/>
          </a:endParaRPr>
        </a:p>
        <a:p>
          <a:pPr fontAlgn="base"/>
          <a:r>
            <a:rPr lang="en-US" sz="1100" baseline="0">
              <a:solidFill>
                <a:schemeClr val="dk1"/>
              </a:solidFill>
              <a:latin typeface="+mn-lt"/>
              <a:ea typeface="+mn-ea"/>
              <a:cs typeface="+mn-cs"/>
            </a:rPr>
            <a:t>- 3M Unitek, a medical device manufacturer recycles more than 65% of its waste, saving about $200,000 each year. (2009, Calrecycle.ca.gov/WRAP)</a:t>
          </a:r>
        </a:p>
        <a:p>
          <a:pPr fontAlgn="base"/>
          <a:endParaRPr lang="en-US" sz="1100" baseline="0">
            <a:solidFill>
              <a:schemeClr val="dk1"/>
            </a:solidFill>
            <a:latin typeface="+mn-lt"/>
            <a:ea typeface="+mn-ea"/>
            <a:cs typeface="+mn-cs"/>
          </a:endParaRPr>
        </a:p>
        <a:p>
          <a:r>
            <a:rPr lang="en-US" sz="1100" baseline="0">
              <a:solidFill>
                <a:schemeClr val="dk1"/>
              </a:solidFill>
              <a:latin typeface="+mn-lt"/>
              <a:ea typeface="+mn-ea"/>
              <a:cs typeface="+mn-cs"/>
            </a:rPr>
            <a:t>- Hewlett Packard recycles about 88% of its landfilled waste. (2008, Paperrecycles.org)</a:t>
          </a:r>
          <a:endParaRPr lang="en-US"/>
        </a:p>
        <a:p>
          <a:pPr fontAlgn="base"/>
          <a:endParaRPr lang="en-US" sz="1100" baseline="0">
            <a:solidFill>
              <a:schemeClr val="dk1"/>
            </a:solidFill>
            <a:latin typeface="+mn-lt"/>
            <a:ea typeface="+mn-ea"/>
            <a:cs typeface="+mn-cs"/>
          </a:endParaRPr>
        </a:p>
        <a:p>
          <a:r>
            <a:rPr lang="en-US" sz="1100">
              <a:solidFill>
                <a:schemeClr val="dk1"/>
              </a:solidFill>
              <a:latin typeface="+mn-lt"/>
              <a:ea typeface="+mn-ea"/>
              <a:cs typeface="+mn-cs"/>
            </a:rPr>
            <a:t>- PRIDE Industries, the</a:t>
          </a:r>
          <a:r>
            <a:rPr lang="en-US" sz="1100" baseline="0">
              <a:solidFill>
                <a:schemeClr val="dk1"/>
              </a:solidFill>
              <a:latin typeface="+mn-lt"/>
              <a:ea typeface="+mn-ea"/>
              <a:cs typeface="+mn-cs"/>
            </a:rPr>
            <a:t> nation's largest employer of people with disabilities, diverts more than 84% of its waste, saving over $8,000 annually. (2009, Calrecycle.ca.gov/WRAP)</a:t>
          </a:r>
          <a:endParaRPr lang="en-US"/>
        </a:p>
        <a:p>
          <a:pPr fontAlgn="base"/>
          <a:endParaRPr lang="en-US" sz="1100" baseline="0">
            <a:solidFill>
              <a:schemeClr val="dk1"/>
            </a:solidFill>
            <a:latin typeface="+mn-lt"/>
            <a:ea typeface="+mn-ea"/>
            <a:cs typeface="+mn-cs"/>
          </a:endParaRPr>
        </a:p>
        <a:p>
          <a:r>
            <a:rPr lang="en-US" sz="1100" baseline="0">
              <a:solidFill>
                <a:schemeClr val="dk1"/>
              </a:solidFill>
              <a:latin typeface="+mn-lt"/>
              <a:ea typeface="+mn-ea"/>
              <a:cs typeface="+mn-cs"/>
            </a:rPr>
            <a:t>- Safeway stores in California have diverted more than 85% of their waste for recycling and composting, saving over $22 million each year. (2009, Calrecycle.ca.gov/WRAP)</a:t>
          </a:r>
          <a:endParaRPr lang="en-US"/>
        </a:p>
        <a:p>
          <a:pPr fontAlgn="base"/>
          <a:endParaRPr lang="en-US" sz="1100" baseline="0">
            <a:solidFill>
              <a:schemeClr val="dk1"/>
            </a:solidFill>
            <a:latin typeface="+mn-lt"/>
            <a:ea typeface="+mn-ea"/>
            <a:cs typeface="+mn-cs"/>
          </a:endParaRPr>
        </a:p>
        <a:p>
          <a:r>
            <a:rPr lang="en-US" sz="1100" baseline="0">
              <a:solidFill>
                <a:schemeClr val="dk1"/>
              </a:solidFill>
              <a:latin typeface="+mn-lt"/>
              <a:ea typeface="+mn-ea"/>
              <a:cs typeface="+mn-cs"/>
            </a:rPr>
            <a:t>- Sierra Nevada Brewing Company is achieving a 99.5% diversion rate, saving over $4.5 million each year. (2009, Calrecycle.ca.gov/WRAP)</a:t>
          </a:r>
          <a:endParaRPr lang="en-US"/>
        </a:p>
        <a:p>
          <a:pPr eaLnBrk="1" fontAlgn="base" latinLnBrk="0" hangingPunct="1"/>
          <a:endParaRPr lang="en-US" sz="1100" baseline="0">
            <a:solidFill>
              <a:schemeClr val="dk1"/>
            </a:solidFill>
            <a:latin typeface="+mn-lt"/>
            <a:ea typeface="+mn-ea"/>
            <a:cs typeface="+mn-cs"/>
          </a:endParaRPr>
        </a:p>
        <a:p>
          <a:pPr eaLnBrk="1" fontAlgn="auto" latinLnBrk="0" hangingPunct="1"/>
          <a:r>
            <a:rPr lang="en-US" sz="1100" baseline="0">
              <a:solidFill>
                <a:schemeClr val="dk1"/>
              </a:solidFill>
              <a:latin typeface="+mn-lt"/>
              <a:ea typeface="+mn-ea"/>
              <a:cs typeface="+mn-cs"/>
            </a:rPr>
            <a:t>- Stanford University diverts about 64% of its waste, saving more than $500,000 annually. (2008, Paperrecycles.org)</a:t>
          </a:r>
        </a:p>
        <a:p>
          <a:pPr eaLnBrk="1" fontAlgn="auto" latinLnBrk="0" hangingPunct="1"/>
          <a:endParaRPr lang="en-US" sz="1100" baseline="0">
            <a:solidFill>
              <a:schemeClr val="dk1"/>
            </a:solidFill>
            <a:latin typeface="+mn-lt"/>
            <a:ea typeface="+mn-ea"/>
            <a:cs typeface="+mn-cs"/>
          </a:endParaRPr>
        </a:p>
        <a:p>
          <a:pPr eaLnBrk="1" fontAlgn="auto" latinLnBrk="0" hangingPunct="1"/>
          <a:r>
            <a:rPr lang="en-US" sz="1100" baseline="0">
              <a:solidFill>
                <a:schemeClr val="dk1"/>
              </a:solidFill>
              <a:latin typeface="+mn-lt"/>
              <a:ea typeface="+mn-ea"/>
              <a:cs typeface="+mn-cs"/>
            </a:rPr>
            <a:t>The examples above highlight large, well-known companies; however, cost saving benefits are not unique to large businesses.  For a more comprehensive selection of case studies, visit the CalRecycle or StopWaste.org websites: </a:t>
          </a:r>
          <a:r>
            <a:rPr lang="en-US" sz="1100" u="sng" baseline="0">
              <a:solidFill>
                <a:srgbClr val="0000FF"/>
              </a:solidFill>
              <a:latin typeface="+mn-lt"/>
              <a:ea typeface="+mn-ea"/>
              <a:cs typeface="+mn-cs"/>
            </a:rPr>
            <a:t>http://www.calrecycle.ca.gov/WRAP/ </a:t>
          </a:r>
          <a:r>
            <a:rPr lang="en-US" sz="1100" u="none" baseline="0">
              <a:solidFill>
                <a:sysClr val="windowText" lastClr="000000"/>
              </a:solidFill>
              <a:latin typeface="+mn-lt"/>
              <a:ea typeface="+mn-ea"/>
              <a:cs typeface="+mn-cs"/>
            </a:rPr>
            <a:t>and </a:t>
          </a:r>
          <a:r>
            <a:rPr lang="en-US" sz="1100" u="sng" baseline="0">
              <a:solidFill>
                <a:srgbClr val="0000FF"/>
              </a:solidFill>
              <a:latin typeface="+mn-lt"/>
              <a:ea typeface="+mn-ea"/>
              <a:cs typeface="+mn-cs"/>
            </a:rPr>
            <a:t>http://stopwaste.org/home/index.asp?page=109</a:t>
          </a:r>
          <a:r>
            <a:rPr lang="en-US" sz="1100" u="none" baseline="0">
              <a:solidFill>
                <a:sysClr val="windowText" lastClr="000000"/>
              </a:solidFill>
              <a:latin typeface="+mn-lt"/>
              <a:ea typeface="+mn-ea"/>
              <a:cs typeface="+mn-cs"/>
            </a:rPr>
            <a:t>.</a:t>
          </a:r>
          <a:endParaRPr lang="en-US" u="sng">
            <a:solidFill>
              <a:srgbClr val="0000FF"/>
            </a:solidFill>
          </a:endParaRPr>
        </a:p>
        <a:p>
          <a:pPr eaLnBrk="1" fontAlgn="auto" latinLnBrk="0" hangingPunct="1"/>
          <a:endParaRPr lang="en-US" sz="1100">
            <a:solidFill>
              <a:schemeClr val="dk1"/>
            </a:solidFill>
            <a:latin typeface="+mn-lt"/>
            <a:ea typeface="+mn-ea"/>
            <a:cs typeface="+mn-cs"/>
          </a:endParaRPr>
        </a:p>
        <a:p>
          <a:r>
            <a:rPr lang="en-US" sz="1100" b="0" i="1">
              <a:solidFill>
                <a:schemeClr val="dk1"/>
              </a:solidFill>
              <a:latin typeface="+mn-lt"/>
              <a:ea typeface="+mn-ea"/>
              <a:cs typeface="+mn-cs"/>
            </a:rPr>
            <a:t>* These figures are from the California business waste and recycling studies used throughout this calculator.</a:t>
          </a:r>
          <a:r>
            <a:rPr lang="en-US" sz="1100" i="1">
              <a:solidFill>
                <a:schemeClr val="dk1"/>
              </a:solidFill>
              <a:latin typeface="+mn-lt"/>
              <a:ea typeface="+mn-ea"/>
              <a:cs typeface="+mn-cs"/>
            </a:rPr>
            <a:t>  See the Waste_Data tab for specific sources.</a:t>
          </a:r>
          <a:endParaRPr lang="en-US"/>
        </a:p>
        <a:p>
          <a:endParaRPr lang="en-US" sz="1100"/>
        </a:p>
      </xdr:txBody>
    </xdr:sp>
    <xdr:clientData/>
  </xdr:twoCellAnchor>
  <xdr:twoCellAnchor>
    <xdr:from>
      <xdr:col>2</xdr:col>
      <xdr:colOff>57150</xdr:colOff>
      <xdr:row>34</xdr:row>
      <xdr:rowOff>190499</xdr:rowOff>
    </xdr:from>
    <xdr:to>
      <xdr:col>15</xdr:col>
      <xdr:colOff>542925</xdr:colOff>
      <xdr:row>55</xdr:row>
      <xdr:rowOff>114300</xdr:rowOff>
    </xdr:to>
    <xdr:sp macro="" textlink="">
      <xdr:nvSpPr>
        <xdr:cNvPr id="5" name="TextBox 4"/>
        <xdr:cNvSpPr txBox="1"/>
      </xdr:nvSpPr>
      <xdr:spPr>
        <a:xfrm>
          <a:off x="342900" y="6181724"/>
          <a:ext cx="8867775" cy="36385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latin typeface="+mn-lt"/>
              <a:ea typeface="+mn-ea"/>
              <a:cs typeface="+mn-cs"/>
            </a:rPr>
            <a:t>Source reduction programs are variable in terms of the amount or</a:t>
          </a:r>
          <a:r>
            <a:rPr lang="en-US" sz="1100" baseline="0">
              <a:solidFill>
                <a:schemeClr val="dk1"/>
              </a:solidFill>
              <a:latin typeface="+mn-lt"/>
              <a:ea typeface="+mn-ea"/>
              <a:cs typeface="+mn-cs"/>
            </a:rPr>
            <a:t> percentages of material reduced.  EPA offers the following resource to help calculate the benefits of waste reduction for your business: </a:t>
          </a:r>
          <a:r>
            <a:rPr lang="en-US" sz="1100" i="0" u="sng">
              <a:solidFill>
                <a:schemeClr val="dk1"/>
              </a:solidFill>
              <a:latin typeface="+mn-lt"/>
              <a:ea typeface="+mn-ea"/>
              <a:cs typeface="+mn-cs"/>
              <a:hlinkClick xmlns:r="http://schemas.openxmlformats.org/officeDocument/2006/relationships" r:id=""/>
            </a:rPr>
            <a:t>http://www.epa.gov/epawaste/partnerships/wastewise/pubs/wwupda11.pdf</a:t>
          </a:r>
          <a:r>
            <a:rPr lang="en-US" sz="1100" i="0" u="sng">
              <a:solidFill>
                <a:schemeClr val="dk1"/>
              </a:solidFill>
              <a:latin typeface="+mn-lt"/>
              <a:ea typeface="+mn-ea"/>
              <a:cs typeface="+mn-cs"/>
            </a:rPr>
            <a:t>. </a:t>
          </a:r>
          <a:r>
            <a:rPr lang="en-US" sz="1100" baseline="0">
              <a:solidFill>
                <a:schemeClr val="dk1"/>
              </a:solidFill>
              <a:latin typeface="+mn-lt"/>
              <a:ea typeface="+mn-ea"/>
              <a:cs typeface="+mn-cs"/>
            </a:rPr>
            <a:t>Award-winning business examples are shown below:</a:t>
          </a:r>
          <a:endParaRPr lang="en-US"/>
        </a:p>
        <a:p>
          <a:pPr fontAlgn="base"/>
          <a:endParaRPr lang="en-US" sz="1100" baseline="0">
            <a:solidFill>
              <a:schemeClr val="dk1"/>
            </a:solidFill>
            <a:latin typeface="+mn-lt"/>
            <a:ea typeface="+mn-ea"/>
            <a:cs typeface="+mn-cs"/>
          </a:endParaRPr>
        </a:p>
        <a:p>
          <a:pPr eaLnBrk="1" fontAlgn="auto" latinLnBrk="0" hangingPunct="1"/>
          <a:r>
            <a:rPr lang="en-US" sz="1100">
              <a:solidFill>
                <a:schemeClr val="dk1"/>
              </a:solidFill>
              <a:latin typeface="+mn-lt"/>
              <a:ea typeface="+mn-ea"/>
              <a:cs typeface="+mn-cs"/>
            </a:rPr>
            <a:t>- </a:t>
          </a:r>
          <a:r>
            <a:rPr lang="en-US" sz="1100" baseline="0">
              <a:solidFill>
                <a:schemeClr val="dk1"/>
              </a:solidFill>
              <a:latin typeface="+mn-lt"/>
              <a:ea typeface="+mn-ea"/>
              <a:cs typeface="+mn-cs"/>
            </a:rPr>
            <a:t>Through simple paper‐reduction methods, offices can reduce paper costs by 20–25%. For example, by implementing paperless investment statements, Citigroup saved millions on paper costs over the course of a few years.  American Century estimated that paper costs associated with its customers were cut approximately 90% when the company converted to online statements. (2009, </a:t>
          </a:r>
          <a:r>
            <a:rPr lang="en-US" sz="1100" u="sng" baseline="0">
              <a:solidFill>
                <a:srgbClr val="0000FF"/>
              </a:solidFill>
              <a:latin typeface="+mn-lt"/>
              <a:ea typeface="+mn-ea"/>
              <a:cs typeface="+mn-cs"/>
            </a:rPr>
            <a:t>officiency.com/downloads/InformIT_Cost_of_Managing_Paper.pdf)</a:t>
          </a:r>
          <a:endParaRPr lang="en-US" sz="1100" u="sng">
            <a:solidFill>
              <a:srgbClr val="0000FF"/>
            </a:solidFill>
            <a:latin typeface="+mn-lt"/>
            <a:ea typeface="+mn-ea"/>
            <a:cs typeface="+mn-cs"/>
          </a:endParaRPr>
        </a:p>
        <a:p>
          <a:pPr eaLnBrk="1" fontAlgn="auto" latinLnBrk="0" hangingPunct="1"/>
          <a:endParaRPr lang="en-US" sz="1100">
            <a:solidFill>
              <a:schemeClr val="dk1"/>
            </a:solidFill>
            <a:latin typeface="+mn-lt"/>
            <a:ea typeface="+mn-ea"/>
            <a:cs typeface="+mn-cs"/>
          </a:endParaRPr>
        </a:p>
        <a:p>
          <a:pPr eaLnBrk="1" fontAlgn="auto" latinLnBrk="0" hangingPunct="1"/>
          <a:r>
            <a:rPr lang="en-US" sz="1100">
              <a:solidFill>
                <a:schemeClr val="dk1"/>
              </a:solidFill>
              <a:latin typeface="+mn-lt"/>
              <a:ea typeface="+mn-ea"/>
              <a:cs typeface="+mn-cs"/>
            </a:rPr>
            <a:t>-</a:t>
          </a:r>
          <a:r>
            <a:rPr lang="en-US" sz="1100" baseline="0">
              <a:solidFill>
                <a:schemeClr val="dk1"/>
              </a:solidFill>
              <a:latin typeface="+mn-lt"/>
              <a:ea typeface="+mn-ea"/>
              <a:cs typeface="+mn-cs"/>
            </a:rPr>
            <a:t> </a:t>
          </a:r>
          <a:r>
            <a:rPr lang="en-US" sz="1100">
              <a:solidFill>
                <a:schemeClr val="dk1"/>
              </a:solidFill>
              <a:latin typeface="+mn-lt"/>
              <a:ea typeface="+mn-ea"/>
              <a:cs typeface="+mn-cs"/>
            </a:rPr>
            <a:t>East Shore R.V. Park rents sites to recreational vehicles.</a:t>
          </a:r>
          <a:r>
            <a:rPr lang="en-US" sz="1100" baseline="0">
              <a:solidFill>
                <a:schemeClr val="dk1"/>
              </a:solidFill>
              <a:latin typeface="+mn-lt"/>
              <a:ea typeface="+mn-ea"/>
              <a:cs typeface="+mn-cs"/>
            </a:rPr>
            <a:t> The park </a:t>
          </a:r>
          <a:r>
            <a:rPr lang="en-US" sz="1100">
              <a:solidFill>
                <a:schemeClr val="dk1"/>
              </a:solidFill>
              <a:latin typeface="+mn-lt"/>
              <a:ea typeface="+mn-ea"/>
              <a:cs typeface="+mn-cs"/>
            </a:rPr>
            <a:t>started mulching their grass cuttings back onto their 37 acres of lawns and also compost the clippings on site. These efforts have resulted in a savings of at least $7,000 annually, and 46 fewer trash hauls a year.  (2009, Calrecycle.ca.gov/reducewaste)</a:t>
          </a:r>
          <a:endParaRPr lang="en-US"/>
        </a:p>
        <a:p>
          <a:pPr eaLnBrk="1" fontAlgn="auto" latinLnBrk="0" hangingPunct="1"/>
          <a:endParaRPr lang="en-US" sz="1100">
            <a:solidFill>
              <a:schemeClr val="dk1"/>
            </a:solidFill>
            <a:latin typeface="+mn-lt"/>
            <a:ea typeface="+mn-ea"/>
            <a:cs typeface="+mn-cs"/>
          </a:endParaRPr>
        </a:p>
        <a:p>
          <a:pPr eaLnBrk="1" fontAlgn="auto" latinLnBrk="0" hangingPunct="1"/>
          <a:r>
            <a:rPr lang="en-US" sz="1100">
              <a:solidFill>
                <a:schemeClr val="dk1"/>
              </a:solidFill>
              <a:latin typeface="+mn-lt"/>
              <a:ea typeface="+mn-ea"/>
              <a:cs typeface="+mn-cs"/>
            </a:rPr>
            <a:t>- Norton's Palm Dry Cleaners reusable garment bag program is estimated to reduce material use about 25 percent, resulting in a cost saving for plastic bags of 25 percent, or about $4,000 annually. (2009, Calrecycle.ca.gov/reducewaste)</a:t>
          </a:r>
          <a:endParaRPr lang="en-US"/>
        </a:p>
        <a:p>
          <a:pPr eaLnBrk="1" fontAlgn="auto" latinLnBrk="0" hangingPunct="1"/>
          <a:endParaRPr lang="en-US" sz="1100">
            <a:solidFill>
              <a:schemeClr val="dk1"/>
            </a:solidFill>
            <a:latin typeface="+mn-lt"/>
            <a:ea typeface="+mn-ea"/>
            <a:cs typeface="+mn-cs"/>
          </a:endParaRPr>
        </a:p>
        <a:p>
          <a:pPr eaLnBrk="1" fontAlgn="auto" latinLnBrk="0" hangingPunct="1"/>
          <a:r>
            <a:rPr lang="en-US" sz="1100">
              <a:solidFill>
                <a:schemeClr val="dk1"/>
              </a:solidFill>
              <a:latin typeface="+mn-lt"/>
              <a:ea typeface="+mn-ea"/>
              <a:cs typeface="+mn-cs"/>
            </a:rPr>
            <a:t>- Paramax Chemistry,</a:t>
          </a:r>
          <a:r>
            <a:rPr lang="en-US" sz="1100" baseline="0">
              <a:solidFill>
                <a:schemeClr val="dk1"/>
              </a:solidFill>
              <a:latin typeface="+mn-lt"/>
              <a:ea typeface="+mn-ea"/>
              <a:cs typeface="+mn-cs"/>
            </a:rPr>
            <a:t> a medical manufacturer, </a:t>
          </a:r>
          <a:r>
            <a:rPr lang="en-US" sz="1100">
              <a:solidFill>
                <a:schemeClr val="dk1"/>
              </a:solidFill>
              <a:latin typeface="+mn-lt"/>
              <a:ea typeface="+mn-ea"/>
              <a:cs typeface="+mn-cs"/>
            </a:rPr>
            <a:t>has reduced landfill waste by 77 percent </a:t>
          </a:r>
          <a:r>
            <a:rPr lang="en-US" sz="1100" baseline="0">
              <a:solidFill>
                <a:schemeClr val="dk1"/>
              </a:solidFill>
              <a:latin typeface="+mn-lt"/>
              <a:ea typeface="+mn-ea"/>
              <a:cs typeface="+mn-cs"/>
            </a:rPr>
            <a:t> through source reduction and recycling efforts</a:t>
          </a:r>
          <a:r>
            <a:rPr lang="en-US" sz="1100">
              <a:solidFill>
                <a:schemeClr val="dk1"/>
              </a:solidFill>
              <a:latin typeface="+mn-lt"/>
              <a:ea typeface="+mn-ea"/>
              <a:cs typeface="+mn-cs"/>
            </a:rPr>
            <a:t>. Paramax's Cuvette Reuse Project allows customers to return empty spools and cardboard boxes free of shipping charges. This project is estimated to reduce 203,760 pounds of cardboard and 180,000 pounds of plastic waste annually. (2009, Calrecycle.ca.gov/reducewaste)</a:t>
          </a:r>
        </a:p>
        <a:p>
          <a:pPr eaLnBrk="1" fontAlgn="auto" latinLnBrk="0" hangingPunct="1"/>
          <a:endParaRPr lang="en-US" sz="1100">
            <a:solidFill>
              <a:schemeClr val="dk1"/>
            </a:solidFill>
            <a:latin typeface="+mn-lt"/>
            <a:ea typeface="+mn-ea"/>
            <a:cs typeface="+mn-cs"/>
          </a:endParaRPr>
        </a:p>
        <a:p>
          <a:pPr eaLnBrk="1" fontAlgn="auto" latinLnBrk="0" hangingPunct="1"/>
          <a:r>
            <a:rPr lang="en-US" sz="1100" b="0" i="0">
              <a:solidFill>
                <a:schemeClr val="dk1"/>
              </a:solidFill>
              <a:latin typeface="+mn-lt"/>
              <a:ea typeface="+mn-ea"/>
              <a:cs typeface="+mn-cs"/>
            </a:rPr>
            <a:t>- Plaza Camino Real is a super regional shopping center located in North San Diego County . The center launched a special program to divert food wastes from their 145</a:t>
          </a:r>
          <a:r>
            <a:rPr lang="en-US" sz="1100" b="0" i="0" baseline="0">
              <a:solidFill>
                <a:schemeClr val="dk1"/>
              </a:solidFill>
              <a:latin typeface="+mn-lt"/>
              <a:ea typeface="+mn-ea"/>
              <a:cs typeface="+mn-cs"/>
            </a:rPr>
            <a:t> restaurants </a:t>
          </a:r>
          <a:r>
            <a:rPr lang="en-US" sz="1100" b="0" i="0">
              <a:solidFill>
                <a:schemeClr val="dk1"/>
              </a:solidFill>
              <a:latin typeface="+mn-lt"/>
              <a:ea typeface="+mn-ea"/>
              <a:cs typeface="+mn-cs"/>
            </a:rPr>
            <a:t>to feedlots in the Riverside County area. As a result, their waste is down by 51 percent, saving over $25,000. </a:t>
          </a:r>
          <a:r>
            <a:rPr lang="en-US" sz="1100">
              <a:solidFill>
                <a:schemeClr val="dk1"/>
              </a:solidFill>
              <a:latin typeface="+mn-lt"/>
              <a:ea typeface="+mn-ea"/>
              <a:cs typeface="+mn-cs"/>
            </a:rPr>
            <a:t>(2009, Calrecycle.ca.gov/reducewaste)</a:t>
          </a:r>
          <a:endParaRPr lang="en-US"/>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ctrlProp" Target="../ctrlProps/ctrlProp55.xml"/><Relationship Id="rId5" Type="http://schemas.openxmlformats.org/officeDocument/2006/relationships/ctrlProp" Target="../ctrlProps/ctrlProp54.xml"/><Relationship Id="rId4" Type="http://schemas.openxmlformats.org/officeDocument/2006/relationships/ctrlProp" Target="../ctrlProps/ctrlProp53.xml"/></Relationships>
</file>

<file path=xl/worksheets/_rels/sheet11.xml.rels><?xml version="1.0" encoding="UTF-8" standalone="yes"?>
<Relationships xmlns="http://schemas.openxmlformats.org/package/2006/relationships"><Relationship Id="rId8" Type="http://schemas.openxmlformats.org/officeDocument/2006/relationships/hyperlink" Target="http://www.seattle.gov/util/ForBusinesses/GreenYourBusiness/GetontheMap/index.htm" TargetMode="External"/><Relationship Id="rId3" Type="http://schemas.openxmlformats.org/officeDocument/2006/relationships/hyperlink" Target="http://www.seattle.gov/util/ForBusinesses/Construction/CDWasteManagement/RecyclingRequirements/index.htm" TargetMode="External"/><Relationship Id="rId7" Type="http://schemas.openxmlformats.org/officeDocument/2006/relationships/hyperlink" Target="http://www.seattle.gov/util/ForBusinesses/GreenYourBusiness/ReduceWaste/index.htm" TargetMode="External"/><Relationship Id="rId2" Type="http://schemas.openxmlformats.org/officeDocument/2006/relationships/hyperlink" Target="http://www.seattle.gov/util/MyServices/Garbage/AboutGarbage/SolidWastePlans/AboutSolidWaste/BanOrdinance/index.htm" TargetMode="External"/><Relationship Id="rId1" Type="http://schemas.openxmlformats.org/officeDocument/2006/relationships/hyperlink" Target="http://www.seattle.gov/util/ForBusinesses/SolidWaste/FoodYardBusinesses/Commercial/FoodPackagingRequirements/index.htm" TargetMode="External"/><Relationship Id="rId6" Type="http://schemas.openxmlformats.org/officeDocument/2006/relationships/hyperlink" Target="http://www.seattle.gov/util/forbusinesses/solidwaste/foodyardbusinesses/commercial/wasteposterorderform/" TargetMode="External"/><Relationship Id="rId5" Type="http://schemas.openxmlformats.org/officeDocument/2006/relationships/hyperlink" Target="https://your.kingcounty.gov/solidwaste/wdidw/" TargetMode="External"/><Relationship Id="rId10" Type="http://schemas.openxmlformats.org/officeDocument/2006/relationships/drawing" Target="../drawings/drawing11.xml"/><Relationship Id="rId4" Type="http://schemas.openxmlformats.org/officeDocument/2006/relationships/hyperlink" Target="http://www.seattle.gov/util/ForBusinesses/SolidWaste/GarbageBusinesses/Commercial/index.htm" TargetMode="External"/><Relationship Id="rId9"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31.xml"/><Relationship Id="rId5" Type="http://schemas.openxmlformats.org/officeDocument/2006/relationships/ctrlProp" Target="../ctrlProps/ctrlProp30.xml"/><Relationship Id="rId4" Type="http://schemas.openxmlformats.org/officeDocument/2006/relationships/ctrlProp" Target="../ctrlProps/ctrlProp29.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36.xml"/><Relationship Id="rId13" Type="http://schemas.openxmlformats.org/officeDocument/2006/relationships/ctrlProp" Target="../ctrlProps/ctrlProp41.xml"/><Relationship Id="rId3" Type="http://schemas.openxmlformats.org/officeDocument/2006/relationships/vmlDrawing" Target="../drawings/vmlDrawing3.vml"/><Relationship Id="rId7" Type="http://schemas.openxmlformats.org/officeDocument/2006/relationships/ctrlProp" Target="../ctrlProps/ctrlProp35.xml"/><Relationship Id="rId12" Type="http://schemas.openxmlformats.org/officeDocument/2006/relationships/ctrlProp" Target="../ctrlProps/ctrlProp40.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34.xml"/><Relationship Id="rId11" Type="http://schemas.openxmlformats.org/officeDocument/2006/relationships/ctrlProp" Target="../ctrlProps/ctrlProp39.xml"/><Relationship Id="rId5" Type="http://schemas.openxmlformats.org/officeDocument/2006/relationships/ctrlProp" Target="../ctrlProps/ctrlProp33.xml"/><Relationship Id="rId10" Type="http://schemas.openxmlformats.org/officeDocument/2006/relationships/ctrlProp" Target="../ctrlProps/ctrlProp38.xml"/><Relationship Id="rId4" Type="http://schemas.openxmlformats.org/officeDocument/2006/relationships/ctrlProp" Target="../ctrlProps/ctrlProp32.xml"/><Relationship Id="rId9" Type="http://schemas.openxmlformats.org/officeDocument/2006/relationships/ctrlProp" Target="../ctrlProps/ctrlProp37.xml"/><Relationship Id="rId14" Type="http://schemas.openxmlformats.org/officeDocument/2006/relationships/ctrlProp" Target="../ctrlProps/ctrlProp42.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47.xml"/><Relationship Id="rId13" Type="http://schemas.openxmlformats.org/officeDocument/2006/relationships/ctrlProp" Target="../ctrlProps/ctrlProp52.xml"/><Relationship Id="rId3" Type="http://schemas.openxmlformats.org/officeDocument/2006/relationships/vmlDrawing" Target="../drawings/vmlDrawing4.vml"/><Relationship Id="rId7" Type="http://schemas.openxmlformats.org/officeDocument/2006/relationships/ctrlProp" Target="../ctrlProps/ctrlProp46.xml"/><Relationship Id="rId12" Type="http://schemas.openxmlformats.org/officeDocument/2006/relationships/ctrlProp" Target="../ctrlProps/ctrlProp51.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45.xml"/><Relationship Id="rId11" Type="http://schemas.openxmlformats.org/officeDocument/2006/relationships/ctrlProp" Target="../ctrlProps/ctrlProp50.xml"/><Relationship Id="rId5" Type="http://schemas.openxmlformats.org/officeDocument/2006/relationships/ctrlProp" Target="../ctrlProps/ctrlProp44.xml"/><Relationship Id="rId10" Type="http://schemas.openxmlformats.org/officeDocument/2006/relationships/ctrlProp" Target="../ctrlProps/ctrlProp49.xml"/><Relationship Id="rId4" Type="http://schemas.openxmlformats.org/officeDocument/2006/relationships/ctrlProp" Target="../ctrlProps/ctrlProp43.xml"/><Relationship Id="rId9" Type="http://schemas.openxmlformats.org/officeDocument/2006/relationships/ctrlProp" Target="../ctrlProps/ctrlProp48.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249977111117893"/>
    <pageSetUpPr fitToPage="1"/>
  </sheetPr>
  <dimension ref="A1:P30"/>
  <sheetViews>
    <sheetView showGridLines="0" tabSelected="1" zoomScaleNormal="100" workbookViewId="0">
      <selection activeCell="H15" sqref="H15"/>
    </sheetView>
  </sheetViews>
  <sheetFormatPr defaultColWidth="0" defaultRowHeight="15" zeroHeight="1" x14ac:dyDescent="0.25"/>
  <cols>
    <col min="1" max="1" width="1.7109375" style="220" customWidth="1"/>
    <col min="2" max="2" width="3" style="220" customWidth="1"/>
    <col min="3" max="3" width="8.28515625" style="220" customWidth="1"/>
    <col min="4" max="4" width="18.7109375" style="220" customWidth="1"/>
    <col min="5" max="5" width="7.7109375" style="220" customWidth="1"/>
    <col min="6" max="6" width="7" style="220" customWidth="1"/>
    <col min="7" max="7" width="15.5703125" style="220" customWidth="1"/>
    <col min="8" max="8" width="26.42578125" style="220" customWidth="1"/>
    <col min="9" max="9" width="5.85546875" style="220" customWidth="1"/>
    <col min="10" max="10" width="11" style="220" customWidth="1"/>
    <col min="11" max="11" width="4.5703125" style="220" customWidth="1"/>
    <col min="12" max="12" width="2.140625" style="220" customWidth="1"/>
    <col min="13" max="16" width="0" style="220" hidden="1" customWidth="1"/>
    <col min="17" max="16384" width="9.140625" style="220" hidden="1"/>
  </cols>
  <sheetData>
    <row r="1" spans="1:16" s="535" customFormat="1" ht="2.25" customHeight="1" x14ac:dyDescent="0.25">
      <c r="L1" s="539"/>
    </row>
    <row r="2" spans="1:16" s="753" customFormat="1" ht="33" customHeight="1" x14ac:dyDescent="0.25">
      <c r="B2" s="656" t="s">
        <v>631</v>
      </c>
      <c r="C2" s="754"/>
      <c r="D2" s="754"/>
      <c r="E2" s="754"/>
      <c r="F2" s="755"/>
      <c r="G2" s="755"/>
      <c r="H2" s="934"/>
      <c r="I2" s="934"/>
      <c r="J2" s="934"/>
      <c r="K2" s="934"/>
      <c r="L2" s="756"/>
    </row>
    <row r="3" spans="1:16" s="660" customFormat="1" ht="23.25" x14ac:dyDescent="0.35">
      <c r="B3" s="637" t="s">
        <v>222</v>
      </c>
      <c r="C3" s="661"/>
      <c r="D3" s="662"/>
      <c r="E3" s="662"/>
      <c r="F3" s="662"/>
      <c r="G3" s="662"/>
      <c r="H3" s="662"/>
      <c r="I3" s="662"/>
      <c r="J3" s="662"/>
      <c r="K3" s="662"/>
      <c r="L3" s="663"/>
    </row>
    <row r="4" spans="1:16" ht="11.25" customHeight="1" x14ac:dyDescent="0.25">
      <c r="B4" s="508"/>
      <c r="L4" s="507"/>
    </row>
    <row r="5" spans="1:16" ht="18.75" customHeight="1" x14ac:dyDescent="0.3">
      <c r="B5" s="640" t="s">
        <v>540</v>
      </c>
      <c r="C5" s="641"/>
      <c r="D5" s="641"/>
      <c r="E5" s="641"/>
      <c r="F5" s="567"/>
      <c r="G5" s="567"/>
      <c r="H5" s="567"/>
      <c r="I5" s="567"/>
      <c r="J5" s="567"/>
      <c r="K5" s="567"/>
      <c r="L5" s="507"/>
    </row>
    <row r="6" spans="1:16" ht="15" customHeight="1" x14ac:dyDescent="0.25">
      <c r="B6" s="568"/>
      <c r="C6" s="568"/>
      <c r="D6" s="568"/>
      <c r="E6" s="568"/>
      <c r="F6" s="568"/>
      <c r="G6" s="568"/>
      <c r="H6" s="568"/>
      <c r="I6" s="568"/>
      <c r="J6" s="568"/>
      <c r="K6" s="568"/>
      <c r="L6" s="45"/>
    </row>
    <row r="7" spans="1:16" ht="26.25" customHeight="1" x14ac:dyDescent="0.25">
      <c r="B7" s="568"/>
      <c r="C7" s="568"/>
      <c r="D7" s="568"/>
      <c r="E7" s="568"/>
      <c r="F7" s="568"/>
      <c r="G7" s="568"/>
      <c r="H7" s="568"/>
      <c r="I7" s="568"/>
      <c r="J7" s="568"/>
      <c r="K7" s="568"/>
      <c r="L7" s="507"/>
    </row>
    <row r="8" spans="1:16" x14ac:dyDescent="0.25">
      <c r="B8" s="568"/>
      <c r="C8" s="568"/>
      <c r="D8" s="568"/>
      <c r="E8" s="568"/>
      <c r="F8" s="568"/>
      <c r="G8" s="568"/>
      <c r="H8" s="568"/>
      <c r="I8" s="568"/>
      <c r="J8" s="568"/>
      <c r="K8" s="568"/>
      <c r="L8" s="507"/>
      <c r="M8" s="220" t="s">
        <v>542</v>
      </c>
      <c r="N8" s="495">
        <v>0.17</v>
      </c>
      <c r="P8" s="167"/>
    </row>
    <row r="9" spans="1:16" ht="39.75" customHeight="1" x14ac:dyDescent="0.25">
      <c r="B9" s="568"/>
      <c r="C9" s="568"/>
      <c r="D9" s="568"/>
      <c r="E9" s="568"/>
      <c r="F9" s="568"/>
      <c r="G9" s="568"/>
      <c r="H9" s="568"/>
      <c r="I9" s="568"/>
      <c r="J9" s="568"/>
      <c r="K9" s="568"/>
      <c r="L9" s="45"/>
      <c r="M9" s="220" t="s">
        <v>543</v>
      </c>
      <c r="N9" s="495">
        <v>0.35</v>
      </c>
    </row>
    <row r="10" spans="1:16" ht="43.5" customHeight="1" x14ac:dyDescent="0.25">
      <c r="A10" s="221"/>
      <c r="B10" s="568"/>
      <c r="C10" s="568"/>
      <c r="D10" s="568"/>
      <c r="E10" s="568"/>
      <c r="F10" s="568"/>
      <c r="G10" s="568"/>
      <c r="H10" s="568"/>
      <c r="I10" s="568"/>
      <c r="J10" s="568"/>
      <c r="K10" s="568"/>
      <c r="M10" s="220" t="s">
        <v>544</v>
      </c>
      <c r="N10" s="495">
        <v>0.25</v>
      </c>
    </row>
    <row r="11" spans="1:16" ht="18.75" customHeight="1" x14ac:dyDescent="0.3">
      <c r="A11" s="221"/>
      <c r="B11" s="644" t="s">
        <v>747</v>
      </c>
      <c r="C11" s="645"/>
      <c r="D11" s="645"/>
      <c r="E11" s="646"/>
      <c r="F11" s="646"/>
      <c r="G11" s="646"/>
      <c r="H11" s="646"/>
      <c r="I11" s="646"/>
      <c r="J11" s="646"/>
      <c r="K11" s="646"/>
    </row>
    <row r="12" spans="1:16" ht="15" customHeight="1" x14ac:dyDescent="0.25">
      <c r="A12" s="221"/>
      <c r="B12" s="647"/>
      <c r="C12" s="646"/>
      <c r="D12" s="652"/>
      <c r="E12" s="652"/>
      <c r="F12" s="652"/>
      <c r="G12" s="652"/>
      <c r="H12" s="652"/>
      <c r="I12" s="646"/>
      <c r="J12" s="646"/>
      <c r="K12" s="646"/>
    </row>
    <row r="13" spans="1:16" s="536" customFormat="1" ht="22.5" customHeight="1" x14ac:dyDescent="0.25">
      <c r="A13" s="643"/>
      <c r="B13" s="935"/>
      <c r="C13" s="935"/>
      <c r="D13" s="936" t="s">
        <v>640</v>
      </c>
      <c r="E13" s="937"/>
      <c r="F13" s="938" t="s">
        <v>641</v>
      </c>
      <c r="G13" s="939"/>
      <c r="H13" s="655" t="s">
        <v>642</v>
      </c>
      <c r="I13" s="648"/>
      <c r="J13" s="648"/>
      <c r="K13" s="648"/>
      <c r="L13" s="538"/>
    </row>
    <row r="14" spans="1:16" s="536" customFormat="1" ht="49.5" customHeight="1" x14ac:dyDescent="0.25">
      <c r="A14" s="643"/>
      <c r="B14" s="935"/>
      <c r="C14" s="935"/>
      <c r="D14" s="940" t="s">
        <v>632</v>
      </c>
      <c r="E14" s="941"/>
      <c r="F14" s="940" t="s">
        <v>748</v>
      </c>
      <c r="G14" s="941"/>
      <c r="H14" s="654" t="s">
        <v>750</v>
      </c>
      <c r="I14" s="649"/>
      <c r="J14" s="649"/>
      <c r="K14" s="649"/>
      <c r="L14" s="565"/>
      <c r="M14" s="565"/>
    </row>
    <row r="15" spans="1:16" s="536" customFormat="1" ht="6.75" customHeight="1" x14ac:dyDescent="0.25">
      <c r="A15" s="643"/>
      <c r="B15" s="935"/>
      <c r="C15" s="935"/>
      <c r="D15" s="648"/>
      <c r="E15" s="648"/>
      <c r="F15" s="648"/>
      <c r="G15" s="648"/>
      <c r="H15" s="648"/>
      <c r="I15" s="648"/>
      <c r="J15" s="648"/>
      <c r="K15" s="648"/>
      <c r="L15" s="538"/>
    </row>
    <row r="16" spans="1:16" s="536" customFormat="1" ht="22.5" customHeight="1" x14ac:dyDescent="0.25">
      <c r="A16" s="643"/>
      <c r="B16" s="935"/>
      <c r="C16" s="935"/>
      <c r="D16" s="942" t="s">
        <v>653</v>
      </c>
      <c r="E16" s="943"/>
      <c r="F16" s="943"/>
      <c r="G16" s="943"/>
      <c r="H16" s="944"/>
      <c r="I16" s="653"/>
      <c r="J16" s="650"/>
      <c r="K16" s="648"/>
      <c r="L16" s="538"/>
    </row>
    <row r="17" spans="1:11" s="535" customFormat="1" ht="15" customHeight="1" x14ac:dyDescent="0.25">
      <c r="A17" s="221"/>
      <c r="B17" s="646"/>
      <c r="C17" s="646"/>
      <c r="D17" s="909"/>
      <c r="E17" s="646"/>
      <c r="F17" s="646"/>
      <c r="G17" s="646"/>
      <c r="H17" s="646"/>
      <c r="I17" s="646"/>
      <c r="J17" s="646"/>
      <c r="K17" s="646"/>
    </row>
    <row r="18" spans="1:11" s="535" customFormat="1" ht="6.75" customHeight="1" x14ac:dyDescent="0.25">
      <c r="A18" s="221"/>
      <c r="B18" s="646"/>
      <c r="C18" s="651"/>
      <c r="D18" s="651"/>
      <c r="E18" s="646"/>
      <c r="F18" s="646"/>
      <c r="G18" s="646"/>
      <c r="H18" s="646"/>
      <c r="I18" s="646"/>
      <c r="J18" s="646"/>
      <c r="K18" s="646"/>
    </row>
    <row r="19" spans="1:11" s="535" customFormat="1" ht="19.5" customHeight="1" x14ac:dyDescent="0.25">
      <c r="A19" s="221"/>
      <c r="B19" s="567"/>
      <c r="C19" s="543"/>
      <c r="D19" s="569"/>
      <c r="E19" s="567"/>
      <c r="F19" s="567"/>
      <c r="G19" s="567"/>
      <c r="H19" s="567"/>
      <c r="I19" s="567"/>
      <c r="J19" s="567"/>
      <c r="K19" s="567"/>
    </row>
    <row r="20" spans="1:11" s="535" customFormat="1" x14ac:dyDescent="0.25">
      <c r="B20" s="567"/>
      <c r="C20" s="567"/>
      <c r="D20" s="567"/>
      <c r="E20" s="567"/>
      <c r="F20" s="567"/>
      <c r="G20" s="567"/>
      <c r="H20" s="567"/>
      <c r="I20" s="567"/>
      <c r="J20" s="567"/>
      <c r="K20" s="567"/>
    </row>
    <row r="21" spans="1:11" s="535" customFormat="1" x14ac:dyDescent="0.25">
      <c r="B21" s="567"/>
      <c r="C21" s="567"/>
      <c r="D21" s="567"/>
      <c r="E21" s="567"/>
      <c r="F21" s="567"/>
      <c r="G21" s="567"/>
      <c r="H21" s="567"/>
      <c r="I21" s="567"/>
      <c r="J21" s="567"/>
      <c r="K21" s="567"/>
    </row>
    <row r="22" spans="1:11" s="535" customFormat="1" x14ac:dyDescent="0.25">
      <c r="B22" s="567"/>
      <c r="C22" s="567"/>
      <c r="D22" s="567"/>
      <c r="E22" s="567"/>
      <c r="F22" s="567"/>
      <c r="G22" s="567"/>
      <c r="H22" s="567"/>
      <c r="I22" s="567"/>
      <c r="J22" s="567"/>
      <c r="K22" s="567"/>
    </row>
    <row r="23" spans="1:11" s="535" customFormat="1" x14ac:dyDescent="0.25">
      <c r="B23" s="639"/>
      <c r="C23" s="639"/>
      <c r="D23" s="639"/>
      <c r="E23" s="639"/>
      <c r="F23" s="639"/>
      <c r="G23" s="639"/>
      <c r="H23" s="639"/>
      <c r="I23" s="639"/>
      <c r="J23" s="639"/>
      <c r="K23" s="639"/>
    </row>
    <row r="24" spans="1:11" s="911" customFormat="1" ht="24" customHeight="1" x14ac:dyDescent="0.25">
      <c r="B24" s="910" t="s">
        <v>760</v>
      </c>
      <c r="C24" s="912"/>
      <c r="D24" s="912"/>
      <c r="E24" s="912"/>
      <c r="F24" s="912"/>
      <c r="G24" s="912"/>
      <c r="H24" s="912"/>
      <c r="I24" s="912"/>
      <c r="J24" s="912"/>
      <c r="K24" s="912"/>
    </row>
    <row r="25" spans="1:11" s="535" customFormat="1" hidden="1" x14ac:dyDescent="0.25">
      <c r="B25" s="567"/>
      <c r="C25" s="567"/>
      <c r="D25" s="567"/>
      <c r="E25" s="567"/>
      <c r="F25" s="567"/>
      <c r="G25" s="567"/>
      <c r="H25" s="567"/>
      <c r="I25" s="567"/>
      <c r="J25" s="567"/>
      <c r="K25" s="567"/>
    </row>
    <row r="26" spans="1:11" s="535" customFormat="1" hidden="1" x14ac:dyDescent="0.25">
      <c r="B26" s="567"/>
      <c r="C26" s="567"/>
      <c r="D26" s="567"/>
      <c r="E26" s="567"/>
      <c r="F26" s="567"/>
      <c r="G26" s="567"/>
      <c r="H26" s="567"/>
      <c r="I26" s="567"/>
      <c r="J26" s="567"/>
      <c r="K26" s="567"/>
    </row>
    <row r="27" spans="1:11" s="535" customFormat="1" ht="18" hidden="1" customHeight="1" x14ac:dyDescent="0.25">
      <c r="B27" s="567"/>
      <c r="C27" s="567"/>
      <c r="D27" s="567"/>
      <c r="E27" s="567"/>
      <c r="F27" s="567"/>
      <c r="G27" s="567"/>
      <c r="H27" s="567"/>
      <c r="I27" s="567"/>
      <c r="J27" s="567"/>
      <c r="K27" s="567"/>
    </row>
    <row r="28" spans="1:11" s="535" customFormat="1" hidden="1" x14ac:dyDescent="0.25">
      <c r="B28" s="567"/>
      <c r="C28" s="567"/>
      <c r="D28" s="567"/>
      <c r="E28" s="567"/>
      <c r="F28" s="567"/>
      <c r="G28" s="567"/>
      <c r="H28" s="567"/>
      <c r="I28" s="567"/>
      <c r="J28" s="567"/>
      <c r="K28" s="567"/>
    </row>
    <row r="29" spans="1:11" s="535" customFormat="1" hidden="1" x14ac:dyDescent="0.25"/>
    <row r="30" spans="1:11" s="535" customFormat="1" hidden="1" x14ac:dyDescent="0.25"/>
  </sheetData>
  <sheetProtection algorithmName="SHA-512" hashValue="FYeNpSYFLDXBengb5QBDdQoMQq6FHtShqDfP5D9aHDxW/pa0S/nZWGhHX2ZXzHHATpT2Uyhuz5L5aAyNW7TcBw==" saltValue="yLh7AYLzxVz+eI6UE6LZvA==" spinCount="100000" sheet="1" objects="1" scenarios="1"/>
  <mergeCells count="7">
    <mergeCell ref="H2:K2"/>
    <mergeCell ref="B13:C16"/>
    <mergeCell ref="D13:E13"/>
    <mergeCell ref="F13:G13"/>
    <mergeCell ref="D14:E14"/>
    <mergeCell ref="F14:G14"/>
    <mergeCell ref="D16:H16"/>
  </mergeCells>
  <hyperlinks>
    <hyperlink ref="D13" location="'1.General_Info'!A1" display="1. General_Info:"/>
    <hyperlink ref="F13" location="'2.Current_Trash'!A1" display="2. Current_Trash:"/>
    <hyperlink ref="H13" location="'3.AnalyzeResults'!A1" display="3. ANALYZE RESULTS"/>
    <hyperlink ref="D16:H16" location="'4.TakeAction'!A1" display="4. THEN…TAKE ACTION!"/>
    <hyperlink ref="D13:E13" location="'1.PlanAhead'!A1" display="1. PLAN AHEAD"/>
    <hyperlink ref="F13:G13" location="'2.GatherData'!A1" display="2. GATHER DATA"/>
  </hyperlinks>
  <pageMargins left="0.7" right="0.7" top="0.75" bottom="0.75" header="0.3" footer="0.3"/>
  <pageSetup scale="80"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tabColor theme="0" tint="-0.249977111117893"/>
  </sheetPr>
  <dimension ref="A1:BT143"/>
  <sheetViews>
    <sheetView showGridLines="0" topLeftCell="BE49" workbookViewId="0"/>
  </sheetViews>
  <sheetFormatPr defaultRowHeight="15" x14ac:dyDescent="0.25"/>
  <cols>
    <col min="1" max="1" width="1.7109375" style="220" customWidth="1"/>
    <col min="2" max="2" width="2.5703125" style="220" customWidth="1"/>
    <col min="3" max="3" width="2.7109375" style="220" customWidth="1"/>
    <col min="4" max="4" width="8.5703125" style="220" customWidth="1"/>
    <col min="5" max="5" width="9.140625" style="220" bestFit="1" customWidth="1"/>
    <col min="6" max="12" width="11.7109375" style="220" customWidth="1"/>
    <col min="13" max="13" width="10.140625" style="220" bestFit="1" customWidth="1"/>
    <col min="14" max="14" width="6.28515625" style="220" customWidth="1"/>
    <col min="15" max="15" width="26.42578125" style="220" customWidth="1"/>
    <col min="16" max="16" width="57.5703125" style="220" customWidth="1"/>
    <col min="17" max="17" width="8.140625" style="220" customWidth="1"/>
    <col min="18" max="18" width="4.5703125" style="222" bestFit="1" customWidth="1"/>
    <col min="19" max="19" width="4.7109375" style="220" bestFit="1" customWidth="1"/>
    <col min="20" max="20" width="9" style="220" customWidth="1"/>
    <col min="21" max="21" width="12.7109375" style="220" bestFit="1" customWidth="1"/>
    <col min="22" max="22" width="11.28515625" style="220" bestFit="1" customWidth="1"/>
    <col min="23" max="25" width="11.28515625" style="220" customWidth="1"/>
    <col min="26" max="26" width="9.28515625" style="220" bestFit="1" customWidth="1"/>
    <col min="27" max="27" width="12" style="443" bestFit="1" customWidth="1"/>
    <col min="28" max="28" width="12.7109375" style="220" customWidth="1"/>
    <col min="29" max="29" width="10.5703125" style="220" bestFit="1" customWidth="1"/>
    <col min="30" max="33" width="9.140625" style="220"/>
    <col min="34" max="34" width="5.7109375" style="220" customWidth="1"/>
    <col min="35" max="40" width="9.140625" style="220"/>
    <col min="41" max="41" width="11.28515625" style="220" customWidth="1"/>
    <col min="42" max="54" width="9.140625" style="220"/>
    <col min="55" max="55" width="11.28515625" style="220" customWidth="1"/>
    <col min="56" max="67" width="9.140625" style="220"/>
    <col min="68" max="68" width="9.5703125" style="220" bestFit="1" customWidth="1"/>
    <col min="69" max="69" width="9.140625" style="220"/>
    <col min="70" max="70" width="12.28515625" style="220" customWidth="1"/>
    <col min="71" max="16384" width="9.140625" style="220"/>
  </cols>
  <sheetData>
    <row r="1" spans="1:72" s="8" customFormat="1" x14ac:dyDescent="0.25">
      <c r="A1" s="328"/>
      <c r="B1" s="328"/>
      <c r="C1" s="328"/>
      <c r="D1" s="328"/>
      <c r="E1" s="328"/>
      <c r="F1" s="328"/>
      <c r="G1" s="328"/>
      <c r="H1" s="328"/>
      <c r="I1" s="328"/>
      <c r="J1" s="328"/>
      <c r="K1" s="328"/>
      <c r="L1" s="328"/>
      <c r="M1" s="328"/>
      <c r="N1" s="328"/>
      <c r="AA1" s="46"/>
    </row>
    <row r="2" spans="1:72" s="8" customFormat="1" ht="15.75" x14ac:dyDescent="0.25">
      <c r="B2" s="123" t="s">
        <v>366</v>
      </c>
      <c r="N2" s="9"/>
      <c r="AA2" s="46"/>
    </row>
    <row r="3" spans="1:72" s="8" customFormat="1" ht="23.25" x14ac:dyDescent="0.35">
      <c r="B3" s="170" t="s">
        <v>380</v>
      </c>
      <c r="C3" s="10"/>
      <c r="E3" s="320"/>
      <c r="F3" s="320"/>
      <c r="G3" s="320"/>
      <c r="AA3" s="46"/>
    </row>
    <row r="4" spans="1:72" s="8" customFormat="1" ht="18" customHeight="1" x14ac:dyDescent="0.25">
      <c r="AA4" s="46"/>
    </row>
    <row r="5" spans="1:72" s="8" customFormat="1" ht="18.75" customHeight="1" x14ac:dyDescent="0.25">
      <c r="B5" s="193" t="s">
        <v>381</v>
      </c>
      <c r="C5" s="11"/>
      <c r="D5" s="11"/>
      <c r="E5" s="11"/>
      <c r="F5" s="11"/>
      <c r="G5" s="11"/>
      <c r="H5" s="11"/>
      <c r="I5" s="11"/>
      <c r="J5" s="11"/>
      <c r="K5" s="11"/>
      <c r="L5" s="11"/>
      <c r="M5" s="11"/>
      <c r="N5" s="11"/>
      <c r="AA5" s="46"/>
    </row>
    <row r="6" spans="1:72" s="8" customFormat="1" ht="18.75" customHeight="1" x14ac:dyDescent="0.25">
      <c r="C6" s="243"/>
      <c r="D6" s="63"/>
      <c r="E6" s="63"/>
      <c r="F6" s="437"/>
      <c r="G6" s="437"/>
      <c r="H6" s="437"/>
      <c r="I6" s="437"/>
      <c r="J6" s="437"/>
      <c r="K6" s="437"/>
      <c r="L6" s="437"/>
      <c r="M6" s="63"/>
      <c r="N6" s="63"/>
      <c r="O6" s="63"/>
      <c r="P6" s="63"/>
      <c r="AA6" s="46"/>
    </row>
    <row r="7" spans="1:72" s="8" customFormat="1" ht="18.75" customHeight="1" x14ac:dyDescent="0.25">
      <c r="C7" s="243"/>
      <c r="D7" s="63"/>
      <c r="E7" s="63"/>
      <c r="F7" s="63"/>
      <c r="G7" s="63"/>
      <c r="H7" s="63"/>
      <c r="I7" s="63"/>
      <c r="J7" s="63"/>
      <c r="K7" s="63"/>
      <c r="L7" s="63"/>
      <c r="M7" s="63"/>
      <c r="N7" s="63"/>
      <c r="O7" s="63"/>
      <c r="P7" s="63"/>
      <c r="AA7" s="46"/>
    </row>
    <row r="8" spans="1:72" s="8" customFormat="1" ht="13.5" customHeight="1" x14ac:dyDescent="0.25">
      <c r="C8" s="243"/>
      <c r="D8" s="63"/>
      <c r="E8" s="63"/>
      <c r="F8" s="63"/>
      <c r="G8" s="63"/>
      <c r="H8" s="63"/>
      <c r="I8" s="63"/>
      <c r="J8" s="63"/>
      <c r="K8" s="63"/>
      <c r="L8" s="63"/>
      <c r="M8" s="63"/>
      <c r="N8" s="63"/>
      <c r="O8" s="63"/>
      <c r="P8" s="63"/>
      <c r="AA8" s="46"/>
    </row>
    <row r="9" spans="1:72" s="8" customFormat="1" ht="18.75" customHeight="1" x14ac:dyDescent="0.25">
      <c r="C9" s="1126" t="s">
        <v>443</v>
      </c>
      <c r="D9" s="1126"/>
      <c r="E9" s="1126"/>
      <c r="F9" s="1126"/>
      <c r="G9" s="1126"/>
      <c r="H9" s="1126"/>
      <c r="I9" s="1126" t="s">
        <v>445</v>
      </c>
      <c r="J9" s="1127"/>
      <c r="K9" s="1127"/>
      <c r="L9" s="1127"/>
      <c r="M9" s="1127"/>
      <c r="N9" s="1127"/>
      <c r="O9" s="63"/>
      <c r="P9" s="63"/>
      <c r="AA9" s="46"/>
    </row>
    <row r="10" spans="1:72" s="8" customFormat="1" ht="18.75" customHeight="1" x14ac:dyDescent="0.25">
      <c r="C10" s="1126" t="s">
        <v>444</v>
      </c>
      <c r="D10" s="1127"/>
      <c r="E10" s="1127"/>
      <c r="F10" s="1127"/>
      <c r="G10" s="1127"/>
      <c r="H10" s="1127"/>
      <c r="I10" s="63"/>
      <c r="J10" s="63"/>
      <c r="K10" s="63"/>
      <c r="L10" s="63"/>
      <c r="M10" s="63"/>
      <c r="N10" s="63"/>
      <c r="O10" s="63"/>
      <c r="P10" s="63"/>
      <c r="AA10" s="46"/>
    </row>
    <row r="11" spans="1:72" s="8" customFormat="1" ht="7.5" customHeight="1" x14ac:dyDescent="0.25">
      <c r="C11" s="243"/>
      <c r="D11" s="63"/>
      <c r="E11" s="63"/>
      <c r="F11" s="63"/>
      <c r="G11" s="63"/>
      <c r="H11" s="63"/>
      <c r="I11" s="63"/>
      <c r="J11" s="63"/>
      <c r="K11" s="63"/>
      <c r="L11" s="63"/>
      <c r="M11" s="63"/>
      <c r="N11" s="63"/>
      <c r="O11" s="63"/>
      <c r="P11" s="63"/>
      <c r="AA11" s="46"/>
    </row>
    <row r="12" spans="1:72" s="8" customFormat="1" ht="18.75" customHeight="1" x14ac:dyDescent="0.25">
      <c r="C12" s="12" t="s">
        <v>432</v>
      </c>
      <c r="D12" s="12"/>
      <c r="E12" s="12"/>
      <c r="F12" s="12"/>
      <c r="G12" s="12"/>
      <c r="H12" s="12"/>
      <c r="I12" s="12"/>
      <c r="J12" s="12"/>
      <c r="K12" s="12"/>
      <c r="L12" s="12"/>
      <c r="M12" s="12"/>
      <c r="N12" s="12"/>
      <c r="T12" s="8" t="s">
        <v>408</v>
      </c>
      <c r="AA12" s="46"/>
    </row>
    <row r="13" spans="1:72" customFormat="1" ht="9.75" customHeight="1" x14ac:dyDescent="0.25">
      <c r="P13" s="220"/>
      <c r="T13" s="220" t="s">
        <v>415</v>
      </c>
      <c r="U13" s="220" t="s">
        <v>416</v>
      </c>
      <c r="V13" s="220" t="s">
        <v>419</v>
      </c>
      <c r="W13" s="220"/>
      <c r="X13" s="220"/>
      <c r="Y13" s="220"/>
      <c r="AA13" s="443"/>
      <c r="AO13" s="220"/>
      <c r="BC13" s="220"/>
    </row>
    <row r="14" spans="1:72" ht="18.75" customHeight="1" x14ac:dyDescent="0.25">
      <c r="D14" s="165" t="s">
        <v>403</v>
      </c>
      <c r="R14" s="220"/>
      <c r="T14" s="472" t="b">
        <v>0</v>
      </c>
      <c r="U14" s="472" t="b">
        <v>0</v>
      </c>
      <c r="V14" s="472" t="b">
        <v>0</v>
      </c>
      <c r="W14" s="472"/>
      <c r="X14" s="472"/>
      <c r="Y14" s="472"/>
      <c r="AO14" s="472"/>
      <c r="BC14" s="472"/>
    </row>
    <row r="15" spans="1:72" ht="9.75" customHeight="1" x14ac:dyDescent="0.25">
      <c r="R15" s="220"/>
    </row>
    <row r="16" spans="1:72" ht="16.5" customHeight="1" x14ac:dyDescent="0.25">
      <c r="F16" s="1130" t="s">
        <v>379</v>
      </c>
      <c r="G16" s="1130"/>
      <c r="H16" s="1130"/>
      <c r="I16" s="1130"/>
      <c r="J16" s="1130"/>
      <c r="K16" s="1130"/>
      <c r="L16" s="1130"/>
      <c r="Q16" s="1143" t="s">
        <v>412</v>
      </c>
      <c r="R16" s="1144"/>
      <c r="S16" s="1144"/>
      <c r="T16" s="1144"/>
      <c r="U16" s="1144"/>
      <c r="V16" s="1145"/>
      <c r="W16" s="518"/>
      <c r="X16" s="518"/>
      <c r="Y16" s="476"/>
      <c r="Z16" s="1146" t="s">
        <v>413</v>
      </c>
      <c r="AA16" s="1147"/>
      <c r="AB16" s="1148"/>
      <c r="AC16" s="456" t="s">
        <v>423</v>
      </c>
      <c r="AD16" s="457"/>
      <c r="AE16" s="456" t="s">
        <v>414</v>
      </c>
      <c r="AF16" s="458"/>
      <c r="AG16" s="457"/>
      <c r="AI16" s="1137" t="s">
        <v>421</v>
      </c>
      <c r="AJ16" s="1138"/>
      <c r="AK16" s="1138"/>
      <c r="AL16" s="1138"/>
      <c r="AM16" s="1138"/>
      <c r="AN16" s="1139"/>
      <c r="AO16" s="475"/>
      <c r="AP16" s="1140" t="s">
        <v>422</v>
      </c>
      <c r="AQ16" s="1141"/>
      <c r="AR16" s="1142"/>
      <c r="AS16" s="459" t="s">
        <v>424</v>
      </c>
      <c r="AT16" s="460"/>
      <c r="AU16" s="461"/>
      <c r="AW16" s="1131" t="s">
        <v>428</v>
      </c>
      <c r="AX16" s="1132"/>
      <c r="AY16" s="1132"/>
      <c r="AZ16" s="1132"/>
      <c r="BA16" s="1132"/>
      <c r="BB16" s="1133"/>
      <c r="BC16" s="474"/>
      <c r="BD16" s="1134" t="s">
        <v>429</v>
      </c>
      <c r="BE16" s="1135"/>
      <c r="BF16" s="1136"/>
      <c r="BG16" s="462" t="s">
        <v>430</v>
      </c>
      <c r="BH16" s="463"/>
      <c r="BI16" s="464"/>
      <c r="BL16" s="93" t="s">
        <v>426</v>
      </c>
      <c r="BM16" s="21"/>
      <c r="BN16" s="21"/>
      <c r="BO16" s="21"/>
      <c r="BP16" s="21"/>
      <c r="BQ16" s="21"/>
      <c r="BR16" s="21"/>
      <c r="BS16" s="21"/>
      <c r="BT16" s="85"/>
    </row>
    <row r="17" spans="3:72" ht="16.5" customHeight="1" x14ac:dyDescent="0.25">
      <c r="D17" s="1128" t="s">
        <v>371</v>
      </c>
      <c r="E17" s="1129"/>
      <c r="F17" s="434">
        <v>1</v>
      </c>
      <c r="G17" s="434">
        <v>2</v>
      </c>
      <c r="H17" s="434">
        <v>3</v>
      </c>
      <c r="I17" s="434">
        <v>4</v>
      </c>
      <c r="J17" s="434">
        <v>5</v>
      </c>
      <c r="K17" s="434">
        <v>6</v>
      </c>
      <c r="L17" s="434">
        <v>7</v>
      </c>
      <c r="Q17" s="94" t="s">
        <v>372</v>
      </c>
      <c r="R17" s="64" t="s">
        <v>373</v>
      </c>
      <c r="S17" s="64" t="s">
        <v>374</v>
      </c>
      <c r="T17" s="64" t="s">
        <v>375</v>
      </c>
      <c r="U17" s="64" t="s">
        <v>376</v>
      </c>
      <c r="V17" s="65" t="s">
        <v>253</v>
      </c>
      <c r="W17" s="519" t="s">
        <v>516</v>
      </c>
      <c r="X17" s="519" t="s">
        <v>517</v>
      </c>
      <c r="Y17" s="64" t="s">
        <v>461</v>
      </c>
      <c r="Z17" s="94" t="s">
        <v>385</v>
      </c>
      <c r="AA17" s="444" t="s">
        <v>386</v>
      </c>
      <c r="AB17" s="65" t="s">
        <v>387</v>
      </c>
      <c r="AC17" s="290" t="s">
        <v>390</v>
      </c>
      <c r="AD17" s="65"/>
      <c r="AE17" s="94" t="s">
        <v>385</v>
      </c>
      <c r="AF17" s="444" t="s">
        <v>386</v>
      </c>
      <c r="AG17" s="65" t="s">
        <v>387</v>
      </c>
      <c r="AI17" s="94" t="s">
        <v>372</v>
      </c>
      <c r="AJ17" s="64" t="s">
        <v>373</v>
      </c>
      <c r="AK17" s="64" t="s">
        <v>374</v>
      </c>
      <c r="AL17" s="64" t="s">
        <v>375</v>
      </c>
      <c r="AM17" s="64" t="s">
        <v>376</v>
      </c>
      <c r="AN17" s="65" t="s">
        <v>253</v>
      </c>
      <c r="AO17" s="64" t="s">
        <v>461</v>
      </c>
      <c r="AP17" s="94" t="s">
        <v>385</v>
      </c>
      <c r="AQ17" s="444" t="s">
        <v>386</v>
      </c>
      <c r="AR17" s="65" t="s">
        <v>387</v>
      </c>
      <c r="AS17" s="94" t="s">
        <v>385</v>
      </c>
      <c r="AT17" s="444" t="s">
        <v>386</v>
      </c>
      <c r="AU17" s="65" t="s">
        <v>387</v>
      </c>
      <c r="AW17" s="94" t="s">
        <v>372</v>
      </c>
      <c r="AX17" s="64" t="s">
        <v>373</v>
      </c>
      <c r="AY17" s="64" t="s">
        <v>374</v>
      </c>
      <c r="AZ17" s="64" t="s">
        <v>375</v>
      </c>
      <c r="BA17" s="64" t="s">
        <v>376</v>
      </c>
      <c r="BB17" s="65" t="s">
        <v>253</v>
      </c>
      <c r="BC17" s="64" t="s">
        <v>461</v>
      </c>
      <c r="BD17" s="94" t="s">
        <v>385</v>
      </c>
      <c r="BE17" s="444" t="s">
        <v>386</v>
      </c>
      <c r="BF17" s="65" t="s">
        <v>387</v>
      </c>
      <c r="BG17" s="94" t="s">
        <v>385</v>
      </c>
      <c r="BH17" s="444" t="s">
        <v>386</v>
      </c>
      <c r="BI17" s="65" t="s">
        <v>387</v>
      </c>
      <c r="BL17" s="465" t="s">
        <v>398</v>
      </c>
      <c r="BM17" s="64"/>
      <c r="BN17" s="64"/>
      <c r="BO17" s="64"/>
      <c r="BP17" s="64"/>
      <c r="BQ17" s="64"/>
      <c r="BR17" s="64"/>
      <c r="BS17" s="64"/>
      <c r="BT17" s="65"/>
    </row>
    <row r="18" spans="3:72" ht="16.5" customHeight="1" x14ac:dyDescent="0.25">
      <c r="D18" s="436">
        <v>32</v>
      </c>
      <c r="E18" s="435" t="s">
        <v>377</v>
      </c>
      <c r="F18" s="515" t="s">
        <v>486</v>
      </c>
      <c r="G18" s="515" t="s">
        <v>486</v>
      </c>
      <c r="H18" s="515" t="s">
        <v>486</v>
      </c>
      <c r="I18" s="515" t="s">
        <v>486</v>
      </c>
      <c r="J18" s="515" t="s">
        <v>486</v>
      </c>
      <c r="K18" s="515" t="s">
        <v>486</v>
      </c>
      <c r="L18" s="515" t="s">
        <v>486</v>
      </c>
      <c r="Q18" s="81">
        <v>1</v>
      </c>
      <c r="R18" s="45">
        <v>32</v>
      </c>
      <c r="S18" s="45" t="s">
        <v>377</v>
      </c>
      <c r="T18" s="438" t="e">
        <f>IF(S18="Cu. Yards", Q18*R18*52, Q18*R18*#REF!/#REF!)</f>
        <v>#REF!</v>
      </c>
      <c r="U18" s="439" t="str">
        <f>INDEX($D$17:$L$29,MATCH(R18,$D$17:$D$29,0),MATCH(Q18,$D$17:$L$17,0))</f>
        <v>NA</v>
      </c>
      <c r="V18" s="129" t="str">
        <f>IF(ISTEXT(U18), "NA", U18*12)</f>
        <v>NA</v>
      </c>
      <c r="W18" s="520">
        <f>IF(V18="NA",1000000,ABS('2.Current_Trash'!$K$29-'9.CustomRates'!V18))</f>
        <v>1000000</v>
      </c>
      <c r="X18" s="520">
        <f>IF(W18=MIN($W$18:$W$101), 1, 0)</f>
        <v>1</v>
      </c>
      <c r="Y18" s="477">
        <f t="shared" ref="Y18:Y49" si="0">IF(V18=MAX($V$18:$V$101), 1, 0)</f>
        <v>0</v>
      </c>
      <c r="Z18" s="81" t="e">
        <f>IF(AND(ISNUMBER(V18), T18&gt;$BO$64), 1, 0)</f>
        <v>#REF!</v>
      </c>
      <c r="AA18" s="445" t="e">
        <f>IF(Z18=1, V18, "NA")</f>
        <v>#REF!</v>
      </c>
      <c r="AB18" s="67" t="e">
        <f>IF(AA18=MIN($AA$18:$AA$101), 1, 0)</f>
        <v>#REF!</v>
      </c>
      <c r="AC18" s="447" t="str">
        <f>IF(V18="NA", "NA", IF(V18-$BO$67&lt;0, "NA", V18-$BO$67))</f>
        <v>NA</v>
      </c>
      <c r="AD18" s="67">
        <f>IF(AC18=MIN($AC$18:$AC$101),1,0)</f>
        <v>0</v>
      </c>
      <c r="AE18" s="81" t="e">
        <f t="shared" ref="AE18:AE49" si="1">IF(AND(ISNUMBER(V18), T18&gt;$BO$71), 1, 0)</f>
        <v>#REF!</v>
      </c>
      <c r="AF18" s="45" t="e">
        <f>IF(AE18=1, V18, "NA")</f>
        <v>#REF!</v>
      </c>
      <c r="AG18" s="67" t="e">
        <f>IF(AF18=MIN($AF$18:$AF$101), 1, 0)</f>
        <v>#REF!</v>
      </c>
      <c r="AI18" s="81">
        <v>1</v>
      </c>
      <c r="AJ18" s="45">
        <v>32</v>
      </c>
      <c r="AK18" s="45" t="s">
        <v>377</v>
      </c>
      <c r="AL18" s="438" t="e">
        <f>IF(AK18="CY", AI18*AJ18*52, AI18*AJ18*#REF!/#REF!)</f>
        <v>#REF!</v>
      </c>
      <c r="AM18" s="439" t="str">
        <f>INDEX($D$37:$L$49,MATCH(AJ18,$D$37:$D$49,0),MATCH(AI18,$D$37:$L$37,0))</f>
        <v>NA</v>
      </c>
      <c r="AN18" s="129" t="str">
        <f>IF(ISTEXT(AM18), "NA", AM18*12)</f>
        <v>NA</v>
      </c>
      <c r="AO18" s="477">
        <f>IF(AN18=MAX($AN$18:$AN$101), 1, 0)</f>
        <v>0</v>
      </c>
      <c r="AP18" s="81" t="e">
        <f>IF(AND(ISNUMBER(AN18), AL18&gt;$BQ$27), 1, 0)</f>
        <v>#REF!</v>
      </c>
      <c r="AQ18" s="445" t="e">
        <f>IF(AP18=1, AN18, "NA")</f>
        <v>#REF!</v>
      </c>
      <c r="AR18" s="67" t="e">
        <f>IF(AQ18=MIN($AQ$18:$AQ$101), 1, 0)</f>
        <v>#REF!</v>
      </c>
      <c r="AS18" s="81" t="e">
        <f t="shared" ref="AS18:AS49" si="2">IF(AND(ISNUMBER(AN18), AL18&gt;$BO$34), 1, 0)</f>
        <v>#REF!</v>
      </c>
      <c r="AT18" s="45" t="e">
        <f>IF(AS18=1, AN18, "NA")</f>
        <v>#REF!</v>
      </c>
      <c r="AU18" s="67" t="e">
        <f>IF(AT18=MIN($AT$18:$AT$101), 1, 0)</f>
        <v>#REF!</v>
      </c>
      <c r="AW18" s="81">
        <v>1</v>
      </c>
      <c r="AX18" s="45">
        <v>32</v>
      </c>
      <c r="AY18" s="45" t="s">
        <v>377</v>
      </c>
      <c r="AZ18" s="438" t="e">
        <f>IF(AY18="Cu. Yards", AW18*AX18*52, AW18*AX18*#REF!/#REF!)</f>
        <v>#REF!</v>
      </c>
      <c r="BA18" s="439" t="str">
        <f>INDEX($D$57:$L$69,MATCH(AX18,$D$57:$D$69,0),MATCH(AW18,$D$57:$L$57,0))</f>
        <v>NA</v>
      </c>
      <c r="BB18" s="129" t="str">
        <f>IF(ISTEXT(BA18), "NA", BA18*12)</f>
        <v>NA</v>
      </c>
      <c r="BC18" s="477">
        <f>IF(BB18=MAX($BB$18:$BB$101), 1, 0)</f>
        <v>0</v>
      </c>
      <c r="BD18" s="81" t="e">
        <f>IF(AND(ISNUMBER(BB18), AZ18&gt;$BQ$28), 1, 0)</f>
        <v>#REF!</v>
      </c>
      <c r="BE18" s="445" t="e">
        <f>IF(BD18=1, BB18, "NA")</f>
        <v>#REF!</v>
      </c>
      <c r="BF18" s="67" t="e">
        <f>IF(BE18=MIN($BE$18:$BE$101), 1, 0)</f>
        <v>#REF!</v>
      </c>
      <c r="BG18" s="81" t="e">
        <f t="shared" ref="BG18:BG49" si="3">IF(AND(ISNUMBER(BB18), AZ18&gt;$BO$35), 1, 0)</f>
        <v>#REF!</v>
      </c>
      <c r="BH18" s="45" t="e">
        <f>IF(BG18=1, BB18, "NA")</f>
        <v>#REF!</v>
      </c>
      <c r="BI18" s="67" t="e">
        <f>IF(BH18=MIN($BH$18:$BH$101), 1, 0)</f>
        <v>#REF!</v>
      </c>
      <c r="BL18" s="81"/>
      <c r="BM18" s="45"/>
      <c r="BN18" s="45"/>
      <c r="BO18" s="45" t="s">
        <v>383</v>
      </c>
      <c r="BP18" s="45" t="s">
        <v>187</v>
      </c>
      <c r="BQ18" s="45"/>
      <c r="BR18" s="45"/>
      <c r="BS18" s="45"/>
      <c r="BT18" s="67"/>
    </row>
    <row r="19" spans="3:72" ht="16.5" customHeight="1" x14ac:dyDescent="0.25">
      <c r="D19" s="436">
        <v>64</v>
      </c>
      <c r="E19" s="435" t="s">
        <v>377</v>
      </c>
      <c r="F19" s="515" t="s">
        <v>486</v>
      </c>
      <c r="G19" s="515" t="s">
        <v>486</v>
      </c>
      <c r="H19" s="515" t="s">
        <v>486</v>
      </c>
      <c r="I19" s="515" t="s">
        <v>486</v>
      </c>
      <c r="J19" s="515" t="s">
        <v>486</v>
      </c>
      <c r="K19" s="515" t="s">
        <v>486</v>
      </c>
      <c r="L19" s="515" t="s">
        <v>486</v>
      </c>
      <c r="Q19" s="81">
        <v>2</v>
      </c>
      <c r="R19" s="45">
        <v>32</v>
      </c>
      <c r="S19" s="45" t="s">
        <v>377</v>
      </c>
      <c r="T19" s="438" t="e">
        <f>IF(S19="Cu. Yards", Q19*R19*52, Q19*R19*#REF!/#REF!)</f>
        <v>#REF!</v>
      </c>
      <c r="U19" s="439" t="str">
        <f t="shared" ref="U19:U51" si="4">INDEX($D$17:$L$29,MATCH(R19,$D$17:$D$29,0),MATCH(Q19,$D$17:$L$17,0))</f>
        <v>NA</v>
      </c>
      <c r="V19" s="129" t="str">
        <f t="shared" ref="V19:V82" si="5">IF(ISTEXT(U19), "NA", U19*12)</f>
        <v>NA</v>
      </c>
      <c r="W19" s="439">
        <f>IF(V19="NA",1000000,ABS('2.Current_Trash'!$K$29-'9.CustomRates'!V19))</f>
        <v>1000000</v>
      </c>
      <c r="X19" s="520">
        <f t="shared" ref="X19:X82" si="6">IF(W19=MIN($W$18:$W$101), 1, 0)</f>
        <v>1</v>
      </c>
      <c r="Y19" s="438">
        <f t="shared" si="0"/>
        <v>0</v>
      </c>
      <c r="Z19" s="81" t="e">
        <f t="shared" ref="Z19:Z82" si="7">IF(AND(ISNUMBER(V19), T19&gt;$BO$64), 1, 0)</f>
        <v>#REF!</v>
      </c>
      <c r="AA19" s="445" t="e">
        <f t="shared" ref="AA19:AA82" si="8">IF(Z19=1, V19, "NA")</f>
        <v>#REF!</v>
      </c>
      <c r="AB19" s="67" t="e">
        <f t="shared" ref="AB19:AB82" si="9">IF(AA19=MIN($AA$18:$AA$101), 1, 0)</f>
        <v>#REF!</v>
      </c>
      <c r="AC19" s="447" t="str">
        <f t="shared" ref="AC19:AC82" si="10">IF(V19="NA", "NA", IF(V19-$BO$67&lt;0, "NA", V19-$BO$67))</f>
        <v>NA</v>
      </c>
      <c r="AD19" s="67">
        <f t="shared" ref="AD19:AD82" si="11">IF(AC19=MIN($AC$18:$AC$101),1,0)</f>
        <v>0</v>
      </c>
      <c r="AE19" s="81" t="e">
        <f t="shared" si="1"/>
        <v>#REF!</v>
      </c>
      <c r="AF19" s="45" t="e">
        <f t="shared" ref="AF19:AF82" si="12">IF(AE19=1, V19, "NA")</f>
        <v>#REF!</v>
      </c>
      <c r="AG19" s="67" t="e">
        <f t="shared" ref="AG19:AG82" si="13">IF(AF19=MIN($AF$18:$AF$101), 1, 0)</f>
        <v>#REF!</v>
      </c>
      <c r="AI19" s="81">
        <v>2</v>
      </c>
      <c r="AJ19" s="45">
        <v>32</v>
      </c>
      <c r="AK19" s="45" t="s">
        <v>377</v>
      </c>
      <c r="AL19" s="438" t="e">
        <f>IF(AK19="CY", AI19*AJ19*52, AI19*AJ19*#REF!/#REF!)</f>
        <v>#REF!</v>
      </c>
      <c r="AM19" s="439" t="str">
        <f t="shared" ref="AM19:AM82" si="14">INDEX($D$37:$L$49,MATCH(AJ19,$D$37:$D$49,0),MATCH(AI19,$D$37:$L$37,0))</f>
        <v>NA</v>
      </c>
      <c r="AN19" s="129" t="str">
        <f t="shared" ref="AN19:AN82" si="15">IF(ISTEXT(AM19), "NA", AM19*12)</f>
        <v>NA</v>
      </c>
      <c r="AO19" s="438">
        <f t="shared" ref="AO19:AO82" si="16">IF(AN19=MAX($AN$18:$AN$101), 1, 0)</f>
        <v>0</v>
      </c>
      <c r="AP19" s="81" t="e">
        <f t="shared" ref="AP19:AP82" si="17">IF(AND(ISNUMBER(AN19), AL19&gt;$BQ$27), 1, 0)</f>
        <v>#REF!</v>
      </c>
      <c r="AQ19" s="445" t="e">
        <f t="shared" ref="AQ19:AQ82" si="18">IF(AP19=1, AN19, "NA")</f>
        <v>#REF!</v>
      </c>
      <c r="AR19" s="67" t="e">
        <f t="shared" ref="AR19:AR82" si="19">IF(AQ19=MIN($AQ$18:$AQ$101), 1, 0)</f>
        <v>#REF!</v>
      </c>
      <c r="AS19" s="81" t="e">
        <f t="shared" si="2"/>
        <v>#REF!</v>
      </c>
      <c r="AT19" s="45" t="e">
        <f t="shared" ref="AT19:AT82" si="20">IF(AS19=1, AN19, "NA")</f>
        <v>#REF!</v>
      </c>
      <c r="AU19" s="67" t="e">
        <f t="shared" ref="AU19:AU82" si="21">IF(AT19=MIN($AT$18:$AT$101), 1, 0)</f>
        <v>#REF!</v>
      </c>
      <c r="AW19" s="81">
        <v>2</v>
      </c>
      <c r="AX19" s="45">
        <v>32</v>
      </c>
      <c r="AY19" s="45" t="s">
        <v>377</v>
      </c>
      <c r="AZ19" s="438" t="e">
        <f>IF(AY19="Cu. Yards", AW19*AX19*52, AW19*AX19*#REF!/#REF!)</f>
        <v>#REF!</v>
      </c>
      <c r="BA19" s="439" t="str">
        <f t="shared" ref="BA19:BA82" si="22">INDEX($D$57:$L$69,MATCH(AX19,$D$57:$D$69,0),MATCH(AW19,$D$57:$L$57,0))</f>
        <v>NA</v>
      </c>
      <c r="BB19" s="129" t="str">
        <f t="shared" ref="BB19:BB82" si="23">IF(ISTEXT(BA19), "NA", BA19*12)</f>
        <v>NA</v>
      </c>
      <c r="BC19" s="438">
        <f t="shared" ref="BC19:BC82" si="24">IF(BB19=MAX($BB$18:$BB$101), 1, 0)</f>
        <v>0</v>
      </c>
      <c r="BD19" s="81" t="e">
        <f t="shared" ref="BD19:BD82" si="25">IF(AND(ISNUMBER(BB19), AZ19&gt;$BQ$28), 1, 0)</f>
        <v>#REF!</v>
      </c>
      <c r="BE19" s="445" t="e">
        <f t="shared" ref="BE19:BE82" si="26">IF(BD19=1, BB19, "NA")</f>
        <v>#REF!</v>
      </c>
      <c r="BF19" s="67" t="e">
        <f t="shared" ref="BF19:BF82" si="27">IF(BE19=MIN($BE$18:$BE$101), 1, 0)</f>
        <v>#REF!</v>
      </c>
      <c r="BG19" s="45" t="e">
        <f t="shared" si="3"/>
        <v>#REF!</v>
      </c>
      <c r="BH19" s="45" t="e">
        <f t="shared" ref="BH19:BH82" si="28">IF(BG19=1, BB19, "NA")</f>
        <v>#REF!</v>
      </c>
      <c r="BI19" s="67" t="e">
        <f t="shared" ref="BI19:BI82" si="29">IF(BH19=MIN($BH$18:$BH$101), 1, 0)</f>
        <v>#REF!</v>
      </c>
      <c r="BL19" s="81" t="s">
        <v>382</v>
      </c>
      <c r="BM19" s="45"/>
      <c r="BN19" s="45" t="s">
        <v>161</v>
      </c>
      <c r="BO19" s="45">
        <f>IF('3.Current_Recycling'!$W$10=2, IF(OR(BP19=$BS$19, BP19=$BS$20, BP19=$BS$21), INDEX('9.CustomRates'!$D$57:$L$69, MATCH('3.Current_Recycling'!K13, '9.CustomRates'!$D$57:$D$69, 0), MATCH('3.Current_Recycling'!K16, '9.CustomRates'!$D$57:$L$57, 0))*'3.Current_Recycling'!K14*12,INDEX('9.CustomRates'!$D$37:$L$49, MATCH('3.Current_Recycling'!K13, '9.CustomRates'!$D$37:$D$49, 0), MATCH('3.Current_Recycling'!K16, '9.CustomRates'!$D$37:$L$37, 0)))*'3.Current_Recycling'!K14*12, 0)</f>
        <v>0</v>
      </c>
      <c r="BP19" s="45" t="str">
        <f>'3.Current_Recycling'!K11</f>
        <v>(select from list)</v>
      </c>
      <c r="BQ19" s="45"/>
      <c r="BR19" s="45"/>
      <c r="BS19" s="45" t="s">
        <v>88</v>
      </c>
      <c r="BT19" s="67"/>
    </row>
    <row r="20" spans="3:72" ht="16.5" customHeight="1" x14ac:dyDescent="0.25">
      <c r="D20" s="436">
        <v>96</v>
      </c>
      <c r="E20" s="435" t="s">
        <v>377</v>
      </c>
      <c r="F20" s="515" t="s">
        <v>486</v>
      </c>
      <c r="G20" s="515" t="s">
        <v>486</v>
      </c>
      <c r="H20" s="515" t="s">
        <v>486</v>
      </c>
      <c r="I20" s="515" t="s">
        <v>486</v>
      </c>
      <c r="J20" s="515" t="s">
        <v>486</v>
      </c>
      <c r="K20" s="515" t="s">
        <v>486</v>
      </c>
      <c r="L20" s="515" t="s">
        <v>486</v>
      </c>
      <c r="Q20" s="81">
        <v>3</v>
      </c>
      <c r="R20" s="45">
        <v>32</v>
      </c>
      <c r="S20" s="45" t="s">
        <v>377</v>
      </c>
      <c r="T20" s="438" t="e">
        <f>IF(S20="Cu. Yards", Q20*R20*52, Q20*R20*#REF!/#REF!)</f>
        <v>#REF!</v>
      </c>
      <c r="U20" s="439" t="str">
        <f t="shared" si="4"/>
        <v>NA</v>
      </c>
      <c r="V20" s="129" t="str">
        <f t="shared" si="5"/>
        <v>NA</v>
      </c>
      <c r="W20" s="439">
        <f>IF(V20="NA",1000000,ABS('2.Current_Trash'!$K$29-'9.CustomRates'!V20))</f>
        <v>1000000</v>
      </c>
      <c r="X20" s="520">
        <f t="shared" si="6"/>
        <v>1</v>
      </c>
      <c r="Y20" s="438">
        <f t="shared" si="0"/>
        <v>0</v>
      </c>
      <c r="Z20" s="81" t="e">
        <f t="shared" si="7"/>
        <v>#REF!</v>
      </c>
      <c r="AA20" s="445" t="e">
        <f t="shared" si="8"/>
        <v>#REF!</v>
      </c>
      <c r="AB20" s="67" t="e">
        <f t="shared" si="9"/>
        <v>#REF!</v>
      </c>
      <c r="AC20" s="447" t="str">
        <f t="shared" si="10"/>
        <v>NA</v>
      </c>
      <c r="AD20" s="67">
        <f t="shared" si="11"/>
        <v>0</v>
      </c>
      <c r="AE20" s="81" t="e">
        <f t="shared" si="1"/>
        <v>#REF!</v>
      </c>
      <c r="AF20" s="45" t="e">
        <f t="shared" si="12"/>
        <v>#REF!</v>
      </c>
      <c r="AG20" s="67" t="e">
        <f t="shared" si="13"/>
        <v>#REF!</v>
      </c>
      <c r="AI20" s="81">
        <v>3</v>
      </c>
      <c r="AJ20" s="45">
        <v>32</v>
      </c>
      <c r="AK20" s="45" t="s">
        <v>377</v>
      </c>
      <c r="AL20" s="438" t="e">
        <f>IF(AK20="CY", AI20*AJ20*52, AI20*AJ20*#REF!/#REF!)</f>
        <v>#REF!</v>
      </c>
      <c r="AM20" s="439" t="str">
        <f t="shared" si="14"/>
        <v>NA</v>
      </c>
      <c r="AN20" s="129" t="str">
        <f t="shared" si="15"/>
        <v>NA</v>
      </c>
      <c r="AO20" s="438">
        <f t="shared" si="16"/>
        <v>0</v>
      </c>
      <c r="AP20" s="81" t="e">
        <f t="shared" si="17"/>
        <v>#REF!</v>
      </c>
      <c r="AQ20" s="445" t="e">
        <f t="shared" si="18"/>
        <v>#REF!</v>
      </c>
      <c r="AR20" s="67" t="e">
        <f t="shared" si="19"/>
        <v>#REF!</v>
      </c>
      <c r="AS20" s="81" t="e">
        <f t="shared" si="2"/>
        <v>#REF!</v>
      </c>
      <c r="AT20" s="45" t="e">
        <f t="shared" si="20"/>
        <v>#REF!</v>
      </c>
      <c r="AU20" s="67" t="e">
        <f t="shared" si="21"/>
        <v>#REF!</v>
      </c>
      <c r="AW20" s="81">
        <v>3</v>
      </c>
      <c r="AX20" s="45">
        <v>32</v>
      </c>
      <c r="AY20" s="45" t="s">
        <v>377</v>
      </c>
      <c r="AZ20" s="438" t="e">
        <f>IF(AY20="Cu. Yards", AW20*AX20*52, AW20*AX20*#REF!/#REF!)</f>
        <v>#REF!</v>
      </c>
      <c r="BA20" s="439" t="str">
        <f t="shared" si="22"/>
        <v>NA</v>
      </c>
      <c r="BB20" s="129" t="str">
        <f t="shared" si="23"/>
        <v>NA</v>
      </c>
      <c r="BC20" s="438">
        <f t="shared" si="24"/>
        <v>0</v>
      </c>
      <c r="BD20" s="81" t="e">
        <f t="shared" si="25"/>
        <v>#REF!</v>
      </c>
      <c r="BE20" s="445" t="e">
        <f t="shared" si="26"/>
        <v>#REF!</v>
      </c>
      <c r="BF20" s="67" t="e">
        <f t="shared" si="27"/>
        <v>#REF!</v>
      </c>
      <c r="BG20" s="45" t="e">
        <f t="shared" si="3"/>
        <v>#REF!</v>
      </c>
      <c r="BH20" s="45" t="e">
        <f t="shared" si="28"/>
        <v>#REF!</v>
      </c>
      <c r="BI20" s="67" t="e">
        <f t="shared" si="29"/>
        <v>#REF!</v>
      </c>
      <c r="BL20" s="81"/>
      <c r="BM20" s="45"/>
      <c r="BN20" s="45" t="s">
        <v>162</v>
      </c>
      <c r="BO20" s="45">
        <f>IF('3.Current_Recycling'!$W$10=2, IF(OR(BP20=$BS$19, BP20=$BS$20, BP20=$BS$21), INDEX('9.CustomRates'!$D$57:$L$69, MATCH('3.Current_Recycling'!$D$75, '9.CustomRates'!$D$57:$D$69, 0), MATCH('3.Current_Recycling'!$D$78, '9.CustomRates'!$D$57:$L$57, 0))*'3.Current_Recycling'!$D$76*12,INDEX('9.CustomRates'!$D$37:$L$49, MATCH('3.Current_Recycling'!$D$75, '9.CustomRates'!$D$37:$D$49, 0), MATCH('3.Current_Recycling'!$D$78, '9.CustomRates'!$D$37:$L$37, 0)))*'3.Current_Recycling'!$D$76*12, 0)</f>
        <v>0</v>
      </c>
      <c r="BP20" s="45" t="str">
        <f>'3.Current_Recycling'!$D$73</f>
        <v>(select from list)</v>
      </c>
      <c r="BQ20" s="45"/>
      <c r="BR20" s="45"/>
      <c r="BS20" s="45" t="s">
        <v>19</v>
      </c>
      <c r="BT20" s="67"/>
    </row>
    <row r="21" spans="3:72" ht="16.5" customHeight="1" x14ac:dyDescent="0.25">
      <c r="D21" s="436">
        <v>1</v>
      </c>
      <c r="E21" s="435" t="s">
        <v>475</v>
      </c>
      <c r="F21" s="515" t="s">
        <v>486</v>
      </c>
      <c r="G21" s="515" t="s">
        <v>486</v>
      </c>
      <c r="H21" s="515" t="s">
        <v>486</v>
      </c>
      <c r="I21" s="515" t="s">
        <v>486</v>
      </c>
      <c r="J21" s="515" t="s">
        <v>486</v>
      </c>
      <c r="K21" s="515" t="s">
        <v>486</v>
      </c>
      <c r="L21" s="515" t="s">
        <v>486</v>
      </c>
      <c r="Q21" s="81">
        <v>4</v>
      </c>
      <c r="R21" s="45">
        <v>32</v>
      </c>
      <c r="S21" s="45" t="s">
        <v>377</v>
      </c>
      <c r="T21" s="438" t="e">
        <f>IF(S21="Cu. Yards", Q21*R21*52, Q21*R21*#REF!/#REF!)</f>
        <v>#REF!</v>
      </c>
      <c r="U21" s="439" t="str">
        <f t="shared" si="4"/>
        <v>NA</v>
      </c>
      <c r="V21" s="129" t="str">
        <f t="shared" si="5"/>
        <v>NA</v>
      </c>
      <c r="W21" s="439">
        <f>IF(V21="NA",1000000,ABS('2.Current_Trash'!$K$29-'9.CustomRates'!V21))</f>
        <v>1000000</v>
      </c>
      <c r="X21" s="520">
        <f t="shared" si="6"/>
        <v>1</v>
      </c>
      <c r="Y21" s="438">
        <f t="shared" si="0"/>
        <v>0</v>
      </c>
      <c r="Z21" s="81" t="e">
        <f t="shared" si="7"/>
        <v>#REF!</v>
      </c>
      <c r="AA21" s="445" t="e">
        <f t="shared" si="8"/>
        <v>#REF!</v>
      </c>
      <c r="AB21" s="67" t="e">
        <f t="shared" si="9"/>
        <v>#REF!</v>
      </c>
      <c r="AC21" s="447" t="str">
        <f t="shared" si="10"/>
        <v>NA</v>
      </c>
      <c r="AD21" s="67">
        <f t="shared" si="11"/>
        <v>0</v>
      </c>
      <c r="AE21" s="81" t="e">
        <f t="shared" si="1"/>
        <v>#REF!</v>
      </c>
      <c r="AF21" s="45" t="e">
        <f t="shared" si="12"/>
        <v>#REF!</v>
      </c>
      <c r="AG21" s="67" t="e">
        <f t="shared" si="13"/>
        <v>#REF!</v>
      </c>
      <c r="AI21" s="81">
        <v>4</v>
      </c>
      <c r="AJ21" s="45">
        <v>32</v>
      </c>
      <c r="AK21" s="45" t="s">
        <v>377</v>
      </c>
      <c r="AL21" s="438" t="e">
        <f>IF(AK21="CY", AI21*AJ21*52, AI21*AJ21*#REF!/#REF!)</f>
        <v>#REF!</v>
      </c>
      <c r="AM21" s="439" t="str">
        <f t="shared" si="14"/>
        <v>NA</v>
      </c>
      <c r="AN21" s="129" t="str">
        <f t="shared" si="15"/>
        <v>NA</v>
      </c>
      <c r="AO21" s="438">
        <f t="shared" si="16"/>
        <v>0</v>
      </c>
      <c r="AP21" s="81" t="e">
        <f t="shared" si="17"/>
        <v>#REF!</v>
      </c>
      <c r="AQ21" s="445" t="e">
        <f t="shared" si="18"/>
        <v>#REF!</v>
      </c>
      <c r="AR21" s="67" t="e">
        <f t="shared" si="19"/>
        <v>#REF!</v>
      </c>
      <c r="AS21" s="81" t="e">
        <f t="shared" si="2"/>
        <v>#REF!</v>
      </c>
      <c r="AT21" s="45" t="e">
        <f t="shared" si="20"/>
        <v>#REF!</v>
      </c>
      <c r="AU21" s="67" t="e">
        <f t="shared" si="21"/>
        <v>#REF!</v>
      </c>
      <c r="AW21" s="81">
        <v>4</v>
      </c>
      <c r="AX21" s="45">
        <v>32</v>
      </c>
      <c r="AY21" s="45" t="s">
        <v>377</v>
      </c>
      <c r="AZ21" s="438" t="e">
        <f>IF(AY21="Cu. Yards", AW21*AX21*52, AW21*AX21*#REF!/#REF!)</f>
        <v>#REF!</v>
      </c>
      <c r="BA21" s="439" t="str">
        <f t="shared" si="22"/>
        <v>NA</v>
      </c>
      <c r="BB21" s="129" t="str">
        <f t="shared" si="23"/>
        <v>NA</v>
      </c>
      <c r="BC21" s="438">
        <f t="shared" si="24"/>
        <v>0</v>
      </c>
      <c r="BD21" s="81" t="e">
        <f t="shared" si="25"/>
        <v>#REF!</v>
      </c>
      <c r="BE21" s="445" t="e">
        <f t="shared" si="26"/>
        <v>#REF!</v>
      </c>
      <c r="BF21" s="67" t="e">
        <f t="shared" si="27"/>
        <v>#REF!</v>
      </c>
      <c r="BG21" s="45" t="e">
        <f t="shared" si="3"/>
        <v>#REF!</v>
      </c>
      <c r="BH21" s="45" t="e">
        <f t="shared" si="28"/>
        <v>#REF!</v>
      </c>
      <c r="BI21" s="67" t="e">
        <f t="shared" si="29"/>
        <v>#REF!</v>
      </c>
      <c r="BL21" s="81"/>
      <c r="BM21" s="45"/>
      <c r="BN21" s="45" t="s">
        <v>163</v>
      </c>
      <c r="BO21" s="45">
        <f>IF('3.Current_Recycling'!$W$10=2, IF(OR(BP21=$BS$19, BP21=$BS$20, BP21=$BS$21), INDEX('9.CustomRates'!$D$57:$L$69, MATCH('3.Current_Recycling'!$F$75, '9.CustomRates'!$D$57:$D$69, 0), MATCH('3.Current_Recycling'!$F$78, '9.CustomRates'!$D$57:$L$57, 0))*'3.Current_Recycling'!$F$76*12,INDEX('9.CustomRates'!$D$37:$L$49, MATCH('3.Current_Recycling'!$F$75, '9.CustomRates'!$D$37:$D$49, 0), MATCH('3.Current_Recycling'!$F$78, '9.CustomRates'!$D$37:$L$37, 0)))*'3.Current_Recycling'!$F$76*12, 0)</f>
        <v>0</v>
      </c>
      <c r="BP21" s="45" t="str">
        <f>'3.Current_Recycling'!$F$73</f>
        <v>(select from list)</v>
      </c>
      <c r="BQ21" s="45"/>
      <c r="BR21" s="45"/>
      <c r="BS21" s="45" t="s">
        <v>126</v>
      </c>
      <c r="BT21" s="67"/>
    </row>
    <row r="22" spans="3:72" ht="16.5" customHeight="1" x14ac:dyDescent="0.25">
      <c r="D22" s="436">
        <v>1.5</v>
      </c>
      <c r="E22" s="435" t="s">
        <v>475</v>
      </c>
      <c r="F22" s="515" t="s">
        <v>486</v>
      </c>
      <c r="G22" s="515" t="s">
        <v>486</v>
      </c>
      <c r="H22" s="515" t="s">
        <v>486</v>
      </c>
      <c r="I22" s="515" t="s">
        <v>486</v>
      </c>
      <c r="J22" s="515" t="s">
        <v>486</v>
      </c>
      <c r="K22" s="515" t="s">
        <v>486</v>
      </c>
      <c r="L22" s="515" t="s">
        <v>486</v>
      </c>
      <c r="Q22" s="81">
        <v>5</v>
      </c>
      <c r="R22" s="45">
        <v>32</v>
      </c>
      <c r="S22" s="45" t="s">
        <v>377</v>
      </c>
      <c r="T22" s="438" t="e">
        <f>IF(S22="Cu. Yards", Q22*R22*52, Q22*R22*#REF!/#REF!)</f>
        <v>#REF!</v>
      </c>
      <c r="U22" s="439" t="str">
        <f t="shared" si="4"/>
        <v>NA</v>
      </c>
      <c r="V22" s="129" t="str">
        <f t="shared" si="5"/>
        <v>NA</v>
      </c>
      <c r="W22" s="439">
        <f>IF(V22="NA",1000000,ABS('2.Current_Trash'!$K$29-'9.CustomRates'!V22))</f>
        <v>1000000</v>
      </c>
      <c r="X22" s="520">
        <f t="shared" si="6"/>
        <v>1</v>
      </c>
      <c r="Y22" s="438">
        <f t="shared" si="0"/>
        <v>0</v>
      </c>
      <c r="Z22" s="81" t="e">
        <f t="shared" si="7"/>
        <v>#REF!</v>
      </c>
      <c r="AA22" s="445" t="e">
        <f t="shared" si="8"/>
        <v>#REF!</v>
      </c>
      <c r="AB22" s="67" t="e">
        <f t="shared" si="9"/>
        <v>#REF!</v>
      </c>
      <c r="AC22" s="447" t="str">
        <f t="shared" si="10"/>
        <v>NA</v>
      </c>
      <c r="AD22" s="67">
        <f t="shared" si="11"/>
        <v>0</v>
      </c>
      <c r="AE22" s="81" t="e">
        <f t="shared" si="1"/>
        <v>#REF!</v>
      </c>
      <c r="AF22" s="45" t="e">
        <f t="shared" si="12"/>
        <v>#REF!</v>
      </c>
      <c r="AG22" s="67" t="e">
        <f t="shared" si="13"/>
        <v>#REF!</v>
      </c>
      <c r="AI22" s="81">
        <v>5</v>
      </c>
      <c r="AJ22" s="45">
        <v>32</v>
      </c>
      <c r="AK22" s="45" t="s">
        <v>377</v>
      </c>
      <c r="AL22" s="438" t="e">
        <f>IF(AK22="CY", AI22*AJ22*52, AI22*AJ22*#REF!/#REF!)</f>
        <v>#REF!</v>
      </c>
      <c r="AM22" s="439" t="str">
        <f t="shared" si="14"/>
        <v>NA</v>
      </c>
      <c r="AN22" s="129" t="str">
        <f t="shared" si="15"/>
        <v>NA</v>
      </c>
      <c r="AO22" s="438">
        <f t="shared" si="16"/>
        <v>0</v>
      </c>
      <c r="AP22" s="81" t="e">
        <f t="shared" si="17"/>
        <v>#REF!</v>
      </c>
      <c r="AQ22" s="445" t="e">
        <f t="shared" si="18"/>
        <v>#REF!</v>
      </c>
      <c r="AR22" s="67" t="e">
        <f t="shared" si="19"/>
        <v>#REF!</v>
      </c>
      <c r="AS22" s="81" t="e">
        <f t="shared" si="2"/>
        <v>#REF!</v>
      </c>
      <c r="AT22" s="45" t="e">
        <f t="shared" si="20"/>
        <v>#REF!</v>
      </c>
      <c r="AU22" s="67" t="e">
        <f t="shared" si="21"/>
        <v>#REF!</v>
      </c>
      <c r="AW22" s="81">
        <v>5</v>
      </c>
      <c r="AX22" s="45">
        <v>32</v>
      </c>
      <c r="AY22" s="45" t="s">
        <v>377</v>
      </c>
      <c r="AZ22" s="438" t="e">
        <f>IF(AY22="Cu. Yards", AW22*AX22*52, AW22*AX22*#REF!/#REF!)</f>
        <v>#REF!</v>
      </c>
      <c r="BA22" s="439" t="str">
        <f t="shared" si="22"/>
        <v>NA</v>
      </c>
      <c r="BB22" s="129" t="str">
        <f t="shared" si="23"/>
        <v>NA</v>
      </c>
      <c r="BC22" s="438">
        <f t="shared" si="24"/>
        <v>0</v>
      </c>
      <c r="BD22" s="81" t="e">
        <f t="shared" si="25"/>
        <v>#REF!</v>
      </c>
      <c r="BE22" s="445" t="e">
        <f t="shared" si="26"/>
        <v>#REF!</v>
      </c>
      <c r="BF22" s="67" t="e">
        <f t="shared" si="27"/>
        <v>#REF!</v>
      </c>
      <c r="BG22" s="45" t="e">
        <f t="shared" si="3"/>
        <v>#REF!</v>
      </c>
      <c r="BH22" s="45" t="e">
        <f t="shared" si="28"/>
        <v>#REF!</v>
      </c>
      <c r="BI22" s="67" t="e">
        <f t="shared" si="29"/>
        <v>#REF!</v>
      </c>
      <c r="BL22" s="81"/>
      <c r="BM22" s="45"/>
      <c r="BN22" s="45" t="s">
        <v>164</v>
      </c>
      <c r="BO22" s="45">
        <f>IF('3.Current_Recycling'!$W$10=2, IF(OR(BP22=$BS$19, BP22=$BS$20, BP22=$BS$21), INDEX('9.CustomRates'!$D$57:$L$69, MATCH('3.Current_Recycling'!$J$75, '9.CustomRates'!$D$57:$D$69, 0), MATCH('3.Current_Recycling'!$J$78, '9.CustomRates'!$D$57:$L$57, 0))*'3.Current_Recycling'!$J$76*12,INDEX('9.CustomRates'!$D$37:$L$49, MATCH('3.Current_Recycling'!$J$75, '9.CustomRates'!$D$37:$D$49, 0), MATCH('3.Current_Recycling'!$J$78, '9.CustomRates'!$D$37:$L$37, 0)))*'3.Current_Recycling'!$J$76*12, 0)</f>
        <v>0</v>
      </c>
      <c r="BP22" s="45" t="str">
        <f>'3.Current_Recycling'!$J$73</f>
        <v>(select from list)</v>
      </c>
      <c r="BQ22" s="45"/>
      <c r="BR22" s="45"/>
      <c r="BS22" s="45"/>
      <c r="BT22" s="67"/>
    </row>
    <row r="23" spans="3:72" ht="16.5" customHeight="1" x14ac:dyDescent="0.25">
      <c r="D23" s="436">
        <v>2</v>
      </c>
      <c r="E23" s="435" t="s">
        <v>475</v>
      </c>
      <c r="F23" s="515" t="s">
        <v>486</v>
      </c>
      <c r="G23" s="515" t="s">
        <v>486</v>
      </c>
      <c r="H23" s="515" t="s">
        <v>486</v>
      </c>
      <c r="I23" s="515" t="s">
        <v>486</v>
      </c>
      <c r="J23" s="515" t="s">
        <v>486</v>
      </c>
      <c r="K23" s="515" t="s">
        <v>486</v>
      </c>
      <c r="L23" s="515" t="s">
        <v>486</v>
      </c>
      <c r="Q23" s="81">
        <v>6</v>
      </c>
      <c r="R23" s="45">
        <v>32</v>
      </c>
      <c r="S23" s="45" t="s">
        <v>377</v>
      </c>
      <c r="T23" s="438" t="e">
        <f>IF(S23="Cu. Yards", Q23*R23*52, Q23*R23*#REF!/#REF!)</f>
        <v>#REF!</v>
      </c>
      <c r="U23" s="439" t="str">
        <f t="shared" si="4"/>
        <v>NA</v>
      </c>
      <c r="V23" s="129" t="str">
        <f t="shared" si="5"/>
        <v>NA</v>
      </c>
      <c r="W23" s="439">
        <f>IF(V23="NA",1000000,ABS('2.Current_Trash'!$K$29-'9.CustomRates'!V23))</f>
        <v>1000000</v>
      </c>
      <c r="X23" s="520">
        <f t="shared" si="6"/>
        <v>1</v>
      </c>
      <c r="Y23" s="438">
        <f t="shared" si="0"/>
        <v>0</v>
      </c>
      <c r="Z23" s="81" t="e">
        <f t="shared" si="7"/>
        <v>#REF!</v>
      </c>
      <c r="AA23" s="445" t="e">
        <f t="shared" si="8"/>
        <v>#REF!</v>
      </c>
      <c r="AB23" s="67" t="e">
        <f t="shared" si="9"/>
        <v>#REF!</v>
      </c>
      <c r="AC23" s="447" t="str">
        <f t="shared" si="10"/>
        <v>NA</v>
      </c>
      <c r="AD23" s="67">
        <f t="shared" si="11"/>
        <v>0</v>
      </c>
      <c r="AE23" s="81" t="e">
        <f t="shared" si="1"/>
        <v>#REF!</v>
      </c>
      <c r="AF23" s="45" t="e">
        <f t="shared" si="12"/>
        <v>#REF!</v>
      </c>
      <c r="AG23" s="67" t="e">
        <f t="shared" si="13"/>
        <v>#REF!</v>
      </c>
      <c r="AI23" s="81">
        <v>6</v>
      </c>
      <c r="AJ23" s="45">
        <v>32</v>
      </c>
      <c r="AK23" s="45" t="s">
        <v>377</v>
      </c>
      <c r="AL23" s="438" t="e">
        <f>IF(AK23="CY", AI23*AJ23*52, AI23*AJ23*#REF!/#REF!)</f>
        <v>#REF!</v>
      </c>
      <c r="AM23" s="439" t="str">
        <f t="shared" si="14"/>
        <v>NA</v>
      </c>
      <c r="AN23" s="129" t="str">
        <f t="shared" si="15"/>
        <v>NA</v>
      </c>
      <c r="AO23" s="438">
        <f t="shared" si="16"/>
        <v>0</v>
      </c>
      <c r="AP23" s="81" t="e">
        <f t="shared" si="17"/>
        <v>#REF!</v>
      </c>
      <c r="AQ23" s="445" t="e">
        <f t="shared" si="18"/>
        <v>#REF!</v>
      </c>
      <c r="AR23" s="67" t="e">
        <f t="shared" si="19"/>
        <v>#REF!</v>
      </c>
      <c r="AS23" s="81" t="e">
        <f t="shared" si="2"/>
        <v>#REF!</v>
      </c>
      <c r="AT23" s="45" t="e">
        <f t="shared" si="20"/>
        <v>#REF!</v>
      </c>
      <c r="AU23" s="67" t="e">
        <f t="shared" si="21"/>
        <v>#REF!</v>
      </c>
      <c r="AW23" s="81">
        <v>6</v>
      </c>
      <c r="AX23" s="45">
        <v>32</v>
      </c>
      <c r="AY23" s="45" t="s">
        <v>377</v>
      </c>
      <c r="AZ23" s="438" t="e">
        <f>IF(AY23="Cu. Yards", AW23*AX23*52, AW23*AX23*#REF!/#REF!)</f>
        <v>#REF!</v>
      </c>
      <c r="BA23" s="439" t="str">
        <f t="shared" si="22"/>
        <v>NA</v>
      </c>
      <c r="BB23" s="129" t="str">
        <f t="shared" si="23"/>
        <v>NA</v>
      </c>
      <c r="BC23" s="438">
        <f t="shared" si="24"/>
        <v>0</v>
      </c>
      <c r="BD23" s="81" t="e">
        <f t="shared" si="25"/>
        <v>#REF!</v>
      </c>
      <c r="BE23" s="445" t="e">
        <f t="shared" si="26"/>
        <v>#REF!</v>
      </c>
      <c r="BF23" s="67" t="e">
        <f t="shared" si="27"/>
        <v>#REF!</v>
      </c>
      <c r="BG23" s="45" t="e">
        <f t="shared" si="3"/>
        <v>#REF!</v>
      </c>
      <c r="BH23" s="45" t="e">
        <f t="shared" si="28"/>
        <v>#REF!</v>
      </c>
      <c r="BI23" s="67" t="e">
        <f t="shared" si="29"/>
        <v>#REF!</v>
      </c>
      <c r="BL23" s="81"/>
      <c r="BM23" s="45"/>
      <c r="BN23" s="45" t="s">
        <v>165</v>
      </c>
      <c r="BO23" s="45">
        <f>IF('3.Current_Recycling'!$W$10=2, IF(OR(BP23=$BS$19, BP23=$BS$20, BP23=$BS$21), INDEX('9.CustomRates'!$D$57:$L$69, MATCH('3.Current_Recycling'!$L$75, '9.CustomRates'!$D$57:$D$69, 0), MATCH('3.Current_Recycling'!$L$78, '9.CustomRates'!$D$57:$L$57, 0))*'3.Current_Recycling'!$L$76*12,INDEX('9.CustomRates'!$D$37:$L$49, MATCH('3.Current_Recycling'!$L$75, '9.CustomRates'!$D$37:$D$49, 0), MATCH('3.Current_Recycling'!$L$78, '9.CustomRates'!$D$37:$L$37, 0)))*'3.Current_Recycling'!$L$76*12, 0)</f>
        <v>0</v>
      </c>
      <c r="BP23" s="45" t="str">
        <f>'3.Current_Recycling'!$L$73</f>
        <v>(select from list)</v>
      </c>
      <c r="BQ23" s="45"/>
      <c r="BR23" s="45"/>
      <c r="BS23" s="45"/>
      <c r="BT23" s="67"/>
    </row>
    <row r="24" spans="3:72" ht="16.5" customHeight="1" x14ac:dyDescent="0.25">
      <c r="D24" s="436">
        <v>3</v>
      </c>
      <c r="E24" s="435" t="s">
        <v>475</v>
      </c>
      <c r="F24" s="515" t="s">
        <v>486</v>
      </c>
      <c r="G24" s="515" t="s">
        <v>486</v>
      </c>
      <c r="H24" s="515" t="s">
        <v>486</v>
      </c>
      <c r="I24" s="515" t="s">
        <v>486</v>
      </c>
      <c r="J24" s="515" t="s">
        <v>486</v>
      </c>
      <c r="K24" s="515" t="s">
        <v>486</v>
      </c>
      <c r="L24" s="515" t="s">
        <v>486</v>
      </c>
      <c r="Q24" s="81">
        <v>7</v>
      </c>
      <c r="R24" s="45">
        <v>32</v>
      </c>
      <c r="S24" s="45" t="s">
        <v>377</v>
      </c>
      <c r="T24" s="438" t="e">
        <f>IF(S24="Cu. Yards", Q24*R24*52, Q24*R24*#REF!/#REF!)</f>
        <v>#REF!</v>
      </c>
      <c r="U24" s="439" t="str">
        <f t="shared" si="4"/>
        <v>NA</v>
      </c>
      <c r="V24" s="129" t="str">
        <f t="shared" si="5"/>
        <v>NA</v>
      </c>
      <c r="W24" s="439">
        <f>IF(V24="NA",1000000,ABS('2.Current_Trash'!$K$29-'9.CustomRates'!V24))</f>
        <v>1000000</v>
      </c>
      <c r="X24" s="520">
        <f t="shared" si="6"/>
        <v>1</v>
      </c>
      <c r="Y24" s="438">
        <f t="shared" si="0"/>
        <v>0</v>
      </c>
      <c r="Z24" s="81" t="e">
        <f t="shared" si="7"/>
        <v>#REF!</v>
      </c>
      <c r="AA24" s="445" t="e">
        <f t="shared" si="8"/>
        <v>#REF!</v>
      </c>
      <c r="AB24" s="67" t="e">
        <f t="shared" si="9"/>
        <v>#REF!</v>
      </c>
      <c r="AC24" s="447" t="str">
        <f t="shared" si="10"/>
        <v>NA</v>
      </c>
      <c r="AD24" s="67">
        <f t="shared" si="11"/>
        <v>0</v>
      </c>
      <c r="AE24" s="81" t="e">
        <f t="shared" si="1"/>
        <v>#REF!</v>
      </c>
      <c r="AF24" s="45" t="e">
        <f t="shared" si="12"/>
        <v>#REF!</v>
      </c>
      <c r="AG24" s="67" t="e">
        <f t="shared" si="13"/>
        <v>#REF!</v>
      </c>
      <c r="AI24" s="81">
        <v>7</v>
      </c>
      <c r="AJ24" s="45">
        <v>32</v>
      </c>
      <c r="AK24" s="45" t="s">
        <v>377</v>
      </c>
      <c r="AL24" s="438" t="e">
        <f>IF(AK24="CY", AI24*AJ24*52, AI24*AJ24*#REF!/#REF!)</f>
        <v>#REF!</v>
      </c>
      <c r="AM24" s="439" t="str">
        <f t="shared" si="14"/>
        <v>NA</v>
      </c>
      <c r="AN24" s="129" t="str">
        <f t="shared" si="15"/>
        <v>NA</v>
      </c>
      <c r="AO24" s="438">
        <f t="shared" si="16"/>
        <v>0</v>
      </c>
      <c r="AP24" s="81" t="e">
        <f t="shared" si="17"/>
        <v>#REF!</v>
      </c>
      <c r="AQ24" s="445" t="e">
        <f t="shared" si="18"/>
        <v>#REF!</v>
      </c>
      <c r="AR24" s="67" t="e">
        <f t="shared" si="19"/>
        <v>#REF!</v>
      </c>
      <c r="AS24" s="81" t="e">
        <f t="shared" si="2"/>
        <v>#REF!</v>
      </c>
      <c r="AT24" s="45" t="e">
        <f t="shared" si="20"/>
        <v>#REF!</v>
      </c>
      <c r="AU24" s="67" t="e">
        <f t="shared" si="21"/>
        <v>#REF!</v>
      </c>
      <c r="AW24" s="81">
        <v>7</v>
      </c>
      <c r="AX24" s="45">
        <v>32</v>
      </c>
      <c r="AY24" s="45" t="s">
        <v>377</v>
      </c>
      <c r="AZ24" s="438" t="e">
        <f>IF(AY24="Cu. Yards", AW24*AX24*52, AW24*AX24*#REF!/#REF!)</f>
        <v>#REF!</v>
      </c>
      <c r="BA24" s="439" t="str">
        <f t="shared" si="22"/>
        <v>NA</v>
      </c>
      <c r="BB24" s="129" t="str">
        <f t="shared" si="23"/>
        <v>NA</v>
      </c>
      <c r="BC24" s="438">
        <f t="shared" si="24"/>
        <v>0</v>
      </c>
      <c r="BD24" s="81" t="e">
        <f t="shared" si="25"/>
        <v>#REF!</v>
      </c>
      <c r="BE24" s="445" t="e">
        <f t="shared" si="26"/>
        <v>#REF!</v>
      </c>
      <c r="BF24" s="67" t="e">
        <f t="shared" si="27"/>
        <v>#REF!</v>
      </c>
      <c r="BG24" s="45" t="e">
        <f t="shared" si="3"/>
        <v>#REF!</v>
      </c>
      <c r="BH24" s="45" t="e">
        <f t="shared" si="28"/>
        <v>#REF!</v>
      </c>
      <c r="BI24" s="67" t="e">
        <f t="shared" si="29"/>
        <v>#REF!</v>
      </c>
      <c r="BL24" s="81"/>
      <c r="BM24" s="45"/>
      <c r="BN24" s="45" t="s">
        <v>363</v>
      </c>
      <c r="BO24" s="45">
        <f>IF('3.Current_Recycling'!$W$10=2, IF(OR(BP24=$BS$19, BP24=$BS$20, BP24=$BS$21), INDEX('9.CustomRates'!$D$57:$L$69, MATCH('3.Current_Recycling'!$N$75, '9.CustomRates'!$D$57:$D$69, 0), MATCH('3.Current_Recycling'!$N$78, '9.CustomRates'!$D$57:$L$57, 0))*'3.Current_Recycling'!$N$76*12,INDEX('9.CustomRates'!$D$37:$L$49, MATCH('3.Current_Recycling'!$N$75, '9.CustomRates'!$D$37:$D$49, 0), MATCH('3.Current_Recycling'!$N$78, '9.CustomRates'!$D$37:$L$37, 0)))*'3.Current_Recycling'!$N$76*12, 0)</f>
        <v>0</v>
      </c>
      <c r="BP24" s="45" t="str">
        <f>'3.Current_Recycling'!$N$73</f>
        <v>(select from list)</v>
      </c>
      <c r="BQ24" s="45"/>
      <c r="BR24" s="45"/>
      <c r="BS24" s="45"/>
      <c r="BT24" s="67"/>
    </row>
    <row r="25" spans="3:72" ht="16.5" customHeight="1" x14ac:dyDescent="0.25">
      <c r="D25" s="436">
        <v>4</v>
      </c>
      <c r="E25" s="435" t="s">
        <v>475</v>
      </c>
      <c r="F25" s="515" t="s">
        <v>486</v>
      </c>
      <c r="G25" s="515" t="s">
        <v>486</v>
      </c>
      <c r="H25" s="515" t="s">
        <v>486</v>
      </c>
      <c r="I25" s="515" t="s">
        <v>486</v>
      </c>
      <c r="J25" s="515" t="s">
        <v>486</v>
      </c>
      <c r="K25" s="515" t="s">
        <v>486</v>
      </c>
      <c r="L25" s="515" t="s">
        <v>486</v>
      </c>
      <c r="Q25" s="81">
        <v>1</v>
      </c>
      <c r="R25" s="45">
        <v>64</v>
      </c>
      <c r="S25" s="45" t="s">
        <v>377</v>
      </c>
      <c r="T25" s="438" t="e">
        <f>IF(S25="Cu. Yards", Q25*R25*52, Q25*R25*#REF!/#REF!)</f>
        <v>#REF!</v>
      </c>
      <c r="U25" s="439" t="str">
        <f t="shared" si="4"/>
        <v>NA</v>
      </c>
      <c r="V25" s="129" t="str">
        <f t="shared" si="5"/>
        <v>NA</v>
      </c>
      <c r="W25" s="439">
        <f>IF(V25="NA",1000000,ABS('2.Current_Trash'!$K$29-'9.CustomRates'!V25))</f>
        <v>1000000</v>
      </c>
      <c r="X25" s="520">
        <f t="shared" si="6"/>
        <v>1</v>
      </c>
      <c r="Y25" s="438">
        <f t="shared" si="0"/>
        <v>0</v>
      </c>
      <c r="Z25" s="81" t="e">
        <f t="shared" si="7"/>
        <v>#REF!</v>
      </c>
      <c r="AA25" s="445" t="e">
        <f t="shared" si="8"/>
        <v>#REF!</v>
      </c>
      <c r="AB25" s="67" t="e">
        <f t="shared" si="9"/>
        <v>#REF!</v>
      </c>
      <c r="AC25" s="447" t="str">
        <f t="shared" si="10"/>
        <v>NA</v>
      </c>
      <c r="AD25" s="67">
        <f t="shared" si="11"/>
        <v>0</v>
      </c>
      <c r="AE25" s="81" t="e">
        <f t="shared" si="1"/>
        <v>#REF!</v>
      </c>
      <c r="AF25" s="45" t="e">
        <f t="shared" si="12"/>
        <v>#REF!</v>
      </c>
      <c r="AG25" s="67" t="e">
        <f t="shared" si="13"/>
        <v>#REF!</v>
      </c>
      <c r="AI25" s="81">
        <v>1</v>
      </c>
      <c r="AJ25" s="45">
        <v>64</v>
      </c>
      <c r="AK25" s="45" t="s">
        <v>377</v>
      </c>
      <c r="AL25" s="438" t="e">
        <f>IF(AK25="CY", AI25*AJ25*52, AI25*AJ25*#REF!/#REF!)</f>
        <v>#REF!</v>
      </c>
      <c r="AM25" s="439" t="str">
        <f t="shared" si="14"/>
        <v>NA</v>
      </c>
      <c r="AN25" s="129" t="str">
        <f t="shared" si="15"/>
        <v>NA</v>
      </c>
      <c r="AO25" s="438">
        <f t="shared" si="16"/>
        <v>0</v>
      </c>
      <c r="AP25" s="81" t="e">
        <f t="shared" si="17"/>
        <v>#REF!</v>
      </c>
      <c r="AQ25" s="445" t="e">
        <f t="shared" si="18"/>
        <v>#REF!</v>
      </c>
      <c r="AR25" s="67" t="e">
        <f t="shared" si="19"/>
        <v>#REF!</v>
      </c>
      <c r="AS25" s="81" t="e">
        <f t="shared" si="2"/>
        <v>#REF!</v>
      </c>
      <c r="AT25" s="45" t="e">
        <f t="shared" si="20"/>
        <v>#REF!</v>
      </c>
      <c r="AU25" s="67" t="e">
        <f t="shared" si="21"/>
        <v>#REF!</v>
      </c>
      <c r="AW25" s="81">
        <v>1</v>
      </c>
      <c r="AX25" s="45">
        <v>64</v>
      </c>
      <c r="AY25" s="45" t="s">
        <v>377</v>
      </c>
      <c r="AZ25" s="438" t="e">
        <f>IF(AY25="Cu. Yards", AW25*AX25*52, AW25*AX25*#REF!/#REF!)</f>
        <v>#REF!</v>
      </c>
      <c r="BA25" s="439" t="str">
        <f t="shared" si="22"/>
        <v>NA</v>
      </c>
      <c r="BB25" s="129" t="str">
        <f t="shared" si="23"/>
        <v>NA</v>
      </c>
      <c r="BC25" s="438">
        <f t="shared" si="24"/>
        <v>0</v>
      </c>
      <c r="BD25" s="81" t="e">
        <f t="shared" si="25"/>
        <v>#REF!</v>
      </c>
      <c r="BE25" s="445" t="e">
        <f t="shared" si="26"/>
        <v>#REF!</v>
      </c>
      <c r="BF25" s="67" t="e">
        <f t="shared" si="27"/>
        <v>#REF!</v>
      </c>
      <c r="BG25" s="45" t="e">
        <f t="shared" si="3"/>
        <v>#REF!</v>
      </c>
      <c r="BH25" s="45" t="e">
        <f t="shared" si="28"/>
        <v>#REF!</v>
      </c>
      <c r="BI25" s="67" t="e">
        <f t="shared" si="29"/>
        <v>#REF!</v>
      </c>
      <c r="BL25" s="81"/>
      <c r="BM25" s="45"/>
      <c r="BN25" s="45"/>
      <c r="BO25" s="45"/>
      <c r="BP25" s="45"/>
      <c r="BQ25" s="45"/>
      <c r="BR25" s="45"/>
      <c r="BS25" s="45"/>
      <c r="BT25" s="67"/>
    </row>
    <row r="26" spans="3:72" ht="16.5" customHeight="1" x14ac:dyDescent="0.25">
      <c r="D26" s="436">
        <v>5</v>
      </c>
      <c r="E26" s="435" t="s">
        <v>475</v>
      </c>
      <c r="F26" s="515" t="s">
        <v>486</v>
      </c>
      <c r="G26" s="515" t="s">
        <v>486</v>
      </c>
      <c r="H26" s="515" t="s">
        <v>486</v>
      </c>
      <c r="I26" s="515" t="s">
        <v>486</v>
      </c>
      <c r="J26" s="515" t="s">
        <v>486</v>
      </c>
      <c r="K26" s="515" t="s">
        <v>486</v>
      </c>
      <c r="L26" s="515" t="s">
        <v>486</v>
      </c>
      <c r="Q26" s="81">
        <v>2</v>
      </c>
      <c r="R26" s="45">
        <v>64</v>
      </c>
      <c r="S26" s="45" t="s">
        <v>377</v>
      </c>
      <c r="T26" s="438" t="e">
        <f>IF(S26="Cu. Yards", Q26*R26*52, Q26*R26*#REF!/#REF!)</f>
        <v>#REF!</v>
      </c>
      <c r="U26" s="439" t="str">
        <f t="shared" si="4"/>
        <v>NA</v>
      </c>
      <c r="V26" s="129" t="str">
        <f t="shared" si="5"/>
        <v>NA</v>
      </c>
      <c r="W26" s="439">
        <f>IF(V26="NA",1000000,ABS('2.Current_Trash'!$K$29-'9.CustomRates'!V26))</f>
        <v>1000000</v>
      </c>
      <c r="X26" s="520">
        <f t="shared" si="6"/>
        <v>1</v>
      </c>
      <c r="Y26" s="438">
        <f t="shared" si="0"/>
        <v>0</v>
      </c>
      <c r="Z26" s="81" t="e">
        <f t="shared" si="7"/>
        <v>#REF!</v>
      </c>
      <c r="AA26" s="445" t="e">
        <f t="shared" si="8"/>
        <v>#REF!</v>
      </c>
      <c r="AB26" s="67" t="e">
        <f t="shared" si="9"/>
        <v>#REF!</v>
      </c>
      <c r="AC26" s="447" t="str">
        <f t="shared" si="10"/>
        <v>NA</v>
      </c>
      <c r="AD26" s="67">
        <f t="shared" si="11"/>
        <v>0</v>
      </c>
      <c r="AE26" s="81" t="e">
        <f t="shared" si="1"/>
        <v>#REF!</v>
      </c>
      <c r="AF26" s="45" t="e">
        <f t="shared" si="12"/>
        <v>#REF!</v>
      </c>
      <c r="AG26" s="67" t="e">
        <f t="shared" si="13"/>
        <v>#REF!</v>
      </c>
      <c r="AI26" s="81">
        <v>2</v>
      </c>
      <c r="AJ26" s="45">
        <v>64</v>
      </c>
      <c r="AK26" s="45" t="s">
        <v>377</v>
      </c>
      <c r="AL26" s="438" t="e">
        <f>IF(AK26="CY", AI26*AJ26*52, AI26*AJ26*#REF!/#REF!)</f>
        <v>#REF!</v>
      </c>
      <c r="AM26" s="439" t="str">
        <f t="shared" si="14"/>
        <v>NA</v>
      </c>
      <c r="AN26" s="129" t="str">
        <f t="shared" si="15"/>
        <v>NA</v>
      </c>
      <c r="AO26" s="438">
        <f t="shared" si="16"/>
        <v>0</v>
      </c>
      <c r="AP26" s="81" t="e">
        <f t="shared" si="17"/>
        <v>#REF!</v>
      </c>
      <c r="AQ26" s="445" t="e">
        <f t="shared" si="18"/>
        <v>#REF!</v>
      </c>
      <c r="AR26" s="67" t="e">
        <f t="shared" si="19"/>
        <v>#REF!</v>
      </c>
      <c r="AS26" s="81" t="e">
        <f t="shared" si="2"/>
        <v>#REF!</v>
      </c>
      <c r="AT26" s="45" t="e">
        <f t="shared" si="20"/>
        <v>#REF!</v>
      </c>
      <c r="AU26" s="67" t="e">
        <f t="shared" si="21"/>
        <v>#REF!</v>
      </c>
      <c r="AW26" s="81">
        <v>2</v>
      </c>
      <c r="AX26" s="45">
        <v>64</v>
      </c>
      <c r="AY26" s="45" t="s">
        <v>377</v>
      </c>
      <c r="AZ26" s="438" t="e">
        <f>IF(AY26="Cu. Yards", AW26*AX26*52, AW26*AX26*#REF!/#REF!)</f>
        <v>#REF!</v>
      </c>
      <c r="BA26" s="439" t="str">
        <f t="shared" si="22"/>
        <v>NA</v>
      </c>
      <c r="BB26" s="129" t="str">
        <f t="shared" si="23"/>
        <v>NA</v>
      </c>
      <c r="BC26" s="438">
        <f t="shared" si="24"/>
        <v>0</v>
      </c>
      <c r="BD26" s="81" t="e">
        <f t="shared" si="25"/>
        <v>#REF!</v>
      </c>
      <c r="BE26" s="445" t="e">
        <f t="shared" si="26"/>
        <v>#REF!</v>
      </c>
      <c r="BF26" s="67" t="e">
        <f t="shared" si="27"/>
        <v>#REF!</v>
      </c>
      <c r="BG26" s="45" t="e">
        <f t="shared" si="3"/>
        <v>#REF!</v>
      </c>
      <c r="BH26" s="45" t="e">
        <f t="shared" si="28"/>
        <v>#REF!</v>
      </c>
      <c r="BI26" s="67" t="e">
        <f t="shared" si="29"/>
        <v>#REF!</v>
      </c>
      <c r="BL26" s="81"/>
      <c r="BM26" s="45"/>
      <c r="BN26" s="45"/>
      <c r="BO26" s="45" t="s">
        <v>427</v>
      </c>
      <c r="BP26" s="45" t="s">
        <v>384</v>
      </c>
      <c r="BQ26" s="220" t="s">
        <v>463</v>
      </c>
      <c r="BR26" s="45" t="s">
        <v>383</v>
      </c>
      <c r="BS26" s="224"/>
      <c r="BT26" s="67"/>
    </row>
    <row r="27" spans="3:72" ht="16.5" customHeight="1" x14ac:dyDescent="0.25">
      <c r="D27" s="436">
        <v>6</v>
      </c>
      <c r="E27" s="435" t="s">
        <v>475</v>
      </c>
      <c r="F27" s="515" t="s">
        <v>486</v>
      </c>
      <c r="G27" s="515" t="s">
        <v>486</v>
      </c>
      <c r="H27" s="515" t="s">
        <v>486</v>
      </c>
      <c r="I27" s="515" t="s">
        <v>486</v>
      </c>
      <c r="J27" s="515" t="s">
        <v>486</v>
      </c>
      <c r="K27" s="515" t="s">
        <v>486</v>
      </c>
      <c r="L27" s="515" t="s">
        <v>486</v>
      </c>
      <c r="Q27" s="81">
        <v>3</v>
      </c>
      <c r="R27" s="45">
        <v>64</v>
      </c>
      <c r="S27" s="45" t="s">
        <v>377</v>
      </c>
      <c r="T27" s="438" t="e">
        <f>IF(S27="Cu. Yards", Q27*R27*52, Q27*R27*#REF!/#REF!)</f>
        <v>#REF!</v>
      </c>
      <c r="U27" s="439" t="str">
        <f t="shared" si="4"/>
        <v>NA</v>
      </c>
      <c r="V27" s="129" t="str">
        <f t="shared" si="5"/>
        <v>NA</v>
      </c>
      <c r="W27" s="439">
        <f>IF(V27="NA",1000000,ABS('2.Current_Trash'!$K$29-'9.CustomRates'!V27))</f>
        <v>1000000</v>
      </c>
      <c r="X27" s="520">
        <f t="shared" si="6"/>
        <v>1</v>
      </c>
      <c r="Y27" s="438">
        <f t="shared" si="0"/>
        <v>0</v>
      </c>
      <c r="Z27" s="81" t="e">
        <f t="shared" si="7"/>
        <v>#REF!</v>
      </c>
      <c r="AA27" s="445" t="e">
        <f t="shared" si="8"/>
        <v>#REF!</v>
      </c>
      <c r="AB27" s="67" t="e">
        <f t="shared" si="9"/>
        <v>#REF!</v>
      </c>
      <c r="AC27" s="447" t="str">
        <f t="shared" si="10"/>
        <v>NA</v>
      </c>
      <c r="AD27" s="67">
        <f t="shared" si="11"/>
        <v>0</v>
      </c>
      <c r="AE27" s="81" t="e">
        <f t="shared" si="1"/>
        <v>#REF!</v>
      </c>
      <c r="AF27" s="45" t="e">
        <f t="shared" si="12"/>
        <v>#REF!</v>
      </c>
      <c r="AG27" s="67" t="e">
        <f t="shared" si="13"/>
        <v>#REF!</v>
      </c>
      <c r="AI27" s="81">
        <v>3</v>
      </c>
      <c r="AJ27" s="45">
        <v>64</v>
      </c>
      <c r="AK27" s="45" t="s">
        <v>377</v>
      </c>
      <c r="AL27" s="438" t="e">
        <f>IF(AK27="CY", AI27*AJ27*52, AI27*AJ27*#REF!/#REF!)</f>
        <v>#REF!</v>
      </c>
      <c r="AM27" s="439" t="str">
        <f t="shared" si="14"/>
        <v>NA</v>
      </c>
      <c r="AN27" s="129" t="str">
        <f t="shared" si="15"/>
        <v>NA</v>
      </c>
      <c r="AO27" s="438">
        <f t="shared" si="16"/>
        <v>0</v>
      </c>
      <c r="AP27" s="81" t="e">
        <f t="shared" si="17"/>
        <v>#REF!</v>
      </c>
      <c r="AQ27" s="445" t="e">
        <f t="shared" si="18"/>
        <v>#REF!</v>
      </c>
      <c r="AR27" s="67" t="e">
        <f t="shared" si="19"/>
        <v>#REF!</v>
      </c>
      <c r="AS27" s="81" t="e">
        <f t="shared" si="2"/>
        <v>#REF!</v>
      </c>
      <c r="AT27" s="45" t="e">
        <f t="shared" si="20"/>
        <v>#REF!</v>
      </c>
      <c r="AU27" s="67" t="e">
        <f t="shared" si="21"/>
        <v>#REF!</v>
      </c>
      <c r="AW27" s="81">
        <v>3</v>
      </c>
      <c r="AX27" s="45">
        <v>64</v>
      </c>
      <c r="AY27" s="45" t="s">
        <v>377</v>
      </c>
      <c r="AZ27" s="438" t="e">
        <f>IF(AY27="Cu. Yards", AW27*AX27*52, AW27*AX27*#REF!/#REF!)</f>
        <v>#REF!</v>
      </c>
      <c r="BA27" s="439" t="str">
        <f t="shared" si="22"/>
        <v>NA</v>
      </c>
      <c r="BB27" s="129" t="str">
        <f t="shared" si="23"/>
        <v>NA</v>
      </c>
      <c r="BC27" s="438">
        <f t="shared" si="24"/>
        <v>0</v>
      </c>
      <c r="BD27" s="81" t="e">
        <f t="shared" si="25"/>
        <v>#REF!</v>
      </c>
      <c r="BE27" s="445" t="e">
        <f t="shared" si="26"/>
        <v>#REF!</v>
      </c>
      <c r="BF27" s="67" t="e">
        <f t="shared" si="27"/>
        <v>#REF!</v>
      </c>
      <c r="BG27" s="45" t="e">
        <f t="shared" si="3"/>
        <v>#REF!</v>
      </c>
      <c r="BH27" s="45" t="e">
        <f t="shared" si="28"/>
        <v>#REF!</v>
      </c>
      <c r="BI27" s="67" t="e">
        <f t="shared" si="29"/>
        <v>#REF!</v>
      </c>
      <c r="BL27" s="81" t="s">
        <v>388</v>
      </c>
      <c r="BM27" s="45"/>
      <c r="BN27" s="45" t="s">
        <v>332</v>
      </c>
      <c r="BO27" s="45" t="e">
        <f>IF(OR('3.Current_Recycling'!$W$10=1,'3.Current_Recycling'!$W$10=3),#REF!, 0)</f>
        <v>#REF!</v>
      </c>
      <c r="BP27" s="45">
        <f>IF(ISERROR(#REF!),0,BO27*2000/#REF!)</f>
        <v>0</v>
      </c>
      <c r="BQ27" s="220" t="e">
        <f>IF(BP27&lt;BM38,BP27,IF(BP27/2&lt;BM38,BP27/2,IF(BP27/3&lt;BM38,BP27/3,IF(BP27/4&lt;BM38,BP27/4,IF(BP27/5&lt;BM38,BP27/5,IF(BP27/6&lt;BM38,BP27/6,IF(BP27/7&lt;BM38,BP27/7,IF(BP27/8&lt;BM38,BP27/8,0))))))))</f>
        <v>#N/A</v>
      </c>
      <c r="BR27" s="45">
        <f>IF(BP27=0,0,INDEX($AN$18:$AR$101,MATCH(1,$AR$18:$AR$101,0),1))</f>
        <v>0</v>
      </c>
      <c r="BS27" s="45"/>
      <c r="BT27" s="67"/>
    </row>
    <row r="28" spans="3:72" ht="16.5" customHeight="1" x14ac:dyDescent="0.25">
      <c r="D28" s="436">
        <v>7</v>
      </c>
      <c r="E28" s="435" t="s">
        <v>475</v>
      </c>
      <c r="F28" s="515" t="s">
        <v>486</v>
      </c>
      <c r="G28" s="515" t="s">
        <v>486</v>
      </c>
      <c r="H28" s="515" t="s">
        <v>486</v>
      </c>
      <c r="I28" s="515" t="s">
        <v>486</v>
      </c>
      <c r="J28" s="515" t="s">
        <v>486</v>
      </c>
      <c r="K28" s="515" t="s">
        <v>486</v>
      </c>
      <c r="L28" s="515" t="s">
        <v>486</v>
      </c>
      <c r="Q28" s="81">
        <v>4</v>
      </c>
      <c r="R28" s="45">
        <v>64</v>
      </c>
      <c r="S28" s="45" t="s">
        <v>377</v>
      </c>
      <c r="T28" s="438" t="e">
        <f>IF(S28="Cu. Yards", Q28*R28*52, Q28*R28*#REF!/#REF!)</f>
        <v>#REF!</v>
      </c>
      <c r="U28" s="439" t="str">
        <f t="shared" si="4"/>
        <v>NA</v>
      </c>
      <c r="V28" s="129" t="str">
        <f t="shared" si="5"/>
        <v>NA</v>
      </c>
      <c r="W28" s="439">
        <f>IF(V28="NA",1000000,ABS('2.Current_Trash'!$K$29-'9.CustomRates'!V28))</f>
        <v>1000000</v>
      </c>
      <c r="X28" s="520">
        <f t="shared" si="6"/>
        <v>1</v>
      </c>
      <c r="Y28" s="438">
        <f t="shared" si="0"/>
        <v>0</v>
      </c>
      <c r="Z28" s="81" t="e">
        <f t="shared" si="7"/>
        <v>#REF!</v>
      </c>
      <c r="AA28" s="445" t="e">
        <f t="shared" si="8"/>
        <v>#REF!</v>
      </c>
      <c r="AB28" s="67" t="e">
        <f t="shared" si="9"/>
        <v>#REF!</v>
      </c>
      <c r="AC28" s="447" t="str">
        <f t="shared" si="10"/>
        <v>NA</v>
      </c>
      <c r="AD28" s="67">
        <f t="shared" si="11"/>
        <v>0</v>
      </c>
      <c r="AE28" s="81" t="e">
        <f t="shared" si="1"/>
        <v>#REF!</v>
      </c>
      <c r="AF28" s="45" t="e">
        <f t="shared" si="12"/>
        <v>#REF!</v>
      </c>
      <c r="AG28" s="67" t="e">
        <f t="shared" si="13"/>
        <v>#REF!</v>
      </c>
      <c r="AI28" s="81">
        <v>4</v>
      </c>
      <c r="AJ28" s="45">
        <v>64</v>
      </c>
      <c r="AK28" s="45" t="s">
        <v>377</v>
      </c>
      <c r="AL28" s="438" t="e">
        <f>IF(AK28="CY", AI28*AJ28*52, AI28*AJ28*#REF!/#REF!)</f>
        <v>#REF!</v>
      </c>
      <c r="AM28" s="439" t="str">
        <f t="shared" si="14"/>
        <v>NA</v>
      </c>
      <c r="AN28" s="129" t="str">
        <f t="shared" si="15"/>
        <v>NA</v>
      </c>
      <c r="AO28" s="438">
        <f t="shared" si="16"/>
        <v>0</v>
      </c>
      <c r="AP28" s="81" t="e">
        <f t="shared" si="17"/>
        <v>#REF!</v>
      </c>
      <c r="AQ28" s="445" t="e">
        <f t="shared" si="18"/>
        <v>#REF!</v>
      </c>
      <c r="AR28" s="67" t="e">
        <f t="shared" si="19"/>
        <v>#REF!</v>
      </c>
      <c r="AS28" s="81" t="e">
        <f t="shared" si="2"/>
        <v>#REF!</v>
      </c>
      <c r="AT28" s="45" t="e">
        <f t="shared" si="20"/>
        <v>#REF!</v>
      </c>
      <c r="AU28" s="67" t="e">
        <f t="shared" si="21"/>
        <v>#REF!</v>
      </c>
      <c r="AW28" s="81">
        <v>4</v>
      </c>
      <c r="AX28" s="45">
        <v>64</v>
      </c>
      <c r="AY28" s="45" t="s">
        <v>377</v>
      </c>
      <c r="AZ28" s="438" t="e">
        <f>IF(AY28="Cu. Yards", AW28*AX28*52, AW28*AX28*#REF!/#REF!)</f>
        <v>#REF!</v>
      </c>
      <c r="BA28" s="439" t="str">
        <f t="shared" si="22"/>
        <v>NA</v>
      </c>
      <c r="BB28" s="129" t="str">
        <f t="shared" si="23"/>
        <v>NA</v>
      </c>
      <c r="BC28" s="438">
        <f t="shared" si="24"/>
        <v>0</v>
      </c>
      <c r="BD28" s="81" t="e">
        <f t="shared" si="25"/>
        <v>#REF!</v>
      </c>
      <c r="BE28" s="445" t="e">
        <f t="shared" si="26"/>
        <v>#REF!</v>
      </c>
      <c r="BF28" s="67" t="e">
        <f t="shared" si="27"/>
        <v>#REF!</v>
      </c>
      <c r="BG28" s="45" t="e">
        <f t="shared" si="3"/>
        <v>#REF!</v>
      </c>
      <c r="BH28" s="45" t="e">
        <f t="shared" si="28"/>
        <v>#REF!</v>
      </c>
      <c r="BI28" s="67" t="e">
        <f t="shared" si="29"/>
        <v>#REF!</v>
      </c>
      <c r="BL28" s="81"/>
      <c r="BM28" s="45"/>
      <c r="BN28" s="45" t="s">
        <v>425</v>
      </c>
      <c r="BO28" s="45" t="e">
        <f>IF(OR('3.Current_Recycling'!$W$10=1,'3.Current_Recycling'!$W$10=3),#REF!, 0)</f>
        <v>#REF!</v>
      </c>
      <c r="BP28" s="45" t="e">
        <f>BO28*2000/#REF!</f>
        <v>#REF!</v>
      </c>
      <c r="BQ28" s="220" t="e">
        <f>IF(BP28&lt;BM39,BP28,IF(BP28/2&lt;BM39,BP28/2,IF(BP28/3&lt;BM39,BP28/3,IF(BP28/4&lt;BM39,BP28/4,IF(BP28/5&lt;BM39,BP28/5,IF(BP28/6&lt;BM39,BP28/6,IF(BP28/7&lt;BM39,BP28/7,IF(BP28/8&lt;BM39,BP28/8,0))))))))</f>
        <v>#REF!</v>
      </c>
      <c r="BR28" s="45" t="e">
        <f>IF(BP28=0,0,INDEX($BB$18:$BF$101,MATCH(1,$BF$18:$BF$101,0),1))</f>
        <v>#REF!</v>
      </c>
      <c r="BS28" s="45"/>
      <c r="BT28" s="67"/>
    </row>
    <row r="29" spans="3:72" ht="16.5" customHeight="1" x14ac:dyDescent="0.25">
      <c r="D29" s="436">
        <v>8</v>
      </c>
      <c r="E29" s="435" t="s">
        <v>475</v>
      </c>
      <c r="F29" s="515" t="s">
        <v>486</v>
      </c>
      <c r="G29" s="515" t="s">
        <v>486</v>
      </c>
      <c r="H29" s="515" t="s">
        <v>486</v>
      </c>
      <c r="I29" s="515" t="s">
        <v>486</v>
      </c>
      <c r="J29" s="515" t="s">
        <v>486</v>
      </c>
      <c r="K29" s="515" t="s">
        <v>486</v>
      </c>
      <c r="L29" s="515" t="s">
        <v>486</v>
      </c>
      <c r="Q29" s="81">
        <v>5</v>
      </c>
      <c r="R29" s="45">
        <v>64</v>
      </c>
      <c r="S29" s="45" t="s">
        <v>377</v>
      </c>
      <c r="T29" s="438" t="e">
        <f>IF(S29="Cu. Yards", Q29*R29*52, Q29*R29*#REF!/#REF!)</f>
        <v>#REF!</v>
      </c>
      <c r="U29" s="439" t="str">
        <f t="shared" si="4"/>
        <v>NA</v>
      </c>
      <c r="V29" s="129" t="str">
        <f t="shared" si="5"/>
        <v>NA</v>
      </c>
      <c r="W29" s="439">
        <f>IF(V29="NA",1000000,ABS('2.Current_Trash'!$K$29-'9.CustomRates'!V29))</f>
        <v>1000000</v>
      </c>
      <c r="X29" s="520">
        <f t="shared" si="6"/>
        <v>1</v>
      </c>
      <c r="Y29" s="438">
        <f t="shared" si="0"/>
        <v>0</v>
      </c>
      <c r="Z29" s="81" t="e">
        <f t="shared" si="7"/>
        <v>#REF!</v>
      </c>
      <c r="AA29" s="445" t="e">
        <f t="shared" si="8"/>
        <v>#REF!</v>
      </c>
      <c r="AB29" s="67" t="e">
        <f t="shared" si="9"/>
        <v>#REF!</v>
      </c>
      <c r="AC29" s="447" t="str">
        <f t="shared" si="10"/>
        <v>NA</v>
      </c>
      <c r="AD29" s="67">
        <f t="shared" si="11"/>
        <v>0</v>
      </c>
      <c r="AE29" s="81" t="e">
        <f t="shared" si="1"/>
        <v>#REF!</v>
      </c>
      <c r="AF29" s="45" t="e">
        <f t="shared" si="12"/>
        <v>#REF!</v>
      </c>
      <c r="AG29" s="67" t="e">
        <f t="shared" si="13"/>
        <v>#REF!</v>
      </c>
      <c r="AI29" s="81">
        <v>5</v>
      </c>
      <c r="AJ29" s="45">
        <v>64</v>
      </c>
      <c r="AK29" s="45" t="s">
        <v>377</v>
      </c>
      <c r="AL29" s="438" t="e">
        <f>IF(AK29="CY", AI29*AJ29*52, AI29*AJ29*#REF!/#REF!)</f>
        <v>#REF!</v>
      </c>
      <c r="AM29" s="439" t="str">
        <f t="shared" si="14"/>
        <v>NA</v>
      </c>
      <c r="AN29" s="129" t="str">
        <f t="shared" si="15"/>
        <v>NA</v>
      </c>
      <c r="AO29" s="438">
        <f t="shared" si="16"/>
        <v>0</v>
      </c>
      <c r="AP29" s="81" t="e">
        <f t="shared" si="17"/>
        <v>#REF!</v>
      </c>
      <c r="AQ29" s="445" t="e">
        <f t="shared" si="18"/>
        <v>#REF!</v>
      </c>
      <c r="AR29" s="67" t="e">
        <f t="shared" si="19"/>
        <v>#REF!</v>
      </c>
      <c r="AS29" s="81" t="e">
        <f t="shared" si="2"/>
        <v>#REF!</v>
      </c>
      <c r="AT29" s="45" t="e">
        <f t="shared" si="20"/>
        <v>#REF!</v>
      </c>
      <c r="AU29" s="67" t="e">
        <f t="shared" si="21"/>
        <v>#REF!</v>
      </c>
      <c r="AW29" s="81">
        <v>5</v>
      </c>
      <c r="AX29" s="45">
        <v>64</v>
      </c>
      <c r="AY29" s="45" t="s">
        <v>377</v>
      </c>
      <c r="AZ29" s="438" t="e">
        <f>IF(AY29="Cu. Yards", AW29*AX29*52, AW29*AX29*#REF!/#REF!)</f>
        <v>#REF!</v>
      </c>
      <c r="BA29" s="439" t="str">
        <f t="shared" si="22"/>
        <v>NA</v>
      </c>
      <c r="BB29" s="129" t="str">
        <f t="shared" si="23"/>
        <v>NA</v>
      </c>
      <c r="BC29" s="438">
        <f t="shared" si="24"/>
        <v>0</v>
      </c>
      <c r="BD29" s="81" t="e">
        <f t="shared" si="25"/>
        <v>#REF!</v>
      </c>
      <c r="BE29" s="445" t="e">
        <f t="shared" si="26"/>
        <v>#REF!</v>
      </c>
      <c r="BF29" s="67" t="e">
        <f t="shared" si="27"/>
        <v>#REF!</v>
      </c>
      <c r="BG29" s="45" t="e">
        <f t="shared" si="3"/>
        <v>#REF!</v>
      </c>
      <c r="BH29" s="45" t="e">
        <f t="shared" si="28"/>
        <v>#REF!</v>
      </c>
      <c r="BI29" s="67" t="e">
        <f t="shared" si="29"/>
        <v>#REF!</v>
      </c>
      <c r="BL29" s="81"/>
      <c r="BM29" s="45"/>
      <c r="BN29" s="45"/>
      <c r="BO29" s="45"/>
      <c r="BP29" s="45"/>
      <c r="BQ29" s="45"/>
      <c r="BR29" s="45"/>
      <c r="BS29" s="45"/>
      <c r="BT29" s="67"/>
    </row>
    <row r="30" spans="3:72" x14ac:dyDescent="0.25">
      <c r="Q30" s="81">
        <v>6</v>
      </c>
      <c r="R30" s="45">
        <v>64</v>
      </c>
      <c r="S30" s="45" t="s">
        <v>377</v>
      </c>
      <c r="T30" s="438" t="e">
        <f>IF(S30="Cu. Yards", Q30*R30*52, Q30*R30*#REF!/#REF!)</f>
        <v>#REF!</v>
      </c>
      <c r="U30" s="439" t="str">
        <f t="shared" si="4"/>
        <v>NA</v>
      </c>
      <c r="V30" s="129" t="str">
        <f t="shared" si="5"/>
        <v>NA</v>
      </c>
      <c r="W30" s="439">
        <f>IF(V30="NA",1000000,ABS('2.Current_Trash'!$K$29-'9.CustomRates'!V30))</f>
        <v>1000000</v>
      </c>
      <c r="X30" s="520">
        <f t="shared" si="6"/>
        <v>1</v>
      </c>
      <c r="Y30" s="438">
        <f t="shared" si="0"/>
        <v>0</v>
      </c>
      <c r="Z30" s="81" t="e">
        <f t="shared" si="7"/>
        <v>#REF!</v>
      </c>
      <c r="AA30" s="445" t="e">
        <f t="shared" si="8"/>
        <v>#REF!</v>
      </c>
      <c r="AB30" s="67" t="e">
        <f t="shared" si="9"/>
        <v>#REF!</v>
      </c>
      <c r="AC30" s="447" t="str">
        <f t="shared" si="10"/>
        <v>NA</v>
      </c>
      <c r="AD30" s="67">
        <f t="shared" si="11"/>
        <v>0</v>
      </c>
      <c r="AE30" s="81" t="e">
        <f t="shared" si="1"/>
        <v>#REF!</v>
      </c>
      <c r="AF30" s="45" t="e">
        <f t="shared" si="12"/>
        <v>#REF!</v>
      </c>
      <c r="AG30" s="67" t="e">
        <f t="shared" si="13"/>
        <v>#REF!</v>
      </c>
      <c r="AI30" s="81">
        <v>6</v>
      </c>
      <c r="AJ30" s="45">
        <v>64</v>
      </c>
      <c r="AK30" s="45" t="s">
        <v>377</v>
      </c>
      <c r="AL30" s="438" t="e">
        <f>IF(AK30="CY", AI30*AJ30*52, AI30*AJ30*#REF!/#REF!)</f>
        <v>#REF!</v>
      </c>
      <c r="AM30" s="439" t="str">
        <f t="shared" si="14"/>
        <v>NA</v>
      </c>
      <c r="AN30" s="129" t="str">
        <f t="shared" si="15"/>
        <v>NA</v>
      </c>
      <c r="AO30" s="438">
        <f t="shared" si="16"/>
        <v>0</v>
      </c>
      <c r="AP30" s="81" t="e">
        <f t="shared" si="17"/>
        <v>#REF!</v>
      </c>
      <c r="AQ30" s="445" t="e">
        <f t="shared" si="18"/>
        <v>#REF!</v>
      </c>
      <c r="AR30" s="67" t="e">
        <f t="shared" si="19"/>
        <v>#REF!</v>
      </c>
      <c r="AS30" s="81" t="e">
        <f t="shared" si="2"/>
        <v>#REF!</v>
      </c>
      <c r="AT30" s="45" t="e">
        <f t="shared" si="20"/>
        <v>#REF!</v>
      </c>
      <c r="AU30" s="67" t="e">
        <f t="shared" si="21"/>
        <v>#REF!</v>
      </c>
      <c r="AW30" s="81">
        <v>6</v>
      </c>
      <c r="AX30" s="45">
        <v>64</v>
      </c>
      <c r="AY30" s="45" t="s">
        <v>377</v>
      </c>
      <c r="AZ30" s="438" t="e">
        <f>IF(AY30="Cu. Yards", AW30*AX30*52, AW30*AX30*#REF!/#REF!)</f>
        <v>#REF!</v>
      </c>
      <c r="BA30" s="439" t="str">
        <f t="shared" si="22"/>
        <v>NA</v>
      </c>
      <c r="BB30" s="129" t="str">
        <f t="shared" si="23"/>
        <v>NA</v>
      </c>
      <c r="BC30" s="438">
        <f t="shared" si="24"/>
        <v>0</v>
      </c>
      <c r="BD30" s="81" t="e">
        <f t="shared" si="25"/>
        <v>#REF!</v>
      </c>
      <c r="BE30" s="445" t="e">
        <f t="shared" si="26"/>
        <v>#REF!</v>
      </c>
      <c r="BF30" s="67" t="e">
        <f t="shared" si="27"/>
        <v>#REF!</v>
      </c>
      <c r="BG30" s="45" t="e">
        <f t="shared" si="3"/>
        <v>#REF!</v>
      </c>
      <c r="BH30" s="45" t="e">
        <f t="shared" si="28"/>
        <v>#REF!</v>
      </c>
      <c r="BI30" s="67" t="e">
        <f t="shared" si="29"/>
        <v>#REF!</v>
      </c>
      <c r="BL30" s="81"/>
      <c r="BM30" s="45"/>
      <c r="BN30" s="466"/>
      <c r="BO30" s="439"/>
      <c r="BP30" s="45"/>
      <c r="BQ30" s="45"/>
      <c r="BR30" s="45"/>
      <c r="BS30" s="45"/>
      <c r="BT30" s="67"/>
    </row>
    <row r="31" spans="3:72" x14ac:dyDescent="0.25">
      <c r="Q31" s="81">
        <v>7</v>
      </c>
      <c r="R31" s="45">
        <v>64</v>
      </c>
      <c r="S31" s="45" t="s">
        <v>377</v>
      </c>
      <c r="T31" s="438" t="e">
        <f>IF(S31="Cu. Yards", Q31*R31*52, Q31*R31*#REF!/#REF!)</f>
        <v>#REF!</v>
      </c>
      <c r="U31" s="439" t="str">
        <f t="shared" si="4"/>
        <v>NA</v>
      </c>
      <c r="V31" s="129" t="str">
        <f t="shared" si="5"/>
        <v>NA</v>
      </c>
      <c r="W31" s="439">
        <f>IF(V31="NA",1000000,ABS('2.Current_Trash'!$K$29-'9.CustomRates'!V31))</f>
        <v>1000000</v>
      </c>
      <c r="X31" s="520">
        <f t="shared" si="6"/>
        <v>1</v>
      </c>
      <c r="Y31" s="438">
        <f t="shared" si="0"/>
        <v>0</v>
      </c>
      <c r="Z31" s="81" t="e">
        <f t="shared" si="7"/>
        <v>#REF!</v>
      </c>
      <c r="AA31" s="445" t="e">
        <f t="shared" si="8"/>
        <v>#REF!</v>
      </c>
      <c r="AB31" s="67" t="e">
        <f t="shared" si="9"/>
        <v>#REF!</v>
      </c>
      <c r="AC31" s="447" t="str">
        <f t="shared" si="10"/>
        <v>NA</v>
      </c>
      <c r="AD31" s="67">
        <f t="shared" si="11"/>
        <v>0</v>
      </c>
      <c r="AE31" s="81" t="e">
        <f t="shared" si="1"/>
        <v>#REF!</v>
      </c>
      <c r="AF31" s="45" t="e">
        <f t="shared" si="12"/>
        <v>#REF!</v>
      </c>
      <c r="AG31" s="67" t="e">
        <f t="shared" si="13"/>
        <v>#REF!</v>
      </c>
      <c r="AI31" s="81">
        <v>7</v>
      </c>
      <c r="AJ31" s="45">
        <v>64</v>
      </c>
      <c r="AK31" s="45" t="s">
        <v>377</v>
      </c>
      <c r="AL31" s="438" t="e">
        <f>IF(AK31="CY", AI31*AJ31*52, AI31*AJ31*#REF!/#REF!)</f>
        <v>#REF!</v>
      </c>
      <c r="AM31" s="439" t="str">
        <f t="shared" si="14"/>
        <v>NA</v>
      </c>
      <c r="AN31" s="129" t="str">
        <f t="shared" si="15"/>
        <v>NA</v>
      </c>
      <c r="AO31" s="438">
        <f t="shared" si="16"/>
        <v>0</v>
      </c>
      <c r="AP31" s="81" t="e">
        <f t="shared" si="17"/>
        <v>#REF!</v>
      </c>
      <c r="AQ31" s="445" t="e">
        <f t="shared" si="18"/>
        <v>#REF!</v>
      </c>
      <c r="AR31" s="67" t="e">
        <f t="shared" si="19"/>
        <v>#REF!</v>
      </c>
      <c r="AS31" s="81" t="e">
        <f t="shared" si="2"/>
        <v>#REF!</v>
      </c>
      <c r="AT31" s="45" t="e">
        <f t="shared" si="20"/>
        <v>#REF!</v>
      </c>
      <c r="AU31" s="67" t="e">
        <f t="shared" si="21"/>
        <v>#REF!</v>
      </c>
      <c r="AW31" s="81">
        <v>7</v>
      </c>
      <c r="AX31" s="45">
        <v>64</v>
      </c>
      <c r="AY31" s="45" t="s">
        <v>377</v>
      </c>
      <c r="AZ31" s="438" t="e">
        <f>IF(AY31="Cu. Yards", AW31*AX31*52, AW31*AX31*#REF!/#REF!)</f>
        <v>#REF!</v>
      </c>
      <c r="BA31" s="439" t="str">
        <f t="shared" si="22"/>
        <v>NA</v>
      </c>
      <c r="BB31" s="129" t="str">
        <f t="shared" si="23"/>
        <v>NA</v>
      </c>
      <c r="BC31" s="438">
        <f t="shared" si="24"/>
        <v>0</v>
      </c>
      <c r="BD31" s="81" t="e">
        <f t="shared" si="25"/>
        <v>#REF!</v>
      </c>
      <c r="BE31" s="445" t="e">
        <f t="shared" si="26"/>
        <v>#REF!</v>
      </c>
      <c r="BF31" s="67" t="e">
        <f t="shared" si="27"/>
        <v>#REF!</v>
      </c>
      <c r="BG31" s="45" t="e">
        <f t="shared" si="3"/>
        <v>#REF!</v>
      </c>
      <c r="BH31" s="45" t="e">
        <f t="shared" si="28"/>
        <v>#REF!</v>
      </c>
      <c r="BI31" s="67" t="e">
        <f t="shared" si="29"/>
        <v>#REF!</v>
      </c>
      <c r="BL31" s="81"/>
      <c r="BM31" s="45"/>
      <c r="BN31" s="45"/>
      <c r="BO31" s="45"/>
      <c r="BP31" s="45"/>
      <c r="BQ31" s="45"/>
      <c r="BR31" s="45"/>
      <c r="BS31" s="45"/>
      <c r="BT31" s="67"/>
    </row>
    <row r="32" spans="3:72" ht="18.75" customHeight="1" x14ac:dyDescent="0.25">
      <c r="C32" s="12" t="s">
        <v>433</v>
      </c>
      <c r="D32" s="12"/>
      <c r="E32" s="12"/>
      <c r="F32" s="12"/>
      <c r="G32" s="12"/>
      <c r="H32" s="12"/>
      <c r="I32" s="12"/>
      <c r="J32" s="12"/>
      <c r="K32" s="12"/>
      <c r="L32" s="12"/>
      <c r="M32" s="12"/>
      <c r="N32" s="12"/>
      <c r="Q32" s="81">
        <v>1</v>
      </c>
      <c r="R32" s="45">
        <v>96</v>
      </c>
      <c r="S32" s="45" t="s">
        <v>377</v>
      </c>
      <c r="T32" s="438" t="e">
        <f>IF(S32="Cu. Yards", Q32*R32*52, Q32*R32*#REF!/#REF!)</f>
        <v>#REF!</v>
      </c>
      <c r="U32" s="439" t="str">
        <f t="shared" si="4"/>
        <v>NA</v>
      </c>
      <c r="V32" s="129" t="str">
        <f t="shared" si="5"/>
        <v>NA</v>
      </c>
      <c r="W32" s="439">
        <f>IF(V32="NA",1000000,ABS('2.Current_Trash'!$K$29-'9.CustomRates'!V32))</f>
        <v>1000000</v>
      </c>
      <c r="X32" s="520">
        <f t="shared" si="6"/>
        <v>1</v>
      </c>
      <c r="Y32" s="438">
        <f t="shared" si="0"/>
        <v>0</v>
      </c>
      <c r="Z32" s="81" t="e">
        <f t="shared" si="7"/>
        <v>#REF!</v>
      </c>
      <c r="AA32" s="445" t="e">
        <f t="shared" si="8"/>
        <v>#REF!</v>
      </c>
      <c r="AB32" s="67" t="e">
        <f t="shared" si="9"/>
        <v>#REF!</v>
      </c>
      <c r="AC32" s="447" t="str">
        <f t="shared" si="10"/>
        <v>NA</v>
      </c>
      <c r="AD32" s="67">
        <f t="shared" si="11"/>
        <v>0</v>
      </c>
      <c r="AE32" s="81" t="e">
        <f t="shared" si="1"/>
        <v>#REF!</v>
      </c>
      <c r="AF32" s="45" t="e">
        <f t="shared" si="12"/>
        <v>#REF!</v>
      </c>
      <c r="AG32" s="67" t="e">
        <f t="shared" si="13"/>
        <v>#REF!</v>
      </c>
      <c r="AI32" s="81">
        <v>1</v>
      </c>
      <c r="AJ32" s="45">
        <v>96</v>
      </c>
      <c r="AK32" s="45" t="s">
        <v>377</v>
      </c>
      <c r="AL32" s="438" t="e">
        <f>IF(AK32="CY", AI32*AJ32*52, AI32*AJ32*#REF!/#REF!)</f>
        <v>#REF!</v>
      </c>
      <c r="AM32" s="439" t="str">
        <f t="shared" si="14"/>
        <v>NA</v>
      </c>
      <c r="AN32" s="129" t="str">
        <f t="shared" si="15"/>
        <v>NA</v>
      </c>
      <c r="AO32" s="438">
        <f t="shared" si="16"/>
        <v>0</v>
      </c>
      <c r="AP32" s="81" t="e">
        <f t="shared" si="17"/>
        <v>#REF!</v>
      </c>
      <c r="AQ32" s="445" t="e">
        <f t="shared" si="18"/>
        <v>#REF!</v>
      </c>
      <c r="AR32" s="67" t="e">
        <f t="shared" si="19"/>
        <v>#REF!</v>
      </c>
      <c r="AS32" s="81" t="e">
        <f t="shared" si="2"/>
        <v>#REF!</v>
      </c>
      <c r="AT32" s="45" t="e">
        <f t="shared" si="20"/>
        <v>#REF!</v>
      </c>
      <c r="AU32" s="67" t="e">
        <f t="shared" si="21"/>
        <v>#REF!</v>
      </c>
      <c r="AW32" s="81">
        <v>1</v>
      </c>
      <c r="AX32" s="45">
        <v>96</v>
      </c>
      <c r="AY32" s="45" t="s">
        <v>377</v>
      </c>
      <c r="AZ32" s="438" t="e">
        <f>IF(AY32="Cu. Yards", AW32*AX32*52, AW32*AX32*#REF!/#REF!)</f>
        <v>#REF!</v>
      </c>
      <c r="BA32" s="439" t="str">
        <f t="shared" si="22"/>
        <v>NA</v>
      </c>
      <c r="BB32" s="129" t="str">
        <f t="shared" si="23"/>
        <v>NA</v>
      </c>
      <c r="BC32" s="438">
        <f t="shared" si="24"/>
        <v>0</v>
      </c>
      <c r="BD32" s="81" t="e">
        <f t="shared" si="25"/>
        <v>#REF!</v>
      </c>
      <c r="BE32" s="445" t="e">
        <f t="shared" si="26"/>
        <v>#REF!</v>
      </c>
      <c r="BF32" s="67" t="e">
        <f t="shared" si="27"/>
        <v>#REF!</v>
      </c>
      <c r="BG32" s="45" t="e">
        <f t="shared" si="3"/>
        <v>#REF!</v>
      </c>
      <c r="BH32" s="45" t="e">
        <f t="shared" si="28"/>
        <v>#REF!</v>
      </c>
      <c r="BI32" s="67" t="e">
        <f t="shared" si="29"/>
        <v>#REF!</v>
      </c>
      <c r="BL32" s="467" t="s">
        <v>399</v>
      </c>
      <c r="BM32" s="45"/>
      <c r="BN32" s="45"/>
      <c r="BO32" s="45"/>
      <c r="BP32" s="45"/>
      <c r="BQ32" s="45"/>
      <c r="BR32" s="45"/>
      <c r="BS32" s="45"/>
      <c r="BT32" s="67"/>
    </row>
    <row r="33" spans="4:72" ht="9.75" customHeight="1" x14ac:dyDescent="0.25">
      <c r="Q33" s="81">
        <v>2</v>
      </c>
      <c r="R33" s="45">
        <v>96</v>
      </c>
      <c r="S33" s="45" t="s">
        <v>377</v>
      </c>
      <c r="T33" s="438" t="e">
        <f>IF(S33="Cu. Yards", Q33*R33*52, Q33*R33*#REF!/#REF!)</f>
        <v>#REF!</v>
      </c>
      <c r="U33" s="439" t="str">
        <f t="shared" si="4"/>
        <v>NA</v>
      </c>
      <c r="V33" s="129" t="str">
        <f t="shared" si="5"/>
        <v>NA</v>
      </c>
      <c r="W33" s="439">
        <f>IF(V33="NA",1000000,ABS('2.Current_Trash'!$K$29-'9.CustomRates'!V33))</f>
        <v>1000000</v>
      </c>
      <c r="X33" s="520">
        <f t="shared" si="6"/>
        <v>1</v>
      </c>
      <c r="Y33" s="438">
        <f t="shared" si="0"/>
        <v>0</v>
      </c>
      <c r="Z33" s="81" t="e">
        <f t="shared" si="7"/>
        <v>#REF!</v>
      </c>
      <c r="AA33" s="445" t="e">
        <f t="shared" si="8"/>
        <v>#REF!</v>
      </c>
      <c r="AB33" s="67" t="e">
        <f t="shared" si="9"/>
        <v>#REF!</v>
      </c>
      <c r="AC33" s="447" t="str">
        <f t="shared" si="10"/>
        <v>NA</v>
      </c>
      <c r="AD33" s="67">
        <f t="shared" si="11"/>
        <v>0</v>
      </c>
      <c r="AE33" s="81" t="e">
        <f t="shared" si="1"/>
        <v>#REF!</v>
      </c>
      <c r="AF33" s="45" t="e">
        <f t="shared" si="12"/>
        <v>#REF!</v>
      </c>
      <c r="AG33" s="67" t="e">
        <f t="shared" si="13"/>
        <v>#REF!</v>
      </c>
      <c r="AI33" s="81">
        <v>2</v>
      </c>
      <c r="AJ33" s="45">
        <v>96</v>
      </c>
      <c r="AK33" s="45" t="s">
        <v>377</v>
      </c>
      <c r="AL33" s="438" t="e">
        <f>IF(AK33="CY", AI33*AJ33*52, AI33*AJ33*#REF!/#REF!)</f>
        <v>#REF!</v>
      </c>
      <c r="AM33" s="439" t="str">
        <f t="shared" si="14"/>
        <v>NA</v>
      </c>
      <c r="AN33" s="129" t="str">
        <f t="shared" si="15"/>
        <v>NA</v>
      </c>
      <c r="AO33" s="438">
        <f t="shared" si="16"/>
        <v>0</v>
      </c>
      <c r="AP33" s="81" t="e">
        <f t="shared" si="17"/>
        <v>#REF!</v>
      </c>
      <c r="AQ33" s="445" t="e">
        <f t="shared" si="18"/>
        <v>#REF!</v>
      </c>
      <c r="AR33" s="67" t="e">
        <f t="shared" si="19"/>
        <v>#REF!</v>
      </c>
      <c r="AS33" s="81" t="e">
        <f t="shared" si="2"/>
        <v>#REF!</v>
      </c>
      <c r="AT33" s="45" t="e">
        <f t="shared" si="20"/>
        <v>#REF!</v>
      </c>
      <c r="AU33" s="67" t="e">
        <f t="shared" si="21"/>
        <v>#REF!</v>
      </c>
      <c r="AW33" s="81">
        <v>2</v>
      </c>
      <c r="AX33" s="45">
        <v>96</v>
      </c>
      <c r="AY33" s="45" t="s">
        <v>377</v>
      </c>
      <c r="AZ33" s="438" t="e">
        <f>IF(AY33="Cu. Yards", AW33*AX33*52, AW33*AX33*#REF!/#REF!)</f>
        <v>#REF!</v>
      </c>
      <c r="BA33" s="439" t="str">
        <f t="shared" si="22"/>
        <v>NA</v>
      </c>
      <c r="BB33" s="129" t="str">
        <f t="shared" si="23"/>
        <v>NA</v>
      </c>
      <c r="BC33" s="438">
        <f t="shared" si="24"/>
        <v>0</v>
      </c>
      <c r="BD33" s="81" t="e">
        <f t="shared" si="25"/>
        <v>#REF!</v>
      </c>
      <c r="BE33" s="445" t="e">
        <f t="shared" si="26"/>
        <v>#REF!</v>
      </c>
      <c r="BF33" s="67" t="e">
        <f t="shared" si="27"/>
        <v>#REF!</v>
      </c>
      <c r="BG33" s="45" t="e">
        <f t="shared" si="3"/>
        <v>#REF!</v>
      </c>
      <c r="BH33" s="45" t="e">
        <f t="shared" si="28"/>
        <v>#REF!</v>
      </c>
      <c r="BI33" s="67" t="e">
        <f t="shared" si="29"/>
        <v>#REF!</v>
      </c>
      <c r="BL33" s="81"/>
      <c r="BM33" s="45" t="s">
        <v>400</v>
      </c>
      <c r="BN33" s="45" t="s">
        <v>437</v>
      </c>
      <c r="BO33" s="45" t="s">
        <v>401</v>
      </c>
      <c r="BP33" s="45" t="s">
        <v>402</v>
      </c>
      <c r="BR33" s="45" t="s">
        <v>191</v>
      </c>
      <c r="BS33" s="45"/>
      <c r="BT33" s="67"/>
    </row>
    <row r="34" spans="4:72" ht="18.75" customHeight="1" x14ac:dyDescent="0.25">
      <c r="D34" s="165" t="s">
        <v>417</v>
      </c>
      <c r="Q34" s="81">
        <v>3</v>
      </c>
      <c r="R34" s="45">
        <v>96</v>
      </c>
      <c r="S34" s="45" t="s">
        <v>377</v>
      </c>
      <c r="T34" s="438" t="e">
        <f>IF(S34="Cu. Yards", Q34*R34*52, Q34*R34*#REF!/#REF!)</f>
        <v>#REF!</v>
      </c>
      <c r="U34" s="439" t="str">
        <f t="shared" si="4"/>
        <v>NA</v>
      </c>
      <c r="V34" s="129" t="str">
        <f t="shared" si="5"/>
        <v>NA</v>
      </c>
      <c r="W34" s="439">
        <f>IF(V34="NA",1000000,ABS('2.Current_Trash'!$K$29-'9.CustomRates'!V34))</f>
        <v>1000000</v>
      </c>
      <c r="X34" s="520">
        <f t="shared" si="6"/>
        <v>1</v>
      </c>
      <c r="Y34" s="438">
        <f t="shared" si="0"/>
        <v>0</v>
      </c>
      <c r="Z34" s="81" t="e">
        <f t="shared" si="7"/>
        <v>#REF!</v>
      </c>
      <c r="AA34" s="445" t="e">
        <f t="shared" si="8"/>
        <v>#REF!</v>
      </c>
      <c r="AB34" s="67" t="e">
        <f t="shared" si="9"/>
        <v>#REF!</v>
      </c>
      <c r="AC34" s="447" t="str">
        <f t="shared" si="10"/>
        <v>NA</v>
      </c>
      <c r="AD34" s="67">
        <f t="shared" si="11"/>
        <v>0</v>
      </c>
      <c r="AE34" s="81" t="e">
        <f t="shared" si="1"/>
        <v>#REF!</v>
      </c>
      <c r="AF34" s="45" t="e">
        <f t="shared" si="12"/>
        <v>#REF!</v>
      </c>
      <c r="AG34" s="67" t="e">
        <f t="shared" si="13"/>
        <v>#REF!</v>
      </c>
      <c r="AI34" s="81">
        <v>3</v>
      </c>
      <c r="AJ34" s="45">
        <v>96</v>
      </c>
      <c r="AK34" s="45" t="s">
        <v>377</v>
      </c>
      <c r="AL34" s="438" t="e">
        <f>IF(AK34="CY", AI34*AJ34*52, AI34*AJ34*#REF!/#REF!)</f>
        <v>#REF!</v>
      </c>
      <c r="AM34" s="439" t="str">
        <f t="shared" si="14"/>
        <v>NA</v>
      </c>
      <c r="AN34" s="129" t="str">
        <f t="shared" si="15"/>
        <v>NA</v>
      </c>
      <c r="AO34" s="438">
        <f t="shared" si="16"/>
        <v>0</v>
      </c>
      <c r="AP34" s="81" t="e">
        <f t="shared" si="17"/>
        <v>#REF!</v>
      </c>
      <c r="AQ34" s="445" t="e">
        <f t="shared" si="18"/>
        <v>#REF!</v>
      </c>
      <c r="AR34" s="67" t="e">
        <f t="shared" si="19"/>
        <v>#REF!</v>
      </c>
      <c r="AS34" s="81" t="e">
        <f t="shared" si="2"/>
        <v>#REF!</v>
      </c>
      <c r="AT34" s="45" t="e">
        <f t="shared" si="20"/>
        <v>#REF!</v>
      </c>
      <c r="AU34" s="67" t="e">
        <f t="shared" si="21"/>
        <v>#REF!</v>
      </c>
      <c r="AW34" s="81">
        <v>3</v>
      </c>
      <c r="AX34" s="45">
        <v>96</v>
      </c>
      <c r="AY34" s="45" t="s">
        <v>377</v>
      </c>
      <c r="AZ34" s="438" t="e">
        <f>IF(AY34="Cu. Yards", AW34*AX34*52, AW34*AX34*#REF!/#REF!)</f>
        <v>#REF!</v>
      </c>
      <c r="BA34" s="439" t="str">
        <f t="shared" si="22"/>
        <v>NA</v>
      </c>
      <c r="BB34" s="129" t="str">
        <f t="shared" si="23"/>
        <v>NA</v>
      </c>
      <c r="BC34" s="438">
        <f t="shared" si="24"/>
        <v>0</v>
      </c>
      <c r="BD34" s="81" t="e">
        <f t="shared" si="25"/>
        <v>#REF!</v>
      </c>
      <c r="BE34" s="445" t="e">
        <f t="shared" si="26"/>
        <v>#REF!</v>
      </c>
      <c r="BF34" s="67" t="e">
        <f t="shared" si="27"/>
        <v>#REF!</v>
      </c>
      <c r="BG34" s="45" t="e">
        <f t="shared" si="3"/>
        <v>#REF!</v>
      </c>
      <c r="BH34" s="45" t="e">
        <f t="shared" si="28"/>
        <v>#REF!</v>
      </c>
      <c r="BI34" s="67" t="e">
        <f t="shared" si="29"/>
        <v>#REF!</v>
      </c>
      <c r="BL34" s="81" t="s">
        <v>332</v>
      </c>
      <c r="BM34" s="45">
        <f>IF(ISERROR(#REF!),0,#REF!*2000/#REF!)</f>
        <v>0</v>
      </c>
      <c r="BN34" s="439" t="e">
        <f>'4.Future_Benefits '!BH56-'4.Future_Benefits '!BJ56</f>
        <v>#VALUE!</v>
      </c>
      <c r="BO34" s="439" t="e">
        <f>IF((BM34+BN34)&lt;BM38,(BM34+BN34),IF((BM34+BN34)/2&lt;BM38,(BM34+BN34)/2,IF((BM34+BN34)/3&lt;BM38,(BM34+BN34)/3,IF((BM34+BN34)/4&lt;BM38,(BM34+BN34)/4,IF((BM34+BN34)/5&lt;BM38,(BM34+BN34)/5,IF((BM34+BN34)/6&lt;BM38,(BM34+BN34)/6,IF((BM34+BN34)/7&lt;BM38,(BM34+BN34)/7,IF((BM34+BN34)/8&lt;BM38,(BM34+BN34)/8,0))))))))</f>
        <v>#VALUE!</v>
      </c>
      <c r="BP34" s="45" t="e">
        <f>IF(BO34=0,0,INDEX($AN$18:$AU$101,MATCH(1,$AU$18:$AU$101,0),1))*BO38</f>
        <v>#VALUE!</v>
      </c>
      <c r="BQ34" s="468"/>
      <c r="BR34" s="470">
        <f>IF('4.Future_Benefits '!AV56&gt;0, '3.Current_Recycling'!X42-'9.CustomRates'!BP34-'9.CustomRates'!BP35, 0)</f>
        <v>0</v>
      </c>
      <c r="BS34" s="45"/>
      <c r="BT34" s="67"/>
    </row>
    <row r="35" spans="4:72" ht="9.75" customHeight="1" x14ac:dyDescent="0.25">
      <c r="Q35" s="81">
        <v>4</v>
      </c>
      <c r="R35" s="45">
        <v>96</v>
      </c>
      <c r="S35" s="45" t="s">
        <v>377</v>
      </c>
      <c r="T35" s="438" t="e">
        <f>IF(S35="Cu. Yards", Q35*R35*52, Q35*R35*#REF!/#REF!)</f>
        <v>#REF!</v>
      </c>
      <c r="U35" s="439" t="str">
        <f t="shared" si="4"/>
        <v>NA</v>
      </c>
      <c r="V35" s="129" t="str">
        <f t="shared" si="5"/>
        <v>NA</v>
      </c>
      <c r="W35" s="439">
        <f>IF(V35="NA",1000000,ABS('2.Current_Trash'!$K$29-'9.CustomRates'!V35))</f>
        <v>1000000</v>
      </c>
      <c r="X35" s="520">
        <f t="shared" si="6"/>
        <v>1</v>
      </c>
      <c r="Y35" s="438">
        <f t="shared" si="0"/>
        <v>0</v>
      </c>
      <c r="Z35" s="81" t="e">
        <f t="shared" si="7"/>
        <v>#REF!</v>
      </c>
      <c r="AA35" s="445" t="e">
        <f t="shared" si="8"/>
        <v>#REF!</v>
      </c>
      <c r="AB35" s="67" t="e">
        <f t="shared" si="9"/>
        <v>#REF!</v>
      </c>
      <c r="AC35" s="447" t="str">
        <f t="shared" si="10"/>
        <v>NA</v>
      </c>
      <c r="AD35" s="67">
        <f t="shared" si="11"/>
        <v>0</v>
      </c>
      <c r="AE35" s="81" t="e">
        <f t="shared" si="1"/>
        <v>#REF!</v>
      </c>
      <c r="AF35" s="45" t="e">
        <f t="shared" si="12"/>
        <v>#REF!</v>
      </c>
      <c r="AG35" s="67" t="e">
        <f t="shared" si="13"/>
        <v>#REF!</v>
      </c>
      <c r="AI35" s="81">
        <v>4</v>
      </c>
      <c r="AJ35" s="45">
        <v>96</v>
      </c>
      <c r="AK35" s="45" t="s">
        <v>377</v>
      </c>
      <c r="AL35" s="438" t="e">
        <f>IF(AK35="CY", AI35*AJ35*52, AI35*AJ35*#REF!/#REF!)</f>
        <v>#REF!</v>
      </c>
      <c r="AM35" s="439" t="str">
        <f t="shared" si="14"/>
        <v>NA</v>
      </c>
      <c r="AN35" s="129" t="str">
        <f t="shared" si="15"/>
        <v>NA</v>
      </c>
      <c r="AO35" s="438">
        <f t="shared" si="16"/>
        <v>0</v>
      </c>
      <c r="AP35" s="81" t="e">
        <f t="shared" si="17"/>
        <v>#REF!</v>
      </c>
      <c r="AQ35" s="445" t="e">
        <f t="shared" si="18"/>
        <v>#REF!</v>
      </c>
      <c r="AR35" s="67" t="e">
        <f t="shared" si="19"/>
        <v>#REF!</v>
      </c>
      <c r="AS35" s="81" t="e">
        <f t="shared" si="2"/>
        <v>#REF!</v>
      </c>
      <c r="AT35" s="45" t="e">
        <f t="shared" si="20"/>
        <v>#REF!</v>
      </c>
      <c r="AU35" s="67" t="e">
        <f t="shared" si="21"/>
        <v>#REF!</v>
      </c>
      <c r="AW35" s="81">
        <v>4</v>
      </c>
      <c r="AX35" s="45">
        <v>96</v>
      </c>
      <c r="AY35" s="45" t="s">
        <v>377</v>
      </c>
      <c r="AZ35" s="438" t="e">
        <f>IF(AY35="Cu. Yards", AW35*AX35*52, AW35*AX35*#REF!/#REF!)</f>
        <v>#REF!</v>
      </c>
      <c r="BA35" s="439" t="str">
        <f t="shared" si="22"/>
        <v>NA</v>
      </c>
      <c r="BB35" s="129" t="str">
        <f t="shared" si="23"/>
        <v>NA</v>
      </c>
      <c r="BC35" s="438">
        <f t="shared" si="24"/>
        <v>0</v>
      </c>
      <c r="BD35" s="81" t="e">
        <f t="shared" si="25"/>
        <v>#REF!</v>
      </c>
      <c r="BE35" s="445" t="e">
        <f t="shared" si="26"/>
        <v>#REF!</v>
      </c>
      <c r="BF35" s="67" t="e">
        <f t="shared" si="27"/>
        <v>#REF!</v>
      </c>
      <c r="BG35" s="45" t="e">
        <f t="shared" si="3"/>
        <v>#REF!</v>
      </c>
      <c r="BH35" s="45" t="e">
        <f t="shared" si="28"/>
        <v>#REF!</v>
      </c>
      <c r="BI35" s="67" t="e">
        <f t="shared" si="29"/>
        <v>#REF!</v>
      </c>
      <c r="BL35" s="102" t="s">
        <v>425</v>
      </c>
      <c r="BM35" s="69" t="e">
        <f>#REF!*2000/#REF!</f>
        <v>#REF!</v>
      </c>
      <c r="BN35" s="441" t="e">
        <f>'4.Future_Benefits '!BI56-'4.Future_Benefits '!BK56</f>
        <v>#VALUE!</v>
      </c>
      <c r="BO35" s="441" t="e">
        <f>BM35+BN35</f>
        <v>#REF!</v>
      </c>
      <c r="BP35" s="69" t="e">
        <f>IF(OR(BO35=0, V14=FALSE),0,INDEX($BB$18:$BI$101,MATCH(1,$BI$18:$BI$101,0),1))*BO39</f>
        <v>#REF!</v>
      </c>
      <c r="BQ35" s="69"/>
      <c r="BR35" s="69"/>
      <c r="BS35" s="69"/>
      <c r="BT35" s="70"/>
    </row>
    <row r="36" spans="4:72" ht="16.5" customHeight="1" x14ac:dyDescent="0.25">
      <c r="F36" s="1130" t="s">
        <v>379</v>
      </c>
      <c r="G36" s="1130"/>
      <c r="H36" s="1130"/>
      <c r="I36" s="1130"/>
      <c r="J36" s="1130"/>
      <c r="K36" s="1130"/>
      <c r="L36" s="1130"/>
      <c r="Q36" s="81">
        <v>5</v>
      </c>
      <c r="R36" s="45">
        <v>96</v>
      </c>
      <c r="S36" s="45" t="s">
        <v>377</v>
      </c>
      <c r="T36" s="438" t="e">
        <f>IF(S36="Cu. Yards", Q36*R36*52, Q36*R36*#REF!/#REF!)</f>
        <v>#REF!</v>
      </c>
      <c r="U36" s="439" t="str">
        <f t="shared" si="4"/>
        <v>NA</v>
      </c>
      <c r="V36" s="129" t="str">
        <f t="shared" si="5"/>
        <v>NA</v>
      </c>
      <c r="W36" s="439">
        <f>IF(V36="NA",1000000,ABS('2.Current_Trash'!$K$29-'9.CustomRates'!V36))</f>
        <v>1000000</v>
      </c>
      <c r="X36" s="520">
        <f t="shared" si="6"/>
        <v>1</v>
      </c>
      <c r="Y36" s="438">
        <f t="shared" si="0"/>
        <v>0</v>
      </c>
      <c r="Z36" s="81" t="e">
        <f t="shared" si="7"/>
        <v>#REF!</v>
      </c>
      <c r="AA36" s="445" t="e">
        <f t="shared" si="8"/>
        <v>#REF!</v>
      </c>
      <c r="AB36" s="67" t="e">
        <f t="shared" si="9"/>
        <v>#REF!</v>
      </c>
      <c r="AC36" s="447" t="str">
        <f t="shared" si="10"/>
        <v>NA</v>
      </c>
      <c r="AD36" s="67">
        <f t="shared" si="11"/>
        <v>0</v>
      </c>
      <c r="AE36" s="81" t="e">
        <f t="shared" si="1"/>
        <v>#REF!</v>
      </c>
      <c r="AF36" s="45" t="e">
        <f t="shared" si="12"/>
        <v>#REF!</v>
      </c>
      <c r="AG36" s="67" t="e">
        <f t="shared" si="13"/>
        <v>#REF!</v>
      </c>
      <c r="AI36" s="81">
        <v>5</v>
      </c>
      <c r="AJ36" s="45">
        <v>96</v>
      </c>
      <c r="AK36" s="45" t="s">
        <v>377</v>
      </c>
      <c r="AL36" s="438" t="e">
        <f>IF(AK36="CY", AI36*AJ36*52, AI36*AJ36*#REF!/#REF!)</f>
        <v>#REF!</v>
      </c>
      <c r="AM36" s="439" t="str">
        <f t="shared" si="14"/>
        <v>NA</v>
      </c>
      <c r="AN36" s="129" t="str">
        <f t="shared" si="15"/>
        <v>NA</v>
      </c>
      <c r="AO36" s="438">
        <f t="shared" si="16"/>
        <v>0</v>
      </c>
      <c r="AP36" s="81" t="e">
        <f t="shared" si="17"/>
        <v>#REF!</v>
      </c>
      <c r="AQ36" s="445" t="e">
        <f t="shared" si="18"/>
        <v>#REF!</v>
      </c>
      <c r="AR36" s="67" t="e">
        <f t="shared" si="19"/>
        <v>#REF!</v>
      </c>
      <c r="AS36" s="81" t="e">
        <f t="shared" si="2"/>
        <v>#REF!</v>
      </c>
      <c r="AT36" s="45" t="e">
        <f t="shared" si="20"/>
        <v>#REF!</v>
      </c>
      <c r="AU36" s="67" t="e">
        <f t="shared" si="21"/>
        <v>#REF!</v>
      </c>
      <c r="AW36" s="81">
        <v>5</v>
      </c>
      <c r="AX36" s="45">
        <v>96</v>
      </c>
      <c r="AY36" s="45" t="s">
        <v>377</v>
      </c>
      <c r="AZ36" s="438" t="e">
        <f>IF(AY36="Cu. Yards", AW36*AX36*52, AW36*AX36*#REF!/#REF!)</f>
        <v>#REF!</v>
      </c>
      <c r="BA36" s="439" t="str">
        <f t="shared" si="22"/>
        <v>NA</v>
      </c>
      <c r="BB36" s="129" t="str">
        <f t="shared" si="23"/>
        <v>NA</v>
      </c>
      <c r="BC36" s="438">
        <f t="shared" si="24"/>
        <v>0</v>
      </c>
      <c r="BD36" s="81" t="e">
        <f t="shared" si="25"/>
        <v>#REF!</v>
      </c>
      <c r="BE36" s="445" t="e">
        <f t="shared" si="26"/>
        <v>#REF!</v>
      </c>
      <c r="BF36" s="67" t="e">
        <f t="shared" si="27"/>
        <v>#REF!</v>
      </c>
      <c r="BG36" s="45" t="e">
        <f t="shared" si="3"/>
        <v>#REF!</v>
      </c>
      <c r="BH36" s="45" t="e">
        <f t="shared" si="28"/>
        <v>#REF!</v>
      </c>
      <c r="BI36" s="67" t="e">
        <f t="shared" si="29"/>
        <v>#REF!</v>
      </c>
      <c r="BL36" s="478" t="s">
        <v>466</v>
      </c>
      <c r="BM36" s="478"/>
    </row>
    <row r="37" spans="4:72" ht="16.5" customHeight="1" x14ac:dyDescent="0.25">
      <c r="D37" s="1128" t="s">
        <v>371</v>
      </c>
      <c r="E37" s="1129"/>
      <c r="F37" s="434">
        <v>1</v>
      </c>
      <c r="G37" s="434">
        <v>2</v>
      </c>
      <c r="H37" s="434">
        <v>3</v>
      </c>
      <c r="I37" s="434">
        <v>4</v>
      </c>
      <c r="J37" s="434">
        <v>5</v>
      </c>
      <c r="K37" s="434">
        <v>6</v>
      </c>
      <c r="L37" s="434">
        <v>7</v>
      </c>
      <c r="Q37" s="81">
        <v>6</v>
      </c>
      <c r="R37" s="45">
        <v>96</v>
      </c>
      <c r="S37" s="45" t="s">
        <v>377</v>
      </c>
      <c r="T37" s="438" t="e">
        <f>IF(S37="Cu. Yards", Q37*R37*52, Q37*R37*#REF!/#REF!)</f>
        <v>#REF!</v>
      </c>
      <c r="U37" s="439" t="str">
        <f t="shared" si="4"/>
        <v>NA</v>
      </c>
      <c r="V37" s="129" t="str">
        <f t="shared" si="5"/>
        <v>NA</v>
      </c>
      <c r="W37" s="439">
        <f>IF(V37="NA",1000000,ABS('2.Current_Trash'!$K$29-'9.CustomRates'!V37))</f>
        <v>1000000</v>
      </c>
      <c r="X37" s="520">
        <f t="shared" si="6"/>
        <v>1</v>
      </c>
      <c r="Y37" s="438">
        <f t="shared" si="0"/>
        <v>0</v>
      </c>
      <c r="Z37" s="81" t="e">
        <f t="shared" si="7"/>
        <v>#REF!</v>
      </c>
      <c r="AA37" s="445" t="e">
        <f t="shared" si="8"/>
        <v>#REF!</v>
      </c>
      <c r="AB37" s="67" t="e">
        <f t="shared" si="9"/>
        <v>#REF!</v>
      </c>
      <c r="AC37" s="447" t="str">
        <f t="shared" si="10"/>
        <v>NA</v>
      </c>
      <c r="AD37" s="67">
        <f t="shared" si="11"/>
        <v>0</v>
      </c>
      <c r="AE37" s="81" t="e">
        <f t="shared" si="1"/>
        <v>#REF!</v>
      </c>
      <c r="AF37" s="45" t="e">
        <f t="shared" si="12"/>
        <v>#REF!</v>
      </c>
      <c r="AG37" s="67" t="e">
        <f t="shared" si="13"/>
        <v>#REF!</v>
      </c>
      <c r="AI37" s="81">
        <v>6</v>
      </c>
      <c r="AJ37" s="45">
        <v>96</v>
      </c>
      <c r="AK37" s="45" t="s">
        <v>377</v>
      </c>
      <c r="AL37" s="438" t="e">
        <f>IF(AK37="CY", AI37*AJ37*52, AI37*AJ37*#REF!/#REF!)</f>
        <v>#REF!</v>
      </c>
      <c r="AM37" s="439" t="str">
        <f t="shared" si="14"/>
        <v>NA</v>
      </c>
      <c r="AN37" s="129" t="str">
        <f t="shared" si="15"/>
        <v>NA</v>
      </c>
      <c r="AO37" s="438">
        <f t="shared" si="16"/>
        <v>0</v>
      </c>
      <c r="AP37" s="81" t="e">
        <f t="shared" si="17"/>
        <v>#REF!</v>
      </c>
      <c r="AQ37" s="445" t="e">
        <f t="shared" si="18"/>
        <v>#REF!</v>
      </c>
      <c r="AR37" s="67" t="e">
        <f t="shared" si="19"/>
        <v>#REF!</v>
      </c>
      <c r="AS37" s="81" t="e">
        <f t="shared" si="2"/>
        <v>#REF!</v>
      </c>
      <c r="AT37" s="45" t="e">
        <f t="shared" si="20"/>
        <v>#REF!</v>
      </c>
      <c r="AU37" s="67" t="e">
        <f t="shared" si="21"/>
        <v>#REF!</v>
      </c>
      <c r="AW37" s="81">
        <v>6</v>
      </c>
      <c r="AX37" s="45">
        <v>96</v>
      </c>
      <c r="AY37" s="45" t="s">
        <v>377</v>
      </c>
      <c r="AZ37" s="438" t="e">
        <f>IF(AY37="Cu. Yards", AW37*AX37*52, AW37*AX37*#REF!/#REF!)</f>
        <v>#REF!</v>
      </c>
      <c r="BA37" s="439" t="str">
        <f t="shared" si="22"/>
        <v>NA</v>
      </c>
      <c r="BB37" s="129" t="str">
        <f t="shared" si="23"/>
        <v>NA</v>
      </c>
      <c r="BC37" s="438">
        <f t="shared" si="24"/>
        <v>0</v>
      </c>
      <c r="BD37" s="81" t="e">
        <f t="shared" si="25"/>
        <v>#REF!</v>
      </c>
      <c r="BE37" s="445" t="e">
        <f t="shared" si="26"/>
        <v>#REF!</v>
      </c>
      <c r="BF37" s="67" t="e">
        <f t="shared" si="27"/>
        <v>#REF!</v>
      </c>
      <c r="BG37" s="45" t="e">
        <f t="shared" si="3"/>
        <v>#REF!</v>
      </c>
      <c r="BH37" s="45" t="e">
        <f t="shared" si="28"/>
        <v>#REF!</v>
      </c>
      <c r="BI37" s="67" t="e">
        <f t="shared" si="29"/>
        <v>#REF!</v>
      </c>
      <c r="BL37" s="478"/>
      <c r="BM37" s="478" t="s">
        <v>378</v>
      </c>
      <c r="BN37" s="220" t="s">
        <v>469</v>
      </c>
      <c r="BO37" s="220" t="s">
        <v>470</v>
      </c>
    </row>
    <row r="38" spans="4:72" ht="16.5" customHeight="1" x14ac:dyDescent="0.25">
      <c r="D38" s="436">
        <v>32</v>
      </c>
      <c r="E38" s="435" t="s">
        <v>377</v>
      </c>
      <c r="F38" s="471" t="s">
        <v>486</v>
      </c>
      <c r="G38" s="471" t="s">
        <v>486</v>
      </c>
      <c r="H38" s="471" t="s">
        <v>486</v>
      </c>
      <c r="I38" s="471" t="s">
        <v>486</v>
      </c>
      <c r="J38" s="471" t="s">
        <v>486</v>
      </c>
      <c r="K38" s="471" t="s">
        <v>486</v>
      </c>
      <c r="L38" s="471" t="s">
        <v>486</v>
      </c>
      <c r="Q38" s="81">
        <v>7</v>
      </c>
      <c r="R38" s="45">
        <v>96</v>
      </c>
      <c r="S38" s="45" t="s">
        <v>377</v>
      </c>
      <c r="T38" s="438" t="e">
        <f>IF(S38="Cu. Yards", Q38*R38*52, Q38*R38*#REF!/#REF!)</f>
        <v>#REF!</v>
      </c>
      <c r="U38" s="439" t="str">
        <f t="shared" si="4"/>
        <v>NA</v>
      </c>
      <c r="V38" s="129" t="str">
        <f t="shared" si="5"/>
        <v>NA</v>
      </c>
      <c r="W38" s="439">
        <f>IF(V38="NA",1000000,ABS('2.Current_Trash'!$K$29-'9.CustomRates'!V38))</f>
        <v>1000000</v>
      </c>
      <c r="X38" s="520">
        <f t="shared" si="6"/>
        <v>1</v>
      </c>
      <c r="Y38" s="438">
        <f t="shared" si="0"/>
        <v>0</v>
      </c>
      <c r="Z38" s="81" t="e">
        <f t="shared" si="7"/>
        <v>#REF!</v>
      </c>
      <c r="AA38" s="445" t="e">
        <f t="shared" si="8"/>
        <v>#REF!</v>
      </c>
      <c r="AB38" s="67" t="e">
        <f t="shared" si="9"/>
        <v>#REF!</v>
      </c>
      <c r="AC38" s="447" t="str">
        <f t="shared" si="10"/>
        <v>NA</v>
      </c>
      <c r="AD38" s="67">
        <f t="shared" si="11"/>
        <v>0</v>
      </c>
      <c r="AE38" s="81" t="e">
        <f t="shared" si="1"/>
        <v>#REF!</v>
      </c>
      <c r="AF38" s="45" t="e">
        <f t="shared" si="12"/>
        <v>#REF!</v>
      </c>
      <c r="AG38" s="67" t="e">
        <f t="shared" si="13"/>
        <v>#REF!</v>
      </c>
      <c r="AI38" s="81">
        <v>7</v>
      </c>
      <c r="AJ38" s="45">
        <v>96</v>
      </c>
      <c r="AK38" s="45" t="s">
        <v>377</v>
      </c>
      <c r="AL38" s="438" t="e">
        <f>IF(AK38="CY", AI38*AJ38*52, AI38*AJ38*#REF!/#REF!)</f>
        <v>#REF!</v>
      </c>
      <c r="AM38" s="439" t="str">
        <f t="shared" si="14"/>
        <v>NA</v>
      </c>
      <c r="AN38" s="129" t="str">
        <f t="shared" si="15"/>
        <v>NA</v>
      </c>
      <c r="AO38" s="438">
        <f t="shared" si="16"/>
        <v>0</v>
      </c>
      <c r="AP38" s="81" t="e">
        <f t="shared" si="17"/>
        <v>#REF!</v>
      </c>
      <c r="AQ38" s="445" t="e">
        <f t="shared" si="18"/>
        <v>#REF!</v>
      </c>
      <c r="AR38" s="67" t="e">
        <f t="shared" si="19"/>
        <v>#REF!</v>
      </c>
      <c r="AS38" s="81" t="e">
        <f t="shared" si="2"/>
        <v>#REF!</v>
      </c>
      <c r="AT38" s="45" t="e">
        <f t="shared" si="20"/>
        <v>#REF!</v>
      </c>
      <c r="AU38" s="67" t="e">
        <f t="shared" si="21"/>
        <v>#REF!</v>
      </c>
      <c r="AW38" s="81">
        <v>7</v>
      </c>
      <c r="AX38" s="45">
        <v>96</v>
      </c>
      <c r="AY38" s="45" t="s">
        <v>377</v>
      </c>
      <c r="AZ38" s="438" t="e">
        <f>IF(AY38="Cu. Yards", AW38*AX38*52, AW38*AX38*#REF!/#REF!)</f>
        <v>#REF!</v>
      </c>
      <c r="BA38" s="439" t="str">
        <f t="shared" si="22"/>
        <v>NA</v>
      </c>
      <c r="BB38" s="129" t="str">
        <f t="shared" si="23"/>
        <v>NA</v>
      </c>
      <c r="BC38" s="438">
        <f t="shared" si="24"/>
        <v>0</v>
      </c>
      <c r="BD38" s="81" t="e">
        <f t="shared" si="25"/>
        <v>#REF!</v>
      </c>
      <c r="BE38" s="445" t="e">
        <f t="shared" si="26"/>
        <v>#REF!</v>
      </c>
      <c r="BF38" s="67" t="e">
        <f t="shared" si="27"/>
        <v>#REF!</v>
      </c>
      <c r="BG38" s="45" t="e">
        <f t="shared" si="3"/>
        <v>#REF!</v>
      </c>
      <c r="BH38" s="45" t="e">
        <f t="shared" si="28"/>
        <v>#REF!</v>
      </c>
      <c r="BI38" s="67" t="e">
        <f t="shared" si="29"/>
        <v>#REF!</v>
      </c>
      <c r="BL38" s="479" t="s">
        <v>467</v>
      </c>
      <c r="BM38" s="478" t="e">
        <f>INDEX($AL$18:$AO$101, MATCH(1, $AO$18:$AO$101, 0), 1)</f>
        <v>#N/A</v>
      </c>
      <c r="BN38" s="478" t="e">
        <f>IF(BP27&lt;BM38,1,IF(BP27/2&lt;BM38,2,IF(BP27/3&lt;BM38,3,IF(BP27/4&lt;BM38,4,IF(BP27/5&lt;BM38,5,IF(BP27/6&lt;BM38,6,IF(BP27/7&lt;BM38,7,IF(BP27/8&lt;BM38,8,0))))))))</f>
        <v>#N/A</v>
      </c>
      <c r="BO38" s="220" t="e">
        <f>IF((BM34+BN34)&lt;BM38,1,IF((BM34+BN34)/2&lt;BM38,2,IF((BM34+BN34)/3&lt;BM38,3,IF((BM34+BN34)/4&lt;BM38,4,IF((BM34+BN34)/5&lt;BM38,5,IF((BM34+BN34)/6&lt;BM38,6,IF((BM34+BN34)/7&lt;BM38,7,IF((BM34+BN34)/8&lt;BM38,8,0))))))))</f>
        <v>#VALUE!</v>
      </c>
    </row>
    <row r="39" spans="4:72" ht="16.5" customHeight="1" x14ac:dyDescent="0.25">
      <c r="D39" s="436">
        <v>64</v>
      </c>
      <c r="E39" s="435" t="s">
        <v>377</v>
      </c>
      <c r="F39" s="471" t="s">
        <v>486</v>
      </c>
      <c r="G39" s="471" t="s">
        <v>486</v>
      </c>
      <c r="H39" s="471" t="s">
        <v>486</v>
      </c>
      <c r="I39" s="471" t="s">
        <v>486</v>
      </c>
      <c r="J39" s="471" t="s">
        <v>486</v>
      </c>
      <c r="K39" s="471" t="s">
        <v>486</v>
      </c>
      <c r="L39" s="471" t="s">
        <v>486</v>
      </c>
      <c r="Q39" s="81">
        <v>1</v>
      </c>
      <c r="R39" s="45">
        <v>1</v>
      </c>
      <c r="S39" s="45" t="s">
        <v>475</v>
      </c>
      <c r="T39" s="438">
        <f>IF(S39="Cu. Yards", Q39*R39*52, Q39*R39*#REF!/#REF!)</f>
        <v>52</v>
      </c>
      <c r="U39" s="439" t="str">
        <f t="shared" si="4"/>
        <v>NA</v>
      </c>
      <c r="V39" s="129" t="str">
        <f t="shared" si="5"/>
        <v>NA</v>
      </c>
      <c r="W39" s="439">
        <f>IF(V39="NA",1000000,ABS('2.Current_Trash'!$K$29-'9.CustomRates'!V39))</f>
        <v>1000000</v>
      </c>
      <c r="X39" s="520">
        <f t="shared" si="6"/>
        <v>1</v>
      </c>
      <c r="Y39" s="438">
        <f t="shared" si="0"/>
        <v>0</v>
      </c>
      <c r="Z39" s="81" t="e">
        <f t="shared" si="7"/>
        <v>#N/A</v>
      </c>
      <c r="AA39" s="445" t="e">
        <f t="shared" si="8"/>
        <v>#N/A</v>
      </c>
      <c r="AB39" s="67" t="e">
        <f t="shared" si="9"/>
        <v>#N/A</v>
      </c>
      <c r="AC39" s="447" t="str">
        <f t="shared" si="10"/>
        <v>NA</v>
      </c>
      <c r="AD39" s="67">
        <f t="shared" si="11"/>
        <v>0</v>
      </c>
      <c r="AE39" s="81" t="e">
        <f t="shared" si="1"/>
        <v>#REF!</v>
      </c>
      <c r="AF39" s="45" t="e">
        <f t="shared" si="12"/>
        <v>#REF!</v>
      </c>
      <c r="AG39" s="67" t="e">
        <f t="shared" si="13"/>
        <v>#REF!</v>
      </c>
      <c r="AI39" s="81">
        <v>1</v>
      </c>
      <c r="AJ39" s="45">
        <v>1</v>
      </c>
      <c r="AK39" s="45" t="s">
        <v>378</v>
      </c>
      <c r="AL39" s="438">
        <f>IF(AK39="CY", AI39*AJ39*52, AI39*AJ39*#REF!/#REF!)</f>
        <v>52</v>
      </c>
      <c r="AM39" s="439" t="str">
        <f t="shared" si="14"/>
        <v>NA</v>
      </c>
      <c r="AN39" s="129" t="str">
        <f t="shared" si="15"/>
        <v>NA</v>
      </c>
      <c r="AO39" s="438">
        <f t="shared" si="16"/>
        <v>0</v>
      </c>
      <c r="AP39" s="81" t="e">
        <f t="shared" si="17"/>
        <v>#N/A</v>
      </c>
      <c r="AQ39" s="445" t="e">
        <f t="shared" si="18"/>
        <v>#N/A</v>
      </c>
      <c r="AR39" s="67" t="e">
        <f t="shared" si="19"/>
        <v>#N/A</v>
      </c>
      <c r="AS39" s="81" t="e">
        <f t="shared" si="2"/>
        <v>#VALUE!</v>
      </c>
      <c r="AT39" s="45" t="e">
        <f t="shared" si="20"/>
        <v>#VALUE!</v>
      </c>
      <c r="AU39" s="67" t="e">
        <f t="shared" si="21"/>
        <v>#VALUE!</v>
      </c>
      <c r="AW39" s="81">
        <v>1</v>
      </c>
      <c r="AX39" s="45">
        <v>1</v>
      </c>
      <c r="AY39" s="45" t="s">
        <v>475</v>
      </c>
      <c r="AZ39" s="438">
        <f>IF(AY39="Cu. Yards", AW39*AX39*52, AW39*AX39*#REF!/#REF!)</f>
        <v>52</v>
      </c>
      <c r="BA39" s="439" t="str">
        <f t="shared" si="22"/>
        <v>NA</v>
      </c>
      <c r="BB39" s="129" t="str">
        <f t="shared" si="23"/>
        <v>NA</v>
      </c>
      <c r="BC39" s="438">
        <f t="shared" si="24"/>
        <v>0</v>
      </c>
      <c r="BD39" s="81" t="e">
        <f t="shared" si="25"/>
        <v>#REF!</v>
      </c>
      <c r="BE39" s="445" t="e">
        <f t="shared" si="26"/>
        <v>#REF!</v>
      </c>
      <c r="BF39" s="67" t="e">
        <f t="shared" si="27"/>
        <v>#REF!</v>
      </c>
      <c r="BG39" s="45" t="e">
        <f t="shared" si="3"/>
        <v>#REF!</v>
      </c>
      <c r="BH39" s="45" t="e">
        <f t="shared" si="28"/>
        <v>#REF!</v>
      </c>
      <c r="BI39" s="67" t="e">
        <f t="shared" si="29"/>
        <v>#REF!</v>
      </c>
      <c r="BL39" s="479" t="s">
        <v>468</v>
      </c>
      <c r="BM39" s="478">
        <f>IF(V14, INDEX($AZ$18:$BC$101, MATCH(1, $BC$18:$BC$101, 0), 1), 0)</f>
        <v>0</v>
      </c>
      <c r="BN39" s="478" t="e">
        <f>IF(BP28&lt;BM39,1,IF(BP28/2&lt;BM39,2,IF(BP28/3&lt;BM39,3,IF(BP28/4&lt;BM39,4,IF(BP28/5&lt;BM39,5,IF(BP28/6&lt;BM39,6,IF(BP28/7&lt;BM39,7,IF(BP28/8&lt;BM39,8,0))))))))</f>
        <v>#REF!</v>
      </c>
      <c r="BO39" s="220" t="e">
        <f>IF((BM35+BN35)&lt;BM39,1,IF((BM35+BN35)/2&lt;BM39,2,IF((BM35+BN35)/3&lt;BM39,3,IF((BM35+BN35)/4&lt;BM39,4,IF((BM35+BN35)/5&lt;BM39,5,IF((BM35+BN35)/6&lt;BM39,6,IF((BM35+BN35)/7&lt;BM39,7,IF((BM35+BN35)/8&lt;BM39,8,0))))))))</f>
        <v>#REF!</v>
      </c>
    </row>
    <row r="40" spans="4:72" ht="16.5" customHeight="1" x14ac:dyDescent="0.25">
      <c r="D40" s="436">
        <v>96</v>
      </c>
      <c r="E40" s="435" t="s">
        <v>377</v>
      </c>
      <c r="F40" s="471" t="s">
        <v>486</v>
      </c>
      <c r="G40" s="471" t="s">
        <v>486</v>
      </c>
      <c r="H40" s="471" t="s">
        <v>486</v>
      </c>
      <c r="I40" s="471" t="s">
        <v>486</v>
      </c>
      <c r="J40" s="471" t="s">
        <v>486</v>
      </c>
      <c r="K40" s="471" t="s">
        <v>486</v>
      </c>
      <c r="L40" s="471" t="s">
        <v>486</v>
      </c>
      <c r="Q40" s="81">
        <v>2</v>
      </c>
      <c r="R40" s="45">
        <v>1</v>
      </c>
      <c r="S40" s="45" t="s">
        <v>475</v>
      </c>
      <c r="T40" s="438">
        <f>IF(S40="Cu. Yards", Q40*R40*52, Q40*R40*#REF!/#REF!)</f>
        <v>104</v>
      </c>
      <c r="U40" s="439" t="str">
        <f t="shared" si="4"/>
        <v>NA</v>
      </c>
      <c r="V40" s="129" t="str">
        <f t="shared" si="5"/>
        <v>NA</v>
      </c>
      <c r="W40" s="439">
        <f>IF(V40="NA",1000000,ABS('2.Current_Trash'!$K$29-'9.CustomRates'!V40))</f>
        <v>1000000</v>
      </c>
      <c r="X40" s="520">
        <f t="shared" si="6"/>
        <v>1</v>
      </c>
      <c r="Y40" s="438">
        <f t="shared" si="0"/>
        <v>0</v>
      </c>
      <c r="Z40" s="81" t="e">
        <f t="shared" si="7"/>
        <v>#N/A</v>
      </c>
      <c r="AA40" s="445" t="e">
        <f t="shared" si="8"/>
        <v>#N/A</v>
      </c>
      <c r="AB40" s="67" t="e">
        <f t="shared" si="9"/>
        <v>#N/A</v>
      </c>
      <c r="AC40" s="447" t="str">
        <f t="shared" si="10"/>
        <v>NA</v>
      </c>
      <c r="AD40" s="67">
        <f t="shared" si="11"/>
        <v>0</v>
      </c>
      <c r="AE40" s="81" t="e">
        <f t="shared" si="1"/>
        <v>#REF!</v>
      </c>
      <c r="AF40" s="45" t="e">
        <f t="shared" si="12"/>
        <v>#REF!</v>
      </c>
      <c r="AG40" s="67" t="e">
        <f t="shared" si="13"/>
        <v>#REF!</v>
      </c>
      <c r="AI40" s="81">
        <v>2</v>
      </c>
      <c r="AJ40" s="45">
        <v>1</v>
      </c>
      <c r="AK40" s="45" t="s">
        <v>378</v>
      </c>
      <c r="AL40" s="438">
        <f>IF(AK40="CY", AI40*AJ40*52, AI40*AJ40*#REF!/#REF!)</f>
        <v>104</v>
      </c>
      <c r="AM40" s="439" t="str">
        <f t="shared" si="14"/>
        <v>NA</v>
      </c>
      <c r="AN40" s="129" t="str">
        <f t="shared" si="15"/>
        <v>NA</v>
      </c>
      <c r="AO40" s="438">
        <f t="shared" si="16"/>
        <v>0</v>
      </c>
      <c r="AP40" s="81" t="e">
        <f t="shared" si="17"/>
        <v>#N/A</v>
      </c>
      <c r="AQ40" s="445" t="e">
        <f t="shared" si="18"/>
        <v>#N/A</v>
      </c>
      <c r="AR40" s="67" t="e">
        <f t="shared" si="19"/>
        <v>#N/A</v>
      </c>
      <c r="AS40" s="81" t="e">
        <f t="shared" si="2"/>
        <v>#VALUE!</v>
      </c>
      <c r="AT40" s="45" t="e">
        <f t="shared" si="20"/>
        <v>#VALUE!</v>
      </c>
      <c r="AU40" s="67" t="e">
        <f t="shared" si="21"/>
        <v>#VALUE!</v>
      </c>
      <c r="AW40" s="81">
        <v>2</v>
      </c>
      <c r="AX40" s="45">
        <v>1</v>
      </c>
      <c r="AY40" s="45" t="s">
        <v>475</v>
      </c>
      <c r="AZ40" s="438">
        <f>IF(AY40="Cu. Yards", AW40*AX40*52, AW40*AX40*#REF!/#REF!)</f>
        <v>104</v>
      </c>
      <c r="BA40" s="439" t="str">
        <f t="shared" si="22"/>
        <v>NA</v>
      </c>
      <c r="BB40" s="129" t="str">
        <f t="shared" si="23"/>
        <v>NA</v>
      </c>
      <c r="BC40" s="438">
        <f t="shared" si="24"/>
        <v>0</v>
      </c>
      <c r="BD40" s="81" t="e">
        <f t="shared" si="25"/>
        <v>#REF!</v>
      </c>
      <c r="BE40" s="445" t="e">
        <f t="shared" si="26"/>
        <v>#REF!</v>
      </c>
      <c r="BF40" s="67" t="e">
        <f t="shared" si="27"/>
        <v>#REF!</v>
      </c>
      <c r="BG40" s="45" t="e">
        <f t="shared" si="3"/>
        <v>#REF!</v>
      </c>
      <c r="BH40" s="45" t="e">
        <f t="shared" si="28"/>
        <v>#REF!</v>
      </c>
      <c r="BI40" s="67" t="e">
        <f t="shared" si="29"/>
        <v>#REF!</v>
      </c>
    </row>
    <row r="41" spans="4:72" ht="16.5" customHeight="1" x14ac:dyDescent="0.25">
      <c r="D41" s="436">
        <v>1</v>
      </c>
      <c r="E41" s="435" t="s">
        <v>475</v>
      </c>
      <c r="F41" s="471" t="s">
        <v>486</v>
      </c>
      <c r="G41" s="471" t="s">
        <v>486</v>
      </c>
      <c r="H41" s="471" t="s">
        <v>486</v>
      </c>
      <c r="I41" s="471" t="s">
        <v>486</v>
      </c>
      <c r="J41" s="471" t="s">
        <v>486</v>
      </c>
      <c r="K41" s="471" t="s">
        <v>486</v>
      </c>
      <c r="L41" s="471" t="s">
        <v>486</v>
      </c>
      <c r="Q41" s="81">
        <v>3</v>
      </c>
      <c r="R41" s="45">
        <v>1</v>
      </c>
      <c r="S41" s="45" t="s">
        <v>475</v>
      </c>
      <c r="T41" s="438">
        <f>IF(S41="Cu. Yards", Q41*R41*52, Q41*R41*#REF!/#REF!)</f>
        <v>156</v>
      </c>
      <c r="U41" s="439" t="str">
        <f t="shared" si="4"/>
        <v>NA</v>
      </c>
      <c r="V41" s="129" t="str">
        <f t="shared" si="5"/>
        <v>NA</v>
      </c>
      <c r="W41" s="439">
        <f>IF(V41="NA",1000000,ABS('2.Current_Trash'!$K$29-'9.CustomRates'!V41))</f>
        <v>1000000</v>
      </c>
      <c r="X41" s="520">
        <f t="shared" si="6"/>
        <v>1</v>
      </c>
      <c r="Y41" s="438">
        <f t="shared" si="0"/>
        <v>0</v>
      </c>
      <c r="Z41" s="81" t="e">
        <f t="shared" si="7"/>
        <v>#N/A</v>
      </c>
      <c r="AA41" s="445" t="e">
        <f t="shared" si="8"/>
        <v>#N/A</v>
      </c>
      <c r="AB41" s="67" t="e">
        <f t="shared" si="9"/>
        <v>#N/A</v>
      </c>
      <c r="AC41" s="447" t="str">
        <f t="shared" si="10"/>
        <v>NA</v>
      </c>
      <c r="AD41" s="67">
        <f t="shared" si="11"/>
        <v>0</v>
      </c>
      <c r="AE41" s="81" t="e">
        <f t="shared" si="1"/>
        <v>#REF!</v>
      </c>
      <c r="AF41" s="45" t="e">
        <f t="shared" si="12"/>
        <v>#REF!</v>
      </c>
      <c r="AG41" s="67" t="e">
        <f t="shared" si="13"/>
        <v>#REF!</v>
      </c>
      <c r="AI41" s="81">
        <v>3</v>
      </c>
      <c r="AJ41" s="45">
        <v>1</v>
      </c>
      <c r="AK41" s="45" t="s">
        <v>378</v>
      </c>
      <c r="AL41" s="438">
        <f>IF(AK41="CY", AI41*AJ41*52, AI41*AJ41*#REF!/#REF!)</f>
        <v>156</v>
      </c>
      <c r="AM41" s="439" t="str">
        <f t="shared" si="14"/>
        <v>NA</v>
      </c>
      <c r="AN41" s="129" t="str">
        <f t="shared" si="15"/>
        <v>NA</v>
      </c>
      <c r="AO41" s="438">
        <f t="shared" si="16"/>
        <v>0</v>
      </c>
      <c r="AP41" s="81" t="e">
        <f t="shared" si="17"/>
        <v>#N/A</v>
      </c>
      <c r="AQ41" s="445" t="e">
        <f t="shared" si="18"/>
        <v>#N/A</v>
      </c>
      <c r="AR41" s="67" t="e">
        <f t="shared" si="19"/>
        <v>#N/A</v>
      </c>
      <c r="AS41" s="81" t="e">
        <f t="shared" si="2"/>
        <v>#VALUE!</v>
      </c>
      <c r="AT41" s="45" t="e">
        <f t="shared" si="20"/>
        <v>#VALUE!</v>
      </c>
      <c r="AU41" s="67" t="e">
        <f t="shared" si="21"/>
        <v>#VALUE!</v>
      </c>
      <c r="AW41" s="81">
        <v>3</v>
      </c>
      <c r="AX41" s="45">
        <v>1</v>
      </c>
      <c r="AY41" s="45" t="s">
        <v>475</v>
      </c>
      <c r="AZ41" s="438">
        <f>IF(AY41="Cu. Yards", AW41*AX41*52, AW41*AX41*#REF!/#REF!)</f>
        <v>156</v>
      </c>
      <c r="BA41" s="439" t="str">
        <f t="shared" si="22"/>
        <v>NA</v>
      </c>
      <c r="BB41" s="129" t="str">
        <f t="shared" si="23"/>
        <v>NA</v>
      </c>
      <c r="BC41" s="438">
        <f t="shared" si="24"/>
        <v>0</v>
      </c>
      <c r="BD41" s="81" t="e">
        <f t="shared" si="25"/>
        <v>#REF!</v>
      </c>
      <c r="BE41" s="445" t="e">
        <f t="shared" si="26"/>
        <v>#REF!</v>
      </c>
      <c r="BF41" s="67" t="e">
        <f t="shared" si="27"/>
        <v>#REF!</v>
      </c>
      <c r="BG41" s="45" t="e">
        <f t="shared" si="3"/>
        <v>#REF!</v>
      </c>
      <c r="BH41" s="45" t="e">
        <f t="shared" si="28"/>
        <v>#REF!</v>
      </c>
      <c r="BI41" s="67" t="e">
        <f t="shared" si="29"/>
        <v>#REF!</v>
      </c>
    </row>
    <row r="42" spans="4:72" ht="16.5" customHeight="1" x14ac:dyDescent="0.25">
      <c r="D42" s="436">
        <v>1.5</v>
      </c>
      <c r="E42" s="435" t="s">
        <v>475</v>
      </c>
      <c r="F42" s="471" t="s">
        <v>486</v>
      </c>
      <c r="G42" s="471" t="s">
        <v>486</v>
      </c>
      <c r="H42" s="471" t="s">
        <v>486</v>
      </c>
      <c r="I42" s="471" t="s">
        <v>486</v>
      </c>
      <c r="J42" s="471" t="s">
        <v>486</v>
      </c>
      <c r="K42" s="471" t="s">
        <v>486</v>
      </c>
      <c r="L42" s="471" t="s">
        <v>486</v>
      </c>
      <c r="Q42" s="81">
        <v>4</v>
      </c>
      <c r="R42" s="45">
        <v>1</v>
      </c>
      <c r="S42" s="45" t="s">
        <v>475</v>
      </c>
      <c r="T42" s="438">
        <f>IF(S42="Cu. Yards", Q42*R42*52, Q42*R42*#REF!/#REF!)</f>
        <v>208</v>
      </c>
      <c r="U42" s="439" t="str">
        <f t="shared" si="4"/>
        <v>NA</v>
      </c>
      <c r="V42" s="129" t="str">
        <f t="shared" si="5"/>
        <v>NA</v>
      </c>
      <c r="W42" s="439">
        <f>IF(V42="NA",1000000,ABS('2.Current_Trash'!$K$29-'9.CustomRates'!V42))</f>
        <v>1000000</v>
      </c>
      <c r="X42" s="520">
        <f t="shared" si="6"/>
        <v>1</v>
      </c>
      <c r="Y42" s="438">
        <f t="shared" si="0"/>
        <v>0</v>
      </c>
      <c r="Z42" s="81" t="e">
        <f t="shared" si="7"/>
        <v>#N/A</v>
      </c>
      <c r="AA42" s="445" t="e">
        <f t="shared" si="8"/>
        <v>#N/A</v>
      </c>
      <c r="AB42" s="67" t="e">
        <f t="shared" si="9"/>
        <v>#N/A</v>
      </c>
      <c r="AC42" s="447" t="str">
        <f t="shared" si="10"/>
        <v>NA</v>
      </c>
      <c r="AD42" s="67">
        <f t="shared" si="11"/>
        <v>0</v>
      </c>
      <c r="AE42" s="81" t="e">
        <f t="shared" si="1"/>
        <v>#REF!</v>
      </c>
      <c r="AF42" s="45" t="e">
        <f t="shared" si="12"/>
        <v>#REF!</v>
      </c>
      <c r="AG42" s="67" t="e">
        <f t="shared" si="13"/>
        <v>#REF!</v>
      </c>
      <c r="AI42" s="81">
        <v>4</v>
      </c>
      <c r="AJ42" s="45">
        <v>1</v>
      </c>
      <c r="AK42" s="45" t="s">
        <v>378</v>
      </c>
      <c r="AL42" s="438">
        <f>IF(AK42="CY", AI42*AJ42*52, AI42*AJ42*#REF!/#REF!)</f>
        <v>208</v>
      </c>
      <c r="AM42" s="439" t="str">
        <f t="shared" si="14"/>
        <v>NA</v>
      </c>
      <c r="AN42" s="129" t="str">
        <f t="shared" si="15"/>
        <v>NA</v>
      </c>
      <c r="AO42" s="438">
        <f t="shared" si="16"/>
        <v>0</v>
      </c>
      <c r="AP42" s="81" t="e">
        <f t="shared" si="17"/>
        <v>#N/A</v>
      </c>
      <c r="AQ42" s="445" t="e">
        <f t="shared" si="18"/>
        <v>#N/A</v>
      </c>
      <c r="AR42" s="67" t="e">
        <f t="shared" si="19"/>
        <v>#N/A</v>
      </c>
      <c r="AS42" s="81" t="e">
        <f t="shared" si="2"/>
        <v>#VALUE!</v>
      </c>
      <c r="AT42" s="45" t="e">
        <f t="shared" si="20"/>
        <v>#VALUE!</v>
      </c>
      <c r="AU42" s="67" t="e">
        <f t="shared" si="21"/>
        <v>#VALUE!</v>
      </c>
      <c r="AW42" s="81">
        <v>4</v>
      </c>
      <c r="AX42" s="45">
        <v>1</v>
      </c>
      <c r="AY42" s="45" t="s">
        <v>475</v>
      </c>
      <c r="AZ42" s="438">
        <f>IF(AY42="Cu. Yards", AW42*AX42*52, AW42*AX42*#REF!/#REF!)</f>
        <v>208</v>
      </c>
      <c r="BA42" s="439" t="str">
        <f t="shared" si="22"/>
        <v>NA</v>
      </c>
      <c r="BB42" s="129" t="str">
        <f t="shared" si="23"/>
        <v>NA</v>
      </c>
      <c r="BC42" s="438">
        <f t="shared" si="24"/>
        <v>0</v>
      </c>
      <c r="BD42" s="81" t="e">
        <f t="shared" si="25"/>
        <v>#REF!</v>
      </c>
      <c r="BE42" s="445" t="e">
        <f t="shared" si="26"/>
        <v>#REF!</v>
      </c>
      <c r="BF42" s="67" t="e">
        <f t="shared" si="27"/>
        <v>#REF!</v>
      </c>
      <c r="BG42" s="45" t="e">
        <f t="shared" si="3"/>
        <v>#REF!</v>
      </c>
      <c r="BH42" s="45" t="e">
        <f t="shared" si="28"/>
        <v>#REF!</v>
      </c>
      <c r="BI42" s="67" t="e">
        <f t="shared" si="29"/>
        <v>#REF!</v>
      </c>
    </row>
    <row r="43" spans="4:72" ht="16.5" customHeight="1" x14ac:dyDescent="0.25">
      <c r="D43" s="436">
        <v>2</v>
      </c>
      <c r="E43" s="435" t="s">
        <v>475</v>
      </c>
      <c r="F43" s="471" t="s">
        <v>486</v>
      </c>
      <c r="G43" s="471" t="s">
        <v>486</v>
      </c>
      <c r="H43" s="471" t="s">
        <v>486</v>
      </c>
      <c r="I43" s="471" t="s">
        <v>486</v>
      </c>
      <c r="J43" s="471" t="s">
        <v>486</v>
      </c>
      <c r="K43" s="471" t="s">
        <v>486</v>
      </c>
      <c r="L43" s="471" t="s">
        <v>486</v>
      </c>
      <c r="Q43" s="81">
        <v>5</v>
      </c>
      <c r="R43" s="45">
        <v>1</v>
      </c>
      <c r="S43" s="45" t="s">
        <v>475</v>
      </c>
      <c r="T43" s="438">
        <f>IF(S43="Cu. Yards", Q43*R43*52, Q43*R43*#REF!/#REF!)</f>
        <v>260</v>
      </c>
      <c r="U43" s="439" t="str">
        <f t="shared" si="4"/>
        <v>NA</v>
      </c>
      <c r="V43" s="129" t="str">
        <f t="shared" si="5"/>
        <v>NA</v>
      </c>
      <c r="W43" s="439">
        <f>IF(V43="NA",1000000,ABS('2.Current_Trash'!$K$29-'9.CustomRates'!V43))</f>
        <v>1000000</v>
      </c>
      <c r="X43" s="520">
        <f t="shared" si="6"/>
        <v>1</v>
      </c>
      <c r="Y43" s="438">
        <f t="shared" si="0"/>
        <v>0</v>
      </c>
      <c r="Z43" s="81" t="e">
        <f t="shared" si="7"/>
        <v>#N/A</v>
      </c>
      <c r="AA43" s="445" t="e">
        <f t="shared" si="8"/>
        <v>#N/A</v>
      </c>
      <c r="AB43" s="67" t="e">
        <f t="shared" si="9"/>
        <v>#N/A</v>
      </c>
      <c r="AC43" s="447" t="str">
        <f t="shared" si="10"/>
        <v>NA</v>
      </c>
      <c r="AD43" s="67">
        <f t="shared" si="11"/>
        <v>0</v>
      </c>
      <c r="AE43" s="81" t="e">
        <f t="shared" si="1"/>
        <v>#REF!</v>
      </c>
      <c r="AF43" s="45" t="e">
        <f t="shared" si="12"/>
        <v>#REF!</v>
      </c>
      <c r="AG43" s="67" t="e">
        <f t="shared" si="13"/>
        <v>#REF!</v>
      </c>
      <c r="AI43" s="81">
        <v>5</v>
      </c>
      <c r="AJ43" s="45">
        <v>1</v>
      </c>
      <c r="AK43" s="45" t="s">
        <v>378</v>
      </c>
      <c r="AL43" s="438">
        <f>IF(AK43="CY", AI43*AJ43*52, AI43*AJ43*#REF!/#REF!)</f>
        <v>260</v>
      </c>
      <c r="AM43" s="439" t="str">
        <f t="shared" si="14"/>
        <v>NA</v>
      </c>
      <c r="AN43" s="129" t="str">
        <f t="shared" si="15"/>
        <v>NA</v>
      </c>
      <c r="AO43" s="438">
        <f t="shared" si="16"/>
        <v>0</v>
      </c>
      <c r="AP43" s="81" t="e">
        <f t="shared" si="17"/>
        <v>#N/A</v>
      </c>
      <c r="AQ43" s="445" t="e">
        <f t="shared" si="18"/>
        <v>#N/A</v>
      </c>
      <c r="AR43" s="67" t="e">
        <f t="shared" si="19"/>
        <v>#N/A</v>
      </c>
      <c r="AS43" s="81" t="e">
        <f t="shared" si="2"/>
        <v>#VALUE!</v>
      </c>
      <c r="AT43" s="45" t="e">
        <f t="shared" si="20"/>
        <v>#VALUE!</v>
      </c>
      <c r="AU43" s="67" t="e">
        <f t="shared" si="21"/>
        <v>#VALUE!</v>
      </c>
      <c r="AW43" s="81">
        <v>5</v>
      </c>
      <c r="AX43" s="45">
        <v>1</v>
      </c>
      <c r="AY43" s="45" t="s">
        <v>475</v>
      </c>
      <c r="AZ43" s="438">
        <f>IF(AY43="Cu. Yards", AW43*AX43*52, AW43*AX43*#REF!/#REF!)</f>
        <v>260</v>
      </c>
      <c r="BA43" s="439" t="str">
        <f t="shared" si="22"/>
        <v>NA</v>
      </c>
      <c r="BB43" s="129" t="str">
        <f t="shared" si="23"/>
        <v>NA</v>
      </c>
      <c r="BC43" s="438">
        <f t="shared" si="24"/>
        <v>0</v>
      </c>
      <c r="BD43" s="81" t="e">
        <f t="shared" si="25"/>
        <v>#REF!</v>
      </c>
      <c r="BE43" s="445" t="e">
        <f t="shared" si="26"/>
        <v>#REF!</v>
      </c>
      <c r="BF43" s="67" t="e">
        <f t="shared" si="27"/>
        <v>#REF!</v>
      </c>
      <c r="BG43" s="45" t="e">
        <f t="shared" si="3"/>
        <v>#REF!</v>
      </c>
      <c r="BH43" s="45" t="e">
        <f t="shared" si="28"/>
        <v>#REF!</v>
      </c>
      <c r="BI43" s="67" t="e">
        <f t="shared" si="29"/>
        <v>#REF!</v>
      </c>
    </row>
    <row r="44" spans="4:72" ht="16.5" customHeight="1" x14ac:dyDescent="0.25">
      <c r="D44" s="436">
        <v>3</v>
      </c>
      <c r="E44" s="435" t="s">
        <v>475</v>
      </c>
      <c r="F44" s="471" t="s">
        <v>486</v>
      </c>
      <c r="G44" s="471" t="s">
        <v>486</v>
      </c>
      <c r="H44" s="471" t="s">
        <v>486</v>
      </c>
      <c r="I44" s="471" t="s">
        <v>486</v>
      </c>
      <c r="J44" s="471" t="s">
        <v>486</v>
      </c>
      <c r="K44" s="471" t="s">
        <v>486</v>
      </c>
      <c r="L44" s="471" t="s">
        <v>486</v>
      </c>
      <c r="Q44" s="81">
        <v>6</v>
      </c>
      <c r="R44" s="45">
        <v>1</v>
      </c>
      <c r="S44" s="45" t="s">
        <v>475</v>
      </c>
      <c r="T44" s="438">
        <f>IF(S44="Cu. Yards", Q44*R44*52, Q44*R44*#REF!/#REF!)</f>
        <v>312</v>
      </c>
      <c r="U44" s="439" t="str">
        <f t="shared" si="4"/>
        <v>NA</v>
      </c>
      <c r="V44" s="129" t="str">
        <f t="shared" si="5"/>
        <v>NA</v>
      </c>
      <c r="W44" s="439">
        <f>IF(V44="NA",1000000,ABS('2.Current_Trash'!$K$29-'9.CustomRates'!V44))</f>
        <v>1000000</v>
      </c>
      <c r="X44" s="520">
        <f t="shared" si="6"/>
        <v>1</v>
      </c>
      <c r="Y44" s="438">
        <f t="shared" si="0"/>
        <v>0</v>
      </c>
      <c r="Z44" s="81" t="e">
        <f t="shared" si="7"/>
        <v>#N/A</v>
      </c>
      <c r="AA44" s="445" t="e">
        <f t="shared" si="8"/>
        <v>#N/A</v>
      </c>
      <c r="AB44" s="67" t="e">
        <f t="shared" si="9"/>
        <v>#N/A</v>
      </c>
      <c r="AC44" s="447" t="str">
        <f t="shared" si="10"/>
        <v>NA</v>
      </c>
      <c r="AD44" s="67">
        <f t="shared" si="11"/>
        <v>0</v>
      </c>
      <c r="AE44" s="81" t="e">
        <f t="shared" si="1"/>
        <v>#REF!</v>
      </c>
      <c r="AF44" s="45" t="e">
        <f t="shared" si="12"/>
        <v>#REF!</v>
      </c>
      <c r="AG44" s="67" t="e">
        <f t="shared" si="13"/>
        <v>#REF!</v>
      </c>
      <c r="AI44" s="81">
        <v>6</v>
      </c>
      <c r="AJ44" s="45">
        <v>1</v>
      </c>
      <c r="AK44" s="45" t="s">
        <v>378</v>
      </c>
      <c r="AL44" s="438">
        <f>IF(AK44="CY", AI44*AJ44*52, AI44*AJ44*#REF!/#REF!)</f>
        <v>312</v>
      </c>
      <c r="AM44" s="439" t="str">
        <f t="shared" si="14"/>
        <v>NA</v>
      </c>
      <c r="AN44" s="129" t="str">
        <f t="shared" si="15"/>
        <v>NA</v>
      </c>
      <c r="AO44" s="438">
        <f t="shared" si="16"/>
        <v>0</v>
      </c>
      <c r="AP44" s="81" t="e">
        <f t="shared" si="17"/>
        <v>#N/A</v>
      </c>
      <c r="AQ44" s="445" t="e">
        <f t="shared" si="18"/>
        <v>#N/A</v>
      </c>
      <c r="AR44" s="67" t="e">
        <f t="shared" si="19"/>
        <v>#N/A</v>
      </c>
      <c r="AS44" s="81" t="e">
        <f t="shared" si="2"/>
        <v>#VALUE!</v>
      </c>
      <c r="AT44" s="45" t="e">
        <f t="shared" si="20"/>
        <v>#VALUE!</v>
      </c>
      <c r="AU44" s="67" t="e">
        <f t="shared" si="21"/>
        <v>#VALUE!</v>
      </c>
      <c r="AW44" s="81">
        <v>6</v>
      </c>
      <c r="AX44" s="45">
        <v>1</v>
      </c>
      <c r="AY44" s="45" t="s">
        <v>475</v>
      </c>
      <c r="AZ44" s="438">
        <f>IF(AY44="Cu. Yards", AW44*AX44*52, AW44*AX44*#REF!/#REF!)</f>
        <v>312</v>
      </c>
      <c r="BA44" s="439" t="str">
        <f t="shared" si="22"/>
        <v>NA</v>
      </c>
      <c r="BB44" s="129" t="str">
        <f t="shared" si="23"/>
        <v>NA</v>
      </c>
      <c r="BC44" s="438">
        <f t="shared" si="24"/>
        <v>0</v>
      </c>
      <c r="BD44" s="81" t="e">
        <f t="shared" si="25"/>
        <v>#REF!</v>
      </c>
      <c r="BE44" s="445" t="e">
        <f t="shared" si="26"/>
        <v>#REF!</v>
      </c>
      <c r="BF44" s="67" t="e">
        <f t="shared" si="27"/>
        <v>#REF!</v>
      </c>
      <c r="BG44" s="45" t="e">
        <f t="shared" si="3"/>
        <v>#REF!</v>
      </c>
      <c r="BH44" s="45" t="e">
        <f t="shared" si="28"/>
        <v>#REF!</v>
      </c>
      <c r="BI44" s="67" t="e">
        <f t="shared" si="29"/>
        <v>#REF!</v>
      </c>
    </row>
    <row r="45" spans="4:72" ht="16.5" customHeight="1" x14ac:dyDescent="0.25">
      <c r="D45" s="436">
        <v>4</v>
      </c>
      <c r="E45" s="435" t="s">
        <v>475</v>
      </c>
      <c r="F45" s="471" t="s">
        <v>486</v>
      </c>
      <c r="G45" s="471" t="s">
        <v>486</v>
      </c>
      <c r="H45" s="471" t="s">
        <v>486</v>
      </c>
      <c r="I45" s="471" t="s">
        <v>486</v>
      </c>
      <c r="J45" s="471" t="s">
        <v>486</v>
      </c>
      <c r="K45" s="471" t="s">
        <v>486</v>
      </c>
      <c r="L45" s="471" t="s">
        <v>486</v>
      </c>
      <c r="Q45" s="81">
        <v>7</v>
      </c>
      <c r="R45" s="45">
        <v>1</v>
      </c>
      <c r="S45" s="45" t="s">
        <v>475</v>
      </c>
      <c r="T45" s="438">
        <f>IF(S45="Cu. Yards", Q45*R45*52, Q45*R45*#REF!/#REF!)</f>
        <v>364</v>
      </c>
      <c r="U45" s="439" t="str">
        <f t="shared" si="4"/>
        <v>NA</v>
      </c>
      <c r="V45" s="129" t="str">
        <f t="shared" si="5"/>
        <v>NA</v>
      </c>
      <c r="W45" s="439">
        <f>IF(V45="NA",1000000,ABS('2.Current_Trash'!$K$29-'9.CustomRates'!V45))</f>
        <v>1000000</v>
      </c>
      <c r="X45" s="520">
        <f t="shared" si="6"/>
        <v>1</v>
      </c>
      <c r="Y45" s="438">
        <f t="shared" si="0"/>
        <v>0</v>
      </c>
      <c r="Z45" s="81" t="e">
        <f t="shared" si="7"/>
        <v>#N/A</v>
      </c>
      <c r="AA45" s="445" t="e">
        <f t="shared" si="8"/>
        <v>#N/A</v>
      </c>
      <c r="AB45" s="67" t="e">
        <f t="shared" si="9"/>
        <v>#N/A</v>
      </c>
      <c r="AC45" s="447" t="str">
        <f t="shared" si="10"/>
        <v>NA</v>
      </c>
      <c r="AD45" s="67">
        <f t="shared" si="11"/>
        <v>0</v>
      </c>
      <c r="AE45" s="81" t="e">
        <f t="shared" si="1"/>
        <v>#REF!</v>
      </c>
      <c r="AF45" s="45" t="e">
        <f t="shared" si="12"/>
        <v>#REF!</v>
      </c>
      <c r="AG45" s="67" t="e">
        <f t="shared" si="13"/>
        <v>#REF!</v>
      </c>
      <c r="AI45" s="81">
        <v>7</v>
      </c>
      <c r="AJ45" s="45">
        <v>1</v>
      </c>
      <c r="AK45" s="45" t="s">
        <v>378</v>
      </c>
      <c r="AL45" s="438">
        <f>IF(AK45="CY", AI45*AJ45*52, AI45*AJ45*#REF!/#REF!)</f>
        <v>364</v>
      </c>
      <c r="AM45" s="439" t="str">
        <f t="shared" si="14"/>
        <v>NA</v>
      </c>
      <c r="AN45" s="129" t="str">
        <f t="shared" si="15"/>
        <v>NA</v>
      </c>
      <c r="AO45" s="438">
        <f t="shared" si="16"/>
        <v>0</v>
      </c>
      <c r="AP45" s="81" t="e">
        <f t="shared" si="17"/>
        <v>#N/A</v>
      </c>
      <c r="AQ45" s="445" t="e">
        <f t="shared" si="18"/>
        <v>#N/A</v>
      </c>
      <c r="AR45" s="67" t="e">
        <f t="shared" si="19"/>
        <v>#N/A</v>
      </c>
      <c r="AS45" s="81" t="e">
        <f t="shared" si="2"/>
        <v>#VALUE!</v>
      </c>
      <c r="AT45" s="45" t="e">
        <f t="shared" si="20"/>
        <v>#VALUE!</v>
      </c>
      <c r="AU45" s="67" t="e">
        <f t="shared" si="21"/>
        <v>#VALUE!</v>
      </c>
      <c r="AW45" s="81">
        <v>7</v>
      </c>
      <c r="AX45" s="45">
        <v>1</v>
      </c>
      <c r="AY45" s="45" t="s">
        <v>475</v>
      </c>
      <c r="AZ45" s="438">
        <f>IF(AY45="Cu. Yards", AW45*AX45*52, AW45*AX45*#REF!/#REF!)</f>
        <v>364</v>
      </c>
      <c r="BA45" s="439" t="str">
        <f t="shared" si="22"/>
        <v>NA</v>
      </c>
      <c r="BB45" s="129" t="str">
        <f t="shared" si="23"/>
        <v>NA</v>
      </c>
      <c r="BC45" s="438">
        <f t="shared" si="24"/>
        <v>0</v>
      </c>
      <c r="BD45" s="81" t="e">
        <f t="shared" si="25"/>
        <v>#REF!</v>
      </c>
      <c r="BE45" s="445" t="e">
        <f t="shared" si="26"/>
        <v>#REF!</v>
      </c>
      <c r="BF45" s="67" t="e">
        <f t="shared" si="27"/>
        <v>#REF!</v>
      </c>
      <c r="BG45" s="45" t="e">
        <f t="shared" si="3"/>
        <v>#REF!</v>
      </c>
      <c r="BH45" s="45" t="e">
        <f t="shared" si="28"/>
        <v>#REF!</v>
      </c>
      <c r="BI45" s="67" t="e">
        <f t="shared" si="29"/>
        <v>#REF!</v>
      </c>
    </row>
    <row r="46" spans="4:72" ht="16.5" customHeight="1" x14ac:dyDescent="0.25">
      <c r="D46" s="436">
        <v>5</v>
      </c>
      <c r="E46" s="435" t="s">
        <v>475</v>
      </c>
      <c r="F46" s="471" t="s">
        <v>486</v>
      </c>
      <c r="G46" s="471" t="s">
        <v>486</v>
      </c>
      <c r="H46" s="471" t="s">
        <v>486</v>
      </c>
      <c r="I46" s="471" t="s">
        <v>486</v>
      </c>
      <c r="J46" s="471" t="s">
        <v>486</v>
      </c>
      <c r="K46" s="471" t="s">
        <v>486</v>
      </c>
      <c r="L46" s="471" t="s">
        <v>486</v>
      </c>
      <c r="Q46" s="81">
        <v>1</v>
      </c>
      <c r="R46" s="45">
        <v>1.5</v>
      </c>
      <c r="S46" s="45" t="s">
        <v>475</v>
      </c>
      <c r="T46" s="438">
        <f>IF(S46="Cu. Yards", Q46*R46*52, Q46*R46*#REF!/#REF!)</f>
        <v>78</v>
      </c>
      <c r="U46" s="439" t="str">
        <f t="shared" si="4"/>
        <v>NA</v>
      </c>
      <c r="V46" s="129" t="str">
        <f t="shared" si="5"/>
        <v>NA</v>
      </c>
      <c r="W46" s="439">
        <f>IF(V46="NA",1000000,ABS('2.Current_Trash'!$K$29-'9.CustomRates'!V46))</f>
        <v>1000000</v>
      </c>
      <c r="X46" s="520">
        <f t="shared" si="6"/>
        <v>1</v>
      </c>
      <c r="Y46" s="438">
        <f t="shared" si="0"/>
        <v>0</v>
      </c>
      <c r="Z46" s="81" t="e">
        <f t="shared" si="7"/>
        <v>#N/A</v>
      </c>
      <c r="AA46" s="445" t="e">
        <f t="shared" si="8"/>
        <v>#N/A</v>
      </c>
      <c r="AB46" s="67" t="e">
        <f t="shared" si="9"/>
        <v>#N/A</v>
      </c>
      <c r="AC46" s="447" t="str">
        <f t="shared" si="10"/>
        <v>NA</v>
      </c>
      <c r="AD46" s="67">
        <f t="shared" si="11"/>
        <v>0</v>
      </c>
      <c r="AE46" s="81" t="e">
        <f t="shared" si="1"/>
        <v>#REF!</v>
      </c>
      <c r="AF46" s="45" t="e">
        <f t="shared" si="12"/>
        <v>#REF!</v>
      </c>
      <c r="AG46" s="67" t="e">
        <f t="shared" si="13"/>
        <v>#REF!</v>
      </c>
      <c r="AI46" s="81">
        <v>1</v>
      </c>
      <c r="AJ46" s="45">
        <v>1.5</v>
      </c>
      <c r="AK46" s="45" t="s">
        <v>378</v>
      </c>
      <c r="AL46" s="438">
        <f>IF(AK46="CY", AI46*AJ46*52, AI46*AJ46*#REF!/#REF!)</f>
        <v>78</v>
      </c>
      <c r="AM46" s="439" t="str">
        <f t="shared" si="14"/>
        <v>NA</v>
      </c>
      <c r="AN46" s="129" t="str">
        <f t="shared" si="15"/>
        <v>NA</v>
      </c>
      <c r="AO46" s="438">
        <f t="shared" si="16"/>
        <v>0</v>
      </c>
      <c r="AP46" s="81" t="e">
        <f t="shared" si="17"/>
        <v>#N/A</v>
      </c>
      <c r="AQ46" s="445" t="e">
        <f t="shared" si="18"/>
        <v>#N/A</v>
      </c>
      <c r="AR46" s="67" t="e">
        <f t="shared" si="19"/>
        <v>#N/A</v>
      </c>
      <c r="AS46" s="81" t="e">
        <f t="shared" si="2"/>
        <v>#VALUE!</v>
      </c>
      <c r="AT46" s="45" t="e">
        <f t="shared" si="20"/>
        <v>#VALUE!</v>
      </c>
      <c r="AU46" s="67" t="e">
        <f t="shared" si="21"/>
        <v>#VALUE!</v>
      </c>
      <c r="AW46" s="81">
        <v>1</v>
      </c>
      <c r="AX46" s="45">
        <v>1.5</v>
      </c>
      <c r="AY46" s="45" t="s">
        <v>475</v>
      </c>
      <c r="AZ46" s="438">
        <f>IF(AY46="Cu. Yards", AW46*AX46*52, AW46*AX46*#REF!/#REF!)</f>
        <v>78</v>
      </c>
      <c r="BA46" s="439" t="str">
        <f t="shared" si="22"/>
        <v>NA</v>
      </c>
      <c r="BB46" s="129" t="str">
        <f t="shared" si="23"/>
        <v>NA</v>
      </c>
      <c r="BC46" s="438">
        <f t="shared" si="24"/>
        <v>0</v>
      </c>
      <c r="BD46" s="81" t="e">
        <f t="shared" si="25"/>
        <v>#REF!</v>
      </c>
      <c r="BE46" s="445" t="e">
        <f t="shared" si="26"/>
        <v>#REF!</v>
      </c>
      <c r="BF46" s="67" t="e">
        <f t="shared" si="27"/>
        <v>#REF!</v>
      </c>
      <c r="BG46" s="45" t="e">
        <f t="shared" si="3"/>
        <v>#REF!</v>
      </c>
      <c r="BH46" s="45" t="e">
        <f t="shared" si="28"/>
        <v>#REF!</v>
      </c>
      <c r="BI46" s="67" t="e">
        <f t="shared" si="29"/>
        <v>#REF!</v>
      </c>
    </row>
    <row r="47" spans="4:72" ht="16.5" customHeight="1" x14ac:dyDescent="0.25">
      <c r="D47" s="436">
        <v>6</v>
      </c>
      <c r="E47" s="435" t="s">
        <v>475</v>
      </c>
      <c r="F47" s="471" t="s">
        <v>486</v>
      </c>
      <c r="G47" s="471" t="s">
        <v>486</v>
      </c>
      <c r="H47" s="471" t="s">
        <v>486</v>
      </c>
      <c r="I47" s="471" t="s">
        <v>486</v>
      </c>
      <c r="J47" s="471" t="s">
        <v>486</v>
      </c>
      <c r="K47" s="471" t="s">
        <v>486</v>
      </c>
      <c r="L47" s="471" t="s">
        <v>486</v>
      </c>
      <c r="Q47" s="81">
        <v>2</v>
      </c>
      <c r="R47" s="45">
        <v>1.5</v>
      </c>
      <c r="S47" s="45" t="s">
        <v>475</v>
      </c>
      <c r="T47" s="438">
        <f>IF(S47="Cu. Yards", Q47*R47*52, Q47*R47*#REF!/#REF!)</f>
        <v>156</v>
      </c>
      <c r="U47" s="439" t="str">
        <f t="shared" si="4"/>
        <v>NA</v>
      </c>
      <c r="V47" s="129" t="str">
        <f t="shared" si="5"/>
        <v>NA</v>
      </c>
      <c r="W47" s="439">
        <f>IF(V47="NA",1000000,ABS('2.Current_Trash'!$K$29-'9.CustomRates'!V47))</f>
        <v>1000000</v>
      </c>
      <c r="X47" s="520">
        <f t="shared" si="6"/>
        <v>1</v>
      </c>
      <c r="Y47" s="438">
        <f t="shared" si="0"/>
        <v>0</v>
      </c>
      <c r="Z47" s="81" t="e">
        <f t="shared" si="7"/>
        <v>#N/A</v>
      </c>
      <c r="AA47" s="445" t="e">
        <f t="shared" si="8"/>
        <v>#N/A</v>
      </c>
      <c r="AB47" s="67" t="e">
        <f t="shared" si="9"/>
        <v>#N/A</v>
      </c>
      <c r="AC47" s="447" t="str">
        <f t="shared" si="10"/>
        <v>NA</v>
      </c>
      <c r="AD47" s="67">
        <f t="shared" si="11"/>
        <v>0</v>
      </c>
      <c r="AE47" s="81" t="e">
        <f t="shared" si="1"/>
        <v>#REF!</v>
      </c>
      <c r="AF47" s="45" t="e">
        <f t="shared" si="12"/>
        <v>#REF!</v>
      </c>
      <c r="AG47" s="67" t="e">
        <f t="shared" si="13"/>
        <v>#REF!</v>
      </c>
      <c r="AI47" s="81">
        <v>2</v>
      </c>
      <c r="AJ47" s="45">
        <v>1.5</v>
      </c>
      <c r="AK47" s="45" t="s">
        <v>378</v>
      </c>
      <c r="AL47" s="438">
        <f>IF(AK47="CY", AI47*AJ47*52, AI47*AJ47*#REF!/#REF!)</f>
        <v>156</v>
      </c>
      <c r="AM47" s="439" t="str">
        <f t="shared" si="14"/>
        <v>NA</v>
      </c>
      <c r="AN47" s="129" t="str">
        <f t="shared" si="15"/>
        <v>NA</v>
      </c>
      <c r="AO47" s="438">
        <f t="shared" si="16"/>
        <v>0</v>
      </c>
      <c r="AP47" s="81" t="e">
        <f t="shared" si="17"/>
        <v>#N/A</v>
      </c>
      <c r="AQ47" s="445" t="e">
        <f t="shared" si="18"/>
        <v>#N/A</v>
      </c>
      <c r="AR47" s="67" t="e">
        <f t="shared" si="19"/>
        <v>#N/A</v>
      </c>
      <c r="AS47" s="81" t="e">
        <f t="shared" si="2"/>
        <v>#VALUE!</v>
      </c>
      <c r="AT47" s="45" t="e">
        <f t="shared" si="20"/>
        <v>#VALUE!</v>
      </c>
      <c r="AU47" s="67" t="e">
        <f t="shared" si="21"/>
        <v>#VALUE!</v>
      </c>
      <c r="AW47" s="81">
        <v>2</v>
      </c>
      <c r="AX47" s="45">
        <v>1.5</v>
      </c>
      <c r="AY47" s="45" t="s">
        <v>475</v>
      </c>
      <c r="AZ47" s="438">
        <f>IF(AY47="Cu. Yards", AW47*AX47*52, AW47*AX47*#REF!/#REF!)</f>
        <v>156</v>
      </c>
      <c r="BA47" s="439" t="str">
        <f t="shared" si="22"/>
        <v>NA</v>
      </c>
      <c r="BB47" s="129" t="str">
        <f t="shared" si="23"/>
        <v>NA</v>
      </c>
      <c r="BC47" s="438">
        <f t="shared" si="24"/>
        <v>0</v>
      </c>
      <c r="BD47" s="81" t="e">
        <f t="shared" si="25"/>
        <v>#REF!</v>
      </c>
      <c r="BE47" s="445" t="e">
        <f t="shared" si="26"/>
        <v>#REF!</v>
      </c>
      <c r="BF47" s="67" t="e">
        <f t="shared" si="27"/>
        <v>#REF!</v>
      </c>
      <c r="BG47" s="45" t="e">
        <f t="shared" si="3"/>
        <v>#REF!</v>
      </c>
      <c r="BH47" s="45" t="e">
        <f t="shared" si="28"/>
        <v>#REF!</v>
      </c>
      <c r="BI47" s="67" t="e">
        <f t="shared" si="29"/>
        <v>#REF!</v>
      </c>
    </row>
    <row r="48" spans="4:72" ht="16.5" customHeight="1" x14ac:dyDescent="0.25">
      <c r="D48" s="436">
        <v>7</v>
      </c>
      <c r="E48" s="435" t="s">
        <v>475</v>
      </c>
      <c r="F48" s="471" t="s">
        <v>486</v>
      </c>
      <c r="G48" s="471" t="s">
        <v>486</v>
      </c>
      <c r="H48" s="471" t="s">
        <v>486</v>
      </c>
      <c r="I48" s="471" t="s">
        <v>486</v>
      </c>
      <c r="J48" s="471" t="s">
        <v>486</v>
      </c>
      <c r="K48" s="471" t="s">
        <v>486</v>
      </c>
      <c r="L48" s="471" t="s">
        <v>486</v>
      </c>
      <c r="Q48" s="81">
        <v>3</v>
      </c>
      <c r="R48" s="45">
        <v>1.5</v>
      </c>
      <c r="S48" s="45" t="s">
        <v>475</v>
      </c>
      <c r="T48" s="438">
        <f>IF(S48="Cu. Yards", Q48*R48*52, Q48*R48*#REF!/#REF!)</f>
        <v>234</v>
      </c>
      <c r="U48" s="439" t="str">
        <f t="shared" si="4"/>
        <v>NA</v>
      </c>
      <c r="V48" s="129" t="str">
        <f t="shared" si="5"/>
        <v>NA</v>
      </c>
      <c r="W48" s="439">
        <f>IF(V48="NA",1000000,ABS('2.Current_Trash'!$K$29-'9.CustomRates'!V48))</f>
        <v>1000000</v>
      </c>
      <c r="X48" s="520">
        <f t="shared" si="6"/>
        <v>1</v>
      </c>
      <c r="Y48" s="438">
        <f t="shared" si="0"/>
        <v>0</v>
      </c>
      <c r="Z48" s="81" t="e">
        <f t="shared" si="7"/>
        <v>#N/A</v>
      </c>
      <c r="AA48" s="445" t="e">
        <f t="shared" si="8"/>
        <v>#N/A</v>
      </c>
      <c r="AB48" s="67" t="e">
        <f t="shared" si="9"/>
        <v>#N/A</v>
      </c>
      <c r="AC48" s="447" t="str">
        <f t="shared" si="10"/>
        <v>NA</v>
      </c>
      <c r="AD48" s="67">
        <f t="shared" si="11"/>
        <v>0</v>
      </c>
      <c r="AE48" s="81" t="e">
        <f t="shared" si="1"/>
        <v>#REF!</v>
      </c>
      <c r="AF48" s="45" t="e">
        <f t="shared" si="12"/>
        <v>#REF!</v>
      </c>
      <c r="AG48" s="67" t="e">
        <f t="shared" si="13"/>
        <v>#REF!</v>
      </c>
      <c r="AI48" s="81">
        <v>3</v>
      </c>
      <c r="AJ48" s="45">
        <v>1.5</v>
      </c>
      <c r="AK48" s="45" t="s">
        <v>378</v>
      </c>
      <c r="AL48" s="438">
        <f>IF(AK48="CY", AI48*AJ48*52, AI48*AJ48*#REF!/#REF!)</f>
        <v>234</v>
      </c>
      <c r="AM48" s="439" t="str">
        <f t="shared" si="14"/>
        <v>NA</v>
      </c>
      <c r="AN48" s="129" t="str">
        <f t="shared" si="15"/>
        <v>NA</v>
      </c>
      <c r="AO48" s="438">
        <f t="shared" si="16"/>
        <v>0</v>
      </c>
      <c r="AP48" s="81" t="e">
        <f t="shared" si="17"/>
        <v>#N/A</v>
      </c>
      <c r="AQ48" s="445" t="e">
        <f t="shared" si="18"/>
        <v>#N/A</v>
      </c>
      <c r="AR48" s="67" t="e">
        <f t="shared" si="19"/>
        <v>#N/A</v>
      </c>
      <c r="AS48" s="81" t="e">
        <f t="shared" si="2"/>
        <v>#VALUE!</v>
      </c>
      <c r="AT48" s="45" t="e">
        <f t="shared" si="20"/>
        <v>#VALUE!</v>
      </c>
      <c r="AU48" s="67" t="e">
        <f t="shared" si="21"/>
        <v>#VALUE!</v>
      </c>
      <c r="AW48" s="81">
        <v>3</v>
      </c>
      <c r="AX48" s="45">
        <v>1.5</v>
      </c>
      <c r="AY48" s="45" t="s">
        <v>475</v>
      </c>
      <c r="AZ48" s="438">
        <f>IF(AY48="Cu. Yards", AW48*AX48*52, AW48*AX48*#REF!/#REF!)</f>
        <v>234</v>
      </c>
      <c r="BA48" s="439" t="str">
        <f t="shared" si="22"/>
        <v>NA</v>
      </c>
      <c r="BB48" s="129" t="str">
        <f t="shared" si="23"/>
        <v>NA</v>
      </c>
      <c r="BC48" s="438">
        <f t="shared" si="24"/>
        <v>0</v>
      </c>
      <c r="BD48" s="81" t="e">
        <f t="shared" si="25"/>
        <v>#REF!</v>
      </c>
      <c r="BE48" s="445" t="e">
        <f t="shared" si="26"/>
        <v>#REF!</v>
      </c>
      <c r="BF48" s="67" t="e">
        <f t="shared" si="27"/>
        <v>#REF!</v>
      </c>
      <c r="BG48" s="45" t="e">
        <f t="shared" si="3"/>
        <v>#REF!</v>
      </c>
      <c r="BH48" s="45" t="e">
        <f t="shared" si="28"/>
        <v>#REF!</v>
      </c>
      <c r="BI48" s="67" t="e">
        <f t="shared" si="29"/>
        <v>#REF!</v>
      </c>
    </row>
    <row r="49" spans="3:71" ht="16.5" customHeight="1" x14ac:dyDescent="0.25">
      <c r="D49" s="436">
        <v>8</v>
      </c>
      <c r="E49" s="435" t="s">
        <v>475</v>
      </c>
      <c r="F49" s="471" t="s">
        <v>486</v>
      </c>
      <c r="G49" s="471" t="s">
        <v>486</v>
      </c>
      <c r="H49" s="471" t="s">
        <v>486</v>
      </c>
      <c r="I49" s="471" t="s">
        <v>486</v>
      </c>
      <c r="J49" s="471" t="s">
        <v>486</v>
      </c>
      <c r="K49" s="471" t="s">
        <v>486</v>
      </c>
      <c r="L49" s="471" t="s">
        <v>486</v>
      </c>
      <c r="Q49" s="81">
        <v>4</v>
      </c>
      <c r="R49" s="45">
        <v>1.5</v>
      </c>
      <c r="S49" s="45" t="s">
        <v>475</v>
      </c>
      <c r="T49" s="438">
        <f>IF(S49="Cu. Yards", Q49*R49*52, Q49*R49*#REF!/#REF!)</f>
        <v>312</v>
      </c>
      <c r="U49" s="439" t="str">
        <f t="shared" si="4"/>
        <v>NA</v>
      </c>
      <c r="V49" s="129" t="str">
        <f t="shared" si="5"/>
        <v>NA</v>
      </c>
      <c r="W49" s="439">
        <f>IF(V49="NA",1000000,ABS('2.Current_Trash'!$K$29-'9.CustomRates'!V49))</f>
        <v>1000000</v>
      </c>
      <c r="X49" s="520">
        <f t="shared" si="6"/>
        <v>1</v>
      </c>
      <c r="Y49" s="438">
        <f t="shared" si="0"/>
        <v>0</v>
      </c>
      <c r="Z49" s="81" t="e">
        <f t="shared" si="7"/>
        <v>#N/A</v>
      </c>
      <c r="AA49" s="445" t="e">
        <f t="shared" si="8"/>
        <v>#N/A</v>
      </c>
      <c r="AB49" s="67" t="e">
        <f t="shared" si="9"/>
        <v>#N/A</v>
      </c>
      <c r="AC49" s="447" t="str">
        <f t="shared" si="10"/>
        <v>NA</v>
      </c>
      <c r="AD49" s="67">
        <f t="shared" si="11"/>
        <v>0</v>
      </c>
      <c r="AE49" s="81" t="e">
        <f t="shared" si="1"/>
        <v>#REF!</v>
      </c>
      <c r="AF49" s="45" t="e">
        <f t="shared" si="12"/>
        <v>#REF!</v>
      </c>
      <c r="AG49" s="67" t="e">
        <f t="shared" si="13"/>
        <v>#REF!</v>
      </c>
      <c r="AI49" s="81">
        <v>4</v>
      </c>
      <c r="AJ49" s="45">
        <v>1.5</v>
      </c>
      <c r="AK49" s="45" t="s">
        <v>378</v>
      </c>
      <c r="AL49" s="438">
        <f>IF(AK49="CY", AI49*AJ49*52, AI49*AJ49*#REF!/#REF!)</f>
        <v>312</v>
      </c>
      <c r="AM49" s="439" t="str">
        <f t="shared" si="14"/>
        <v>NA</v>
      </c>
      <c r="AN49" s="129" t="str">
        <f t="shared" si="15"/>
        <v>NA</v>
      </c>
      <c r="AO49" s="438">
        <f t="shared" si="16"/>
        <v>0</v>
      </c>
      <c r="AP49" s="81" t="e">
        <f t="shared" si="17"/>
        <v>#N/A</v>
      </c>
      <c r="AQ49" s="445" t="e">
        <f t="shared" si="18"/>
        <v>#N/A</v>
      </c>
      <c r="AR49" s="67" t="e">
        <f t="shared" si="19"/>
        <v>#N/A</v>
      </c>
      <c r="AS49" s="81" t="e">
        <f t="shared" si="2"/>
        <v>#VALUE!</v>
      </c>
      <c r="AT49" s="45" t="e">
        <f t="shared" si="20"/>
        <v>#VALUE!</v>
      </c>
      <c r="AU49" s="67" t="e">
        <f t="shared" si="21"/>
        <v>#VALUE!</v>
      </c>
      <c r="AW49" s="81">
        <v>4</v>
      </c>
      <c r="AX49" s="45">
        <v>1.5</v>
      </c>
      <c r="AY49" s="45" t="s">
        <v>475</v>
      </c>
      <c r="AZ49" s="438">
        <f>IF(AY49="Cu. Yards", AW49*AX49*52, AW49*AX49*#REF!/#REF!)</f>
        <v>312</v>
      </c>
      <c r="BA49" s="439" t="str">
        <f t="shared" si="22"/>
        <v>NA</v>
      </c>
      <c r="BB49" s="129" t="str">
        <f t="shared" si="23"/>
        <v>NA</v>
      </c>
      <c r="BC49" s="438">
        <f t="shared" si="24"/>
        <v>0</v>
      </c>
      <c r="BD49" s="81" t="e">
        <f t="shared" si="25"/>
        <v>#REF!</v>
      </c>
      <c r="BE49" s="445" t="e">
        <f t="shared" si="26"/>
        <v>#REF!</v>
      </c>
      <c r="BF49" s="67" t="e">
        <f t="shared" si="27"/>
        <v>#REF!</v>
      </c>
      <c r="BG49" s="45" t="e">
        <f t="shared" si="3"/>
        <v>#REF!</v>
      </c>
      <c r="BH49" s="45" t="e">
        <f t="shared" si="28"/>
        <v>#REF!</v>
      </c>
      <c r="BI49" s="67" t="e">
        <f t="shared" si="29"/>
        <v>#REF!</v>
      </c>
    </row>
    <row r="50" spans="3:71" x14ac:dyDescent="0.25">
      <c r="Q50" s="81">
        <v>5</v>
      </c>
      <c r="R50" s="45">
        <v>1.5</v>
      </c>
      <c r="S50" s="45" t="s">
        <v>475</v>
      </c>
      <c r="T50" s="438">
        <f>IF(S50="Cu. Yards", Q50*R50*52, Q50*R50*#REF!/#REF!)</f>
        <v>390</v>
      </c>
      <c r="U50" s="439" t="str">
        <f t="shared" si="4"/>
        <v>NA</v>
      </c>
      <c r="V50" s="129" t="str">
        <f t="shared" si="5"/>
        <v>NA</v>
      </c>
      <c r="W50" s="439">
        <f>IF(V50="NA",1000000,ABS('2.Current_Trash'!$K$29-'9.CustomRates'!V50))</f>
        <v>1000000</v>
      </c>
      <c r="X50" s="520">
        <f t="shared" si="6"/>
        <v>1</v>
      </c>
      <c r="Y50" s="438">
        <f t="shared" ref="Y50:Y82" si="30">IF(V50=MAX($V$18:$V$101), 1, 0)</f>
        <v>0</v>
      </c>
      <c r="Z50" s="81" t="e">
        <f t="shared" si="7"/>
        <v>#N/A</v>
      </c>
      <c r="AA50" s="445" t="e">
        <f t="shared" si="8"/>
        <v>#N/A</v>
      </c>
      <c r="AB50" s="67" t="e">
        <f t="shared" si="9"/>
        <v>#N/A</v>
      </c>
      <c r="AC50" s="447" t="str">
        <f t="shared" si="10"/>
        <v>NA</v>
      </c>
      <c r="AD50" s="67">
        <f t="shared" si="11"/>
        <v>0</v>
      </c>
      <c r="AE50" s="81" t="e">
        <f t="shared" ref="AE50:AE81" si="31">IF(AND(ISNUMBER(V50), T50&gt;$BO$71), 1, 0)</f>
        <v>#REF!</v>
      </c>
      <c r="AF50" s="45" t="e">
        <f t="shared" si="12"/>
        <v>#REF!</v>
      </c>
      <c r="AG50" s="67" t="e">
        <f t="shared" si="13"/>
        <v>#REF!</v>
      </c>
      <c r="AI50" s="81">
        <v>5</v>
      </c>
      <c r="AJ50" s="45">
        <v>1.5</v>
      </c>
      <c r="AK50" s="45" t="s">
        <v>378</v>
      </c>
      <c r="AL50" s="438">
        <f>IF(AK50="CY", AI50*AJ50*52, AI50*AJ50*#REF!/#REF!)</f>
        <v>390</v>
      </c>
      <c r="AM50" s="439" t="str">
        <f t="shared" si="14"/>
        <v>NA</v>
      </c>
      <c r="AN50" s="129" t="str">
        <f t="shared" si="15"/>
        <v>NA</v>
      </c>
      <c r="AO50" s="438">
        <f t="shared" si="16"/>
        <v>0</v>
      </c>
      <c r="AP50" s="81" t="e">
        <f t="shared" si="17"/>
        <v>#N/A</v>
      </c>
      <c r="AQ50" s="445" t="e">
        <f t="shared" si="18"/>
        <v>#N/A</v>
      </c>
      <c r="AR50" s="67" t="e">
        <f t="shared" si="19"/>
        <v>#N/A</v>
      </c>
      <c r="AS50" s="81" t="e">
        <f t="shared" ref="AS50:AS81" si="32">IF(AND(ISNUMBER(AN50), AL50&gt;$BO$34), 1, 0)</f>
        <v>#VALUE!</v>
      </c>
      <c r="AT50" s="45" t="e">
        <f t="shared" si="20"/>
        <v>#VALUE!</v>
      </c>
      <c r="AU50" s="67" t="e">
        <f t="shared" si="21"/>
        <v>#VALUE!</v>
      </c>
      <c r="AW50" s="81">
        <v>5</v>
      </c>
      <c r="AX50" s="45">
        <v>1.5</v>
      </c>
      <c r="AY50" s="45" t="s">
        <v>475</v>
      </c>
      <c r="AZ50" s="438">
        <f>IF(AY50="Cu. Yards", AW50*AX50*52, AW50*AX50*#REF!/#REF!)</f>
        <v>390</v>
      </c>
      <c r="BA50" s="439" t="str">
        <f t="shared" si="22"/>
        <v>NA</v>
      </c>
      <c r="BB50" s="129" t="str">
        <f t="shared" si="23"/>
        <v>NA</v>
      </c>
      <c r="BC50" s="438">
        <f t="shared" si="24"/>
        <v>0</v>
      </c>
      <c r="BD50" s="81" t="e">
        <f t="shared" si="25"/>
        <v>#REF!</v>
      </c>
      <c r="BE50" s="445" t="e">
        <f t="shared" si="26"/>
        <v>#REF!</v>
      </c>
      <c r="BF50" s="67" t="e">
        <f t="shared" si="27"/>
        <v>#REF!</v>
      </c>
      <c r="BG50" s="45" t="e">
        <f t="shared" ref="BG50:BG81" si="33">IF(AND(ISNUMBER(BB50), AZ50&gt;$BO$35), 1, 0)</f>
        <v>#REF!</v>
      </c>
      <c r="BH50" s="45" t="e">
        <f t="shared" si="28"/>
        <v>#REF!</v>
      </c>
      <c r="BI50" s="67" t="e">
        <f t="shared" si="29"/>
        <v>#REF!</v>
      </c>
    </row>
    <row r="51" spans="3:71" x14ac:dyDescent="0.25">
      <c r="Q51" s="81">
        <v>6</v>
      </c>
      <c r="R51" s="45">
        <v>1.5</v>
      </c>
      <c r="S51" s="45" t="s">
        <v>475</v>
      </c>
      <c r="T51" s="438">
        <f>IF(S51="Cu. Yards", Q51*R51*52, Q51*R51*#REF!/#REF!)</f>
        <v>468</v>
      </c>
      <c r="U51" s="439" t="str">
        <f t="shared" si="4"/>
        <v>NA</v>
      </c>
      <c r="V51" s="129" t="str">
        <f t="shared" si="5"/>
        <v>NA</v>
      </c>
      <c r="W51" s="439">
        <f>IF(V51="NA",1000000,ABS('2.Current_Trash'!$K$29-'9.CustomRates'!V51))</f>
        <v>1000000</v>
      </c>
      <c r="X51" s="520">
        <f t="shared" si="6"/>
        <v>1</v>
      </c>
      <c r="Y51" s="438">
        <f t="shared" si="30"/>
        <v>0</v>
      </c>
      <c r="Z51" s="81" t="e">
        <f t="shared" si="7"/>
        <v>#N/A</v>
      </c>
      <c r="AA51" s="445" t="e">
        <f t="shared" si="8"/>
        <v>#N/A</v>
      </c>
      <c r="AB51" s="67" t="e">
        <f t="shared" si="9"/>
        <v>#N/A</v>
      </c>
      <c r="AC51" s="447" t="str">
        <f t="shared" si="10"/>
        <v>NA</v>
      </c>
      <c r="AD51" s="67">
        <f t="shared" si="11"/>
        <v>0</v>
      </c>
      <c r="AE51" s="81" t="e">
        <f t="shared" si="31"/>
        <v>#REF!</v>
      </c>
      <c r="AF51" s="45" t="e">
        <f t="shared" si="12"/>
        <v>#REF!</v>
      </c>
      <c r="AG51" s="67" t="e">
        <f t="shared" si="13"/>
        <v>#REF!</v>
      </c>
      <c r="AI51" s="81">
        <v>6</v>
      </c>
      <c r="AJ51" s="45">
        <v>1.5</v>
      </c>
      <c r="AK51" s="45" t="s">
        <v>378</v>
      </c>
      <c r="AL51" s="438">
        <f>IF(AK51="CY", AI51*AJ51*52, AI51*AJ51*#REF!/#REF!)</f>
        <v>468</v>
      </c>
      <c r="AM51" s="439" t="str">
        <f t="shared" si="14"/>
        <v>NA</v>
      </c>
      <c r="AN51" s="129" t="str">
        <f t="shared" si="15"/>
        <v>NA</v>
      </c>
      <c r="AO51" s="438">
        <f t="shared" si="16"/>
        <v>0</v>
      </c>
      <c r="AP51" s="81" t="e">
        <f t="shared" si="17"/>
        <v>#N/A</v>
      </c>
      <c r="AQ51" s="445" t="e">
        <f t="shared" si="18"/>
        <v>#N/A</v>
      </c>
      <c r="AR51" s="67" t="e">
        <f t="shared" si="19"/>
        <v>#N/A</v>
      </c>
      <c r="AS51" s="81" t="e">
        <f t="shared" si="32"/>
        <v>#VALUE!</v>
      </c>
      <c r="AT51" s="45" t="e">
        <f t="shared" si="20"/>
        <v>#VALUE!</v>
      </c>
      <c r="AU51" s="67" t="e">
        <f t="shared" si="21"/>
        <v>#VALUE!</v>
      </c>
      <c r="AW51" s="81">
        <v>6</v>
      </c>
      <c r="AX51" s="45">
        <v>1.5</v>
      </c>
      <c r="AY51" s="45" t="s">
        <v>475</v>
      </c>
      <c r="AZ51" s="438">
        <f>IF(AY51="Cu. Yards", AW51*AX51*52, AW51*AX51*#REF!/#REF!)</f>
        <v>468</v>
      </c>
      <c r="BA51" s="439" t="str">
        <f t="shared" si="22"/>
        <v>NA</v>
      </c>
      <c r="BB51" s="129" t="str">
        <f t="shared" si="23"/>
        <v>NA</v>
      </c>
      <c r="BC51" s="438">
        <f t="shared" si="24"/>
        <v>0</v>
      </c>
      <c r="BD51" s="81" t="e">
        <f t="shared" si="25"/>
        <v>#REF!</v>
      </c>
      <c r="BE51" s="445" t="e">
        <f t="shared" si="26"/>
        <v>#REF!</v>
      </c>
      <c r="BF51" s="67" t="e">
        <f t="shared" si="27"/>
        <v>#REF!</v>
      </c>
      <c r="BG51" s="45" t="e">
        <f t="shared" si="33"/>
        <v>#REF!</v>
      </c>
      <c r="BH51" s="45" t="e">
        <f t="shared" si="28"/>
        <v>#REF!</v>
      </c>
      <c r="BI51" s="67" t="e">
        <f t="shared" si="29"/>
        <v>#REF!</v>
      </c>
    </row>
    <row r="52" spans="3:71" x14ac:dyDescent="0.25">
      <c r="C52" s="12" t="s">
        <v>434</v>
      </c>
      <c r="D52" s="12"/>
      <c r="E52" s="12"/>
      <c r="F52" s="12"/>
      <c r="G52" s="12"/>
      <c r="H52" s="12"/>
      <c r="I52" s="12"/>
      <c r="J52" s="12"/>
      <c r="K52" s="12"/>
      <c r="L52" s="12"/>
      <c r="M52" s="12"/>
      <c r="N52" s="12"/>
      <c r="Q52" s="81">
        <v>7</v>
      </c>
      <c r="R52" s="45">
        <v>1.5</v>
      </c>
      <c r="S52" s="45" t="s">
        <v>475</v>
      </c>
      <c r="T52" s="438">
        <f>IF(S52="Cu. Yards", Q52*R52*52, Q52*R52*#REF!/#REF!)</f>
        <v>546</v>
      </c>
      <c r="U52" s="439" t="str">
        <f t="shared" ref="U52:U83" si="34">INDEX($D$17:$L$29,MATCH(R52,$D$17:$D$29,0),MATCH(Q52,$D$17:$L$17,0))</f>
        <v>NA</v>
      </c>
      <c r="V52" s="129" t="str">
        <f t="shared" si="5"/>
        <v>NA</v>
      </c>
      <c r="W52" s="439">
        <f>IF(V52="NA",1000000,ABS('2.Current_Trash'!$K$29-'9.CustomRates'!V52))</f>
        <v>1000000</v>
      </c>
      <c r="X52" s="520">
        <f t="shared" si="6"/>
        <v>1</v>
      </c>
      <c r="Y52" s="438">
        <f t="shared" si="30"/>
        <v>0</v>
      </c>
      <c r="Z52" s="81" t="e">
        <f t="shared" si="7"/>
        <v>#N/A</v>
      </c>
      <c r="AA52" s="445" t="e">
        <f t="shared" si="8"/>
        <v>#N/A</v>
      </c>
      <c r="AB52" s="67" t="e">
        <f t="shared" si="9"/>
        <v>#N/A</v>
      </c>
      <c r="AC52" s="447" t="str">
        <f t="shared" si="10"/>
        <v>NA</v>
      </c>
      <c r="AD52" s="67">
        <f t="shared" si="11"/>
        <v>0</v>
      </c>
      <c r="AE52" s="81" t="e">
        <f t="shared" si="31"/>
        <v>#REF!</v>
      </c>
      <c r="AF52" s="45" t="e">
        <f t="shared" si="12"/>
        <v>#REF!</v>
      </c>
      <c r="AG52" s="67" t="e">
        <f t="shared" si="13"/>
        <v>#REF!</v>
      </c>
      <c r="AI52" s="81">
        <v>7</v>
      </c>
      <c r="AJ52" s="45">
        <v>1.5</v>
      </c>
      <c r="AK52" s="45" t="s">
        <v>378</v>
      </c>
      <c r="AL52" s="438">
        <f>IF(AK52="CY", AI52*AJ52*52, AI52*AJ52*#REF!/#REF!)</f>
        <v>546</v>
      </c>
      <c r="AM52" s="439" t="str">
        <f t="shared" si="14"/>
        <v>NA</v>
      </c>
      <c r="AN52" s="129" t="str">
        <f t="shared" si="15"/>
        <v>NA</v>
      </c>
      <c r="AO52" s="438">
        <f t="shared" si="16"/>
        <v>0</v>
      </c>
      <c r="AP52" s="81" t="e">
        <f t="shared" si="17"/>
        <v>#N/A</v>
      </c>
      <c r="AQ52" s="445" t="e">
        <f t="shared" si="18"/>
        <v>#N/A</v>
      </c>
      <c r="AR52" s="67" t="e">
        <f t="shared" si="19"/>
        <v>#N/A</v>
      </c>
      <c r="AS52" s="81" t="e">
        <f t="shared" si="32"/>
        <v>#VALUE!</v>
      </c>
      <c r="AT52" s="45" t="e">
        <f t="shared" si="20"/>
        <v>#VALUE!</v>
      </c>
      <c r="AU52" s="67" t="e">
        <f t="shared" si="21"/>
        <v>#VALUE!</v>
      </c>
      <c r="AW52" s="81">
        <v>7</v>
      </c>
      <c r="AX52" s="45">
        <v>1.5</v>
      </c>
      <c r="AY52" s="45" t="s">
        <v>475</v>
      </c>
      <c r="AZ52" s="438">
        <f>IF(AY52="Cu. Yards", AW52*AX52*52, AW52*AX52*#REF!/#REF!)</f>
        <v>546</v>
      </c>
      <c r="BA52" s="439" t="str">
        <f t="shared" si="22"/>
        <v>NA</v>
      </c>
      <c r="BB52" s="129" t="str">
        <f t="shared" si="23"/>
        <v>NA</v>
      </c>
      <c r="BC52" s="438">
        <f t="shared" si="24"/>
        <v>0</v>
      </c>
      <c r="BD52" s="81" t="e">
        <f t="shared" si="25"/>
        <v>#REF!</v>
      </c>
      <c r="BE52" s="445" t="e">
        <f t="shared" si="26"/>
        <v>#REF!</v>
      </c>
      <c r="BF52" s="67" t="e">
        <f t="shared" si="27"/>
        <v>#REF!</v>
      </c>
      <c r="BG52" s="45" t="e">
        <f t="shared" si="33"/>
        <v>#REF!</v>
      </c>
      <c r="BH52" s="45" t="e">
        <f t="shared" si="28"/>
        <v>#REF!</v>
      </c>
      <c r="BI52" s="67" t="e">
        <f t="shared" si="29"/>
        <v>#REF!</v>
      </c>
    </row>
    <row r="53" spans="3:71" ht="9" customHeight="1" x14ac:dyDescent="0.25">
      <c r="Q53" s="81">
        <v>1</v>
      </c>
      <c r="R53" s="45">
        <v>2</v>
      </c>
      <c r="S53" s="45" t="s">
        <v>475</v>
      </c>
      <c r="T53" s="438">
        <f>IF(S53="Cu. Yards", Q53*R53*52, Q53*R53*#REF!/#REF!)</f>
        <v>104</v>
      </c>
      <c r="U53" s="439" t="str">
        <f t="shared" si="34"/>
        <v>NA</v>
      </c>
      <c r="V53" s="129" t="str">
        <f t="shared" si="5"/>
        <v>NA</v>
      </c>
      <c r="W53" s="439">
        <f>IF(V53="NA",1000000,ABS('2.Current_Trash'!$K$29-'9.CustomRates'!V53))</f>
        <v>1000000</v>
      </c>
      <c r="X53" s="520">
        <f t="shared" si="6"/>
        <v>1</v>
      </c>
      <c r="Y53" s="438">
        <f t="shared" si="30"/>
        <v>0</v>
      </c>
      <c r="Z53" s="81" t="e">
        <f t="shared" si="7"/>
        <v>#N/A</v>
      </c>
      <c r="AA53" s="445" t="e">
        <f t="shared" si="8"/>
        <v>#N/A</v>
      </c>
      <c r="AB53" s="67" t="e">
        <f t="shared" si="9"/>
        <v>#N/A</v>
      </c>
      <c r="AC53" s="447" t="str">
        <f t="shared" si="10"/>
        <v>NA</v>
      </c>
      <c r="AD53" s="67">
        <f t="shared" si="11"/>
        <v>0</v>
      </c>
      <c r="AE53" s="81" t="e">
        <f t="shared" si="31"/>
        <v>#REF!</v>
      </c>
      <c r="AF53" s="45" t="e">
        <f t="shared" si="12"/>
        <v>#REF!</v>
      </c>
      <c r="AG53" s="67" t="e">
        <f t="shared" si="13"/>
        <v>#REF!</v>
      </c>
      <c r="AI53" s="81">
        <v>1</v>
      </c>
      <c r="AJ53" s="45">
        <v>2</v>
      </c>
      <c r="AK53" s="45" t="s">
        <v>378</v>
      </c>
      <c r="AL53" s="438">
        <f>IF(AK53="CY", AI53*AJ53*52, AI53*AJ53*#REF!/#REF!)</f>
        <v>104</v>
      </c>
      <c r="AM53" s="439" t="str">
        <f t="shared" si="14"/>
        <v>NA</v>
      </c>
      <c r="AN53" s="129" t="str">
        <f t="shared" si="15"/>
        <v>NA</v>
      </c>
      <c r="AO53" s="438">
        <f t="shared" si="16"/>
        <v>0</v>
      </c>
      <c r="AP53" s="81" t="e">
        <f t="shared" si="17"/>
        <v>#N/A</v>
      </c>
      <c r="AQ53" s="445" t="e">
        <f t="shared" si="18"/>
        <v>#N/A</v>
      </c>
      <c r="AR53" s="67" t="e">
        <f t="shared" si="19"/>
        <v>#N/A</v>
      </c>
      <c r="AS53" s="81" t="e">
        <f t="shared" si="32"/>
        <v>#VALUE!</v>
      </c>
      <c r="AT53" s="45" t="e">
        <f t="shared" si="20"/>
        <v>#VALUE!</v>
      </c>
      <c r="AU53" s="67" t="e">
        <f t="shared" si="21"/>
        <v>#VALUE!</v>
      </c>
      <c r="AW53" s="81">
        <v>1</v>
      </c>
      <c r="AX53" s="45">
        <v>2</v>
      </c>
      <c r="AY53" s="45" t="s">
        <v>475</v>
      </c>
      <c r="AZ53" s="438">
        <f>IF(AY53="Cu. Yards", AW53*AX53*52, AW53*AX53*#REF!/#REF!)</f>
        <v>104</v>
      </c>
      <c r="BA53" s="439" t="str">
        <f t="shared" si="22"/>
        <v>NA</v>
      </c>
      <c r="BB53" s="129" t="str">
        <f t="shared" si="23"/>
        <v>NA</v>
      </c>
      <c r="BC53" s="438">
        <f t="shared" si="24"/>
        <v>0</v>
      </c>
      <c r="BD53" s="81" t="e">
        <f t="shared" si="25"/>
        <v>#REF!</v>
      </c>
      <c r="BE53" s="445" t="e">
        <f t="shared" si="26"/>
        <v>#REF!</v>
      </c>
      <c r="BF53" s="67" t="e">
        <f t="shared" si="27"/>
        <v>#REF!</v>
      </c>
      <c r="BG53" s="45" t="e">
        <f t="shared" si="33"/>
        <v>#REF!</v>
      </c>
      <c r="BH53" s="45" t="e">
        <f t="shared" si="28"/>
        <v>#REF!</v>
      </c>
      <c r="BI53" s="67" t="e">
        <f t="shared" si="29"/>
        <v>#REF!</v>
      </c>
      <c r="BL53" s="93" t="s">
        <v>418</v>
      </c>
      <c r="BM53" s="21"/>
      <c r="BN53" s="21"/>
      <c r="BO53" s="21"/>
      <c r="BP53" s="21"/>
      <c r="BQ53" s="21"/>
      <c r="BR53" s="21"/>
      <c r="BS53" s="85"/>
    </row>
    <row r="54" spans="3:71" x14ac:dyDescent="0.25">
      <c r="D54" s="165" t="s">
        <v>420</v>
      </c>
      <c r="Q54" s="81">
        <v>2</v>
      </c>
      <c r="R54" s="45">
        <v>2</v>
      </c>
      <c r="S54" s="45" t="s">
        <v>475</v>
      </c>
      <c r="T54" s="438">
        <f>IF(S54="Cu. Yards", Q54*R54*52, Q54*R54*#REF!/#REF!)</f>
        <v>208</v>
      </c>
      <c r="U54" s="439" t="str">
        <f t="shared" si="34"/>
        <v>NA</v>
      </c>
      <c r="V54" s="129" t="str">
        <f t="shared" si="5"/>
        <v>NA</v>
      </c>
      <c r="W54" s="439">
        <f>IF(V54="NA",1000000,ABS('2.Current_Trash'!$K$29-'9.CustomRates'!V54))</f>
        <v>1000000</v>
      </c>
      <c r="X54" s="520">
        <f t="shared" si="6"/>
        <v>1</v>
      </c>
      <c r="Y54" s="438">
        <f t="shared" si="30"/>
        <v>0</v>
      </c>
      <c r="Z54" s="81" t="e">
        <f t="shared" si="7"/>
        <v>#N/A</v>
      </c>
      <c r="AA54" s="445" t="e">
        <f t="shared" si="8"/>
        <v>#N/A</v>
      </c>
      <c r="AB54" s="67" t="e">
        <f t="shared" si="9"/>
        <v>#N/A</v>
      </c>
      <c r="AC54" s="447" t="str">
        <f t="shared" si="10"/>
        <v>NA</v>
      </c>
      <c r="AD54" s="67">
        <f t="shared" si="11"/>
        <v>0</v>
      </c>
      <c r="AE54" s="81" t="e">
        <f t="shared" si="31"/>
        <v>#REF!</v>
      </c>
      <c r="AF54" s="45" t="e">
        <f t="shared" si="12"/>
        <v>#REF!</v>
      </c>
      <c r="AG54" s="67" t="e">
        <f t="shared" si="13"/>
        <v>#REF!</v>
      </c>
      <c r="AI54" s="81">
        <v>2</v>
      </c>
      <c r="AJ54" s="45">
        <v>2</v>
      </c>
      <c r="AK54" s="45" t="s">
        <v>378</v>
      </c>
      <c r="AL54" s="438">
        <f>IF(AK54="CY", AI54*AJ54*52, AI54*AJ54*#REF!/#REF!)</f>
        <v>208</v>
      </c>
      <c r="AM54" s="439" t="str">
        <f t="shared" si="14"/>
        <v>NA</v>
      </c>
      <c r="AN54" s="129" t="str">
        <f t="shared" si="15"/>
        <v>NA</v>
      </c>
      <c r="AO54" s="438">
        <f t="shared" si="16"/>
        <v>0</v>
      </c>
      <c r="AP54" s="81" t="e">
        <f t="shared" si="17"/>
        <v>#N/A</v>
      </c>
      <c r="AQ54" s="445" t="e">
        <f t="shared" si="18"/>
        <v>#N/A</v>
      </c>
      <c r="AR54" s="67" t="e">
        <f t="shared" si="19"/>
        <v>#N/A</v>
      </c>
      <c r="AS54" s="81" t="e">
        <f t="shared" si="32"/>
        <v>#VALUE!</v>
      </c>
      <c r="AT54" s="45" t="e">
        <f t="shared" si="20"/>
        <v>#VALUE!</v>
      </c>
      <c r="AU54" s="67" t="e">
        <f t="shared" si="21"/>
        <v>#VALUE!</v>
      </c>
      <c r="AW54" s="81">
        <v>2</v>
      </c>
      <c r="AX54" s="45">
        <v>2</v>
      </c>
      <c r="AY54" s="45" t="s">
        <v>475</v>
      </c>
      <c r="AZ54" s="438">
        <f>IF(AY54="Cu. Yards", AW54*AX54*52, AW54*AX54*#REF!/#REF!)</f>
        <v>208</v>
      </c>
      <c r="BA54" s="439" t="str">
        <f t="shared" si="22"/>
        <v>NA</v>
      </c>
      <c r="BB54" s="129" t="str">
        <f t="shared" si="23"/>
        <v>NA</v>
      </c>
      <c r="BC54" s="438">
        <f t="shared" si="24"/>
        <v>0</v>
      </c>
      <c r="BD54" s="81" t="e">
        <f t="shared" si="25"/>
        <v>#REF!</v>
      </c>
      <c r="BE54" s="445" t="e">
        <f t="shared" si="26"/>
        <v>#REF!</v>
      </c>
      <c r="BF54" s="67" t="e">
        <f t="shared" si="27"/>
        <v>#REF!</v>
      </c>
      <c r="BG54" s="45" t="e">
        <f t="shared" si="33"/>
        <v>#REF!</v>
      </c>
      <c r="BH54" s="45" t="e">
        <f t="shared" si="28"/>
        <v>#REF!</v>
      </c>
      <c r="BI54" s="67" t="e">
        <f t="shared" si="29"/>
        <v>#REF!</v>
      </c>
      <c r="BL54" s="465" t="s">
        <v>398</v>
      </c>
      <c r="BM54" s="64"/>
      <c r="BN54" s="64"/>
      <c r="BO54" s="64"/>
      <c r="BP54" s="64"/>
      <c r="BQ54" s="64"/>
      <c r="BR54" s="64"/>
      <c r="BS54" s="65"/>
    </row>
    <row r="55" spans="3:71" ht="9.75" customHeight="1" x14ac:dyDescent="0.25">
      <c r="Q55" s="81">
        <v>3</v>
      </c>
      <c r="R55" s="45">
        <v>2</v>
      </c>
      <c r="S55" s="45" t="s">
        <v>475</v>
      </c>
      <c r="T55" s="438">
        <f>IF(S55="Cu. Yards", Q55*R55*52, Q55*R55*#REF!/#REF!)</f>
        <v>312</v>
      </c>
      <c r="U55" s="439" t="str">
        <f t="shared" si="34"/>
        <v>NA</v>
      </c>
      <c r="V55" s="129" t="str">
        <f t="shared" si="5"/>
        <v>NA</v>
      </c>
      <c r="W55" s="439">
        <f>IF(V55="NA",1000000,ABS('2.Current_Trash'!$K$29-'9.CustomRates'!V55))</f>
        <v>1000000</v>
      </c>
      <c r="X55" s="520">
        <f t="shared" si="6"/>
        <v>1</v>
      </c>
      <c r="Y55" s="438">
        <f t="shared" si="30"/>
        <v>0</v>
      </c>
      <c r="Z55" s="81" t="e">
        <f t="shared" si="7"/>
        <v>#N/A</v>
      </c>
      <c r="AA55" s="445" t="e">
        <f t="shared" si="8"/>
        <v>#N/A</v>
      </c>
      <c r="AB55" s="67" t="e">
        <f t="shared" si="9"/>
        <v>#N/A</v>
      </c>
      <c r="AC55" s="447" t="str">
        <f t="shared" si="10"/>
        <v>NA</v>
      </c>
      <c r="AD55" s="67">
        <f t="shared" si="11"/>
        <v>0</v>
      </c>
      <c r="AE55" s="81" t="e">
        <f t="shared" si="31"/>
        <v>#REF!</v>
      </c>
      <c r="AF55" s="45" t="e">
        <f t="shared" si="12"/>
        <v>#REF!</v>
      </c>
      <c r="AG55" s="67" t="e">
        <f t="shared" si="13"/>
        <v>#REF!</v>
      </c>
      <c r="AI55" s="81">
        <v>3</v>
      </c>
      <c r="AJ55" s="45">
        <v>2</v>
      </c>
      <c r="AK55" s="45" t="s">
        <v>378</v>
      </c>
      <c r="AL55" s="438">
        <f>IF(AK55="CY", AI55*AJ55*52, AI55*AJ55*#REF!/#REF!)</f>
        <v>312</v>
      </c>
      <c r="AM55" s="439" t="str">
        <f t="shared" si="14"/>
        <v>NA</v>
      </c>
      <c r="AN55" s="129" t="str">
        <f t="shared" si="15"/>
        <v>NA</v>
      </c>
      <c r="AO55" s="438">
        <f t="shared" si="16"/>
        <v>0</v>
      </c>
      <c r="AP55" s="81" t="e">
        <f t="shared" si="17"/>
        <v>#N/A</v>
      </c>
      <c r="AQ55" s="445" t="e">
        <f t="shared" si="18"/>
        <v>#N/A</v>
      </c>
      <c r="AR55" s="67" t="e">
        <f t="shared" si="19"/>
        <v>#N/A</v>
      </c>
      <c r="AS55" s="81" t="e">
        <f t="shared" si="32"/>
        <v>#VALUE!</v>
      </c>
      <c r="AT55" s="45" t="e">
        <f t="shared" si="20"/>
        <v>#VALUE!</v>
      </c>
      <c r="AU55" s="67" t="e">
        <f t="shared" si="21"/>
        <v>#VALUE!</v>
      </c>
      <c r="AW55" s="81">
        <v>3</v>
      </c>
      <c r="AX55" s="45">
        <v>2</v>
      </c>
      <c r="AY55" s="45" t="s">
        <v>475</v>
      </c>
      <c r="AZ55" s="438">
        <f>IF(AY55="Cu. Yards", AW55*AX55*52, AW55*AX55*#REF!/#REF!)</f>
        <v>312</v>
      </c>
      <c r="BA55" s="439" t="str">
        <f t="shared" si="22"/>
        <v>NA</v>
      </c>
      <c r="BB55" s="129" t="str">
        <f t="shared" si="23"/>
        <v>NA</v>
      </c>
      <c r="BC55" s="438">
        <f t="shared" si="24"/>
        <v>0</v>
      </c>
      <c r="BD55" s="81" t="e">
        <f t="shared" si="25"/>
        <v>#REF!</v>
      </c>
      <c r="BE55" s="445" t="e">
        <f t="shared" si="26"/>
        <v>#REF!</v>
      </c>
      <c r="BF55" s="67" t="e">
        <f t="shared" si="27"/>
        <v>#REF!</v>
      </c>
      <c r="BG55" s="45" t="e">
        <f t="shared" si="33"/>
        <v>#REF!</v>
      </c>
      <c r="BH55" s="45" t="e">
        <f t="shared" si="28"/>
        <v>#REF!</v>
      </c>
      <c r="BI55" s="67" t="e">
        <f t="shared" si="29"/>
        <v>#REF!</v>
      </c>
      <c r="BL55" s="81"/>
      <c r="BM55" s="45"/>
      <c r="BN55" s="45"/>
      <c r="BO55" s="45" t="s">
        <v>383</v>
      </c>
      <c r="BP55" s="45"/>
      <c r="BQ55" s="45"/>
      <c r="BR55" s="45"/>
      <c r="BS55" s="67"/>
    </row>
    <row r="56" spans="3:71" ht="16.5" customHeight="1" x14ac:dyDescent="0.25">
      <c r="F56" s="1130" t="s">
        <v>379</v>
      </c>
      <c r="G56" s="1130"/>
      <c r="H56" s="1130"/>
      <c r="I56" s="1130"/>
      <c r="J56" s="1130"/>
      <c r="K56" s="1130"/>
      <c r="L56" s="1130"/>
      <c r="Q56" s="81">
        <v>4</v>
      </c>
      <c r="R56" s="45">
        <v>2</v>
      </c>
      <c r="S56" s="45" t="s">
        <v>475</v>
      </c>
      <c r="T56" s="438">
        <f>IF(S56="Cu. Yards", Q56*R56*52, Q56*R56*#REF!/#REF!)</f>
        <v>416</v>
      </c>
      <c r="U56" s="439" t="str">
        <f t="shared" si="34"/>
        <v>NA</v>
      </c>
      <c r="V56" s="129" t="str">
        <f t="shared" si="5"/>
        <v>NA</v>
      </c>
      <c r="W56" s="439">
        <f>IF(V56="NA",1000000,ABS('2.Current_Trash'!$K$29-'9.CustomRates'!V56))</f>
        <v>1000000</v>
      </c>
      <c r="X56" s="520">
        <f t="shared" si="6"/>
        <v>1</v>
      </c>
      <c r="Y56" s="438">
        <f t="shared" si="30"/>
        <v>0</v>
      </c>
      <c r="Z56" s="81" t="e">
        <f t="shared" si="7"/>
        <v>#N/A</v>
      </c>
      <c r="AA56" s="445" t="e">
        <f t="shared" si="8"/>
        <v>#N/A</v>
      </c>
      <c r="AB56" s="67" t="e">
        <f t="shared" si="9"/>
        <v>#N/A</v>
      </c>
      <c r="AC56" s="447" t="str">
        <f t="shared" si="10"/>
        <v>NA</v>
      </c>
      <c r="AD56" s="67">
        <f t="shared" si="11"/>
        <v>0</v>
      </c>
      <c r="AE56" s="81" t="e">
        <f t="shared" si="31"/>
        <v>#REF!</v>
      </c>
      <c r="AF56" s="45" t="e">
        <f t="shared" si="12"/>
        <v>#REF!</v>
      </c>
      <c r="AG56" s="67" t="e">
        <f t="shared" si="13"/>
        <v>#REF!</v>
      </c>
      <c r="AI56" s="81">
        <v>4</v>
      </c>
      <c r="AJ56" s="45">
        <v>2</v>
      </c>
      <c r="AK56" s="45" t="s">
        <v>378</v>
      </c>
      <c r="AL56" s="438">
        <f>IF(AK56="CY", AI56*AJ56*52, AI56*AJ56*#REF!/#REF!)</f>
        <v>416</v>
      </c>
      <c r="AM56" s="439" t="str">
        <f t="shared" si="14"/>
        <v>NA</v>
      </c>
      <c r="AN56" s="129" t="str">
        <f t="shared" si="15"/>
        <v>NA</v>
      </c>
      <c r="AO56" s="438">
        <f t="shared" si="16"/>
        <v>0</v>
      </c>
      <c r="AP56" s="81" t="e">
        <f t="shared" si="17"/>
        <v>#N/A</v>
      </c>
      <c r="AQ56" s="445" t="e">
        <f t="shared" si="18"/>
        <v>#N/A</v>
      </c>
      <c r="AR56" s="67" t="e">
        <f t="shared" si="19"/>
        <v>#N/A</v>
      </c>
      <c r="AS56" s="81" t="e">
        <f t="shared" si="32"/>
        <v>#VALUE!</v>
      </c>
      <c r="AT56" s="45" t="e">
        <f t="shared" si="20"/>
        <v>#VALUE!</v>
      </c>
      <c r="AU56" s="67" t="e">
        <f t="shared" si="21"/>
        <v>#VALUE!</v>
      </c>
      <c r="AW56" s="81">
        <v>4</v>
      </c>
      <c r="AX56" s="45">
        <v>2</v>
      </c>
      <c r="AY56" s="45" t="s">
        <v>475</v>
      </c>
      <c r="AZ56" s="438">
        <f>IF(AY56="Cu. Yards", AW56*AX56*52, AW56*AX56*#REF!/#REF!)</f>
        <v>416</v>
      </c>
      <c r="BA56" s="439" t="str">
        <f t="shared" si="22"/>
        <v>NA</v>
      </c>
      <c r="BB56" s="129" t="str">
        <f t="shared" si="23"/>
        <v>NA</v>
      </c>
      <c r="BC56" s="438">
        <f t="shared" si="24"/>
        <v>0</v>
      </c>
      <c r="BD56" s="81" t="e">
        <f t="shared" si="25"/>
        <v>#REF!</v>
      </c>
      <c r="BE56" s="445" t="e">
        <f t="shared" si="26"/>
        <v>#REF!</v>
      </c>
      <c r="BF56" s="67" t="e">
        <f t="shared" si="27"/>
        <v>#REF!</v>
      </c>
      <c r="BG56" s="45" t="e">
        <f t="shared" si="33"/>
        <v>#REF!</v>
      </c>
      <c r="BH56" s="45" t="e">
        <f t="shared" si="28"/>
        <v>#REF!</v>
      </c>
      <c r="BI56" s="67" t="e">
        <f t="shared" si="29"/>
        <v>#REF!</v>
      </c>
      <c r="BL56" s="81" t="s">
        <v>382</v>
      </c>
      <c r="BM56" s="45"/>
      <c r="BN56" s="45" t="s">
        <v>161</v>
      </c>
      <c r="BO56" s="45" t="e">
        <f>IF('2.Current_Trash'!$V$8=2, INDEX('9.CustomRates'!$D$17:$L$30, MATCH('2.Current_Trash'!K11, '9.CustomRates'!$D$17:$D$30, 0), MATCH('2.Current_Trash'!K14, '9.CustomRates'!$D$17:$L$17, 0))*'2.Current_Trash'!K12*12, 0)</f>
        <v>#N/A</v>
      </c>
      <c r="BP56" s="45"/>
      <c r="BQ56" s="45"/>
      <c r="BR56" s="45"/>
      <c r="BS56" s="67"/>
    </row>
    <row r="57" spans="3:71" ht="16.5" customHeight="1" x14ac:dyDescent="0.25">
      <c r="D57" s="1128" t="s">
        <v>371</v>
      </c>
      <c r="E57" s="1129"/>
      <c r="F57" s="434">
        <v>1</v>
      </c>
      <c r="G57" s="434">
        <v>2</v>
      </c>
      <c r="H57" s="434">
        <v>3</v>
      </c>
      <c r="I57" s="434">
        <v>4</v>
      </c>
      <c r="J57" s="434">
        <v>5</v>
      </c>
      <c r="K57" s="434">
        <v>6</v>
      </c>
      <c r="L57" s="434">
        <v>7</v>
      </c>
      <c r="Q57" s="81">
        <v>5</v>
      </c>
      <c r="R57" s="45">
        <v>2</v>
      </c>
      <c r="S57" s="45" t="s">
        <v>475</v>
      </c>
      <c r="T57" s="438">
        <f>IF(S57="Cu. Yards", Q57*R57*52, Q57*R57*#REF!/#REF!)</f>
        <v>520</v>
      </c>
      <c r="U57" s="439" t="str">
        <f t="shared" si="34"/>
        <v>NA</v>
      </c>
      <c r="V57" s="129" t="str">
        <f t="shared" si="5"/>
        <v>NA</v>
      </c>
      <c r="W57" s="439">
        <f>IF(V57="NA",1000000,ABS('2.Current_Trash'!$K$29-'9.CustomRates'!V57))</f>
        <v>1000000</v>
      </c>
      <c r="X57" s="520">
        <f t="shared" si="6"/>
        <v>1</v>
      </c>
      <c r="Y57" s="438">
        <f t="shared" si="30"/>
        <v>0</v>
      </c>
      <c r="Z57" s="81" t="e">
        <f t="shared" si="7"/>
        <v>#N/A</v>
      </c>
      <c r="AA57" s="445" t="e">
        <f t="shared" si="8"/>
        <v>#N/A</v>
      </c>
      <c r="AB57" s="67" t="e">
        <f t="shared" si="9"/>
        <v>#N/A</v>
      </c>
      <c r="AC57" s="447" t="str">
        <f t="shared" si="10"/>
        <v>NA</v>
      </c>
      <c r="AD57" s="67">
        <f t="shared" si="11"/>
        <v>0</v>
      </c>
      <c r="AE57" s="81" t="e">
        <f t="shared" si="31"/>
        <v>#REF!</v>
      </c>
      <c r="AF57" s="45" t="e">
        <f t="shared" si="12"/>
        <v>#REF!</v>
      </c>
      <c r="AG57" s="67" t="e">
        <f t="shared" si="13"/>
        <v>#REF!</v>
      </c>
      <c r="AI57" s="81">
        <v>5</v>
      </c>
      <c r="AJ57" s="45">
        <v>2</v>
      </c>
      <c r="AK57" s="45" t="s">
        <v>378</v>
      </c>
      <c r="AL57" s="438">
        <f>IF(AK57="CY", AI57*AJ57*52, AI57*AJ57*#REF!/#REF!)</f>
        <v>520</v>
      </c>
      <c r="AM57" s="439" t="str">
        <f t="shared" si="14"/>
        <v>NA</v>
      </c>
      <c r="AN57" s="129" t="str">
        <f t="shared" si="15"/>
        <v>NA</v>
      </c>
      <c r="AO57" s="438">
        <f t="shared" si="16"/>
        <v>0</v>
      </c>
      <c r="AP57" s="81" t="e">
        <f t="shared" si="17"/>
        <v>#N/A</v>
      </c>
      <c r="AQ57" s="445" t="e">
        <f t="shared" si="18"/>
        <v>#N/A</v>
      </c>
      <c r="AR57" s="67" t="e">
        <f t="shared" si="19"/>
        <v>#N/A</v>
      </c>
      <c r="AS57" s="81" t="e">
        <f t="shared" si="32"/>
        <v>#VALUE!</v>
      </c>
      <c r="AT57" s="45" t="e">
        <f t="shared" si="20"/>
        <v>#VALUE!</v>
      </c>
      <c r="AU57" s="67" t="e">
        <f t="shared" si="21"/>
        <v>#VALUE!</v>
      </c>
      <c r="AW57" s="81">
        <v>5</v>
      </c>
      <c r="AX57" s="45">
        <v>2</v>
      </c>
      <c r="AY57" s="45" t="s">
        <v>475</v>
      </c>
      <c r="AZ57" s="438">
        <f>IF(AY57="Cu. Yards", AW57*AX57*52, AW57*AX57*#REF!/#REF!)</f>
        <v>520</v>
      </c>
      <c r="BA57" s="439" t="str">
        <f t="shared" si="22"/>
        <v>NA</v>
      </c>
      <c r="BB57" s="129" t="str">
        <f t="shared" si="23"/>
        <v>NA</v>
      </c>
      <c r="BC57" s="438">
        <f t="shared" si="24"/>
        <v>0</v>
      </c>
      <c r="BD57" s="81" t="e">
        <f t="shared" si="25"/>
        <v>#REF!</v>
      </c>
      <c r="BE57" s="445" t="e">
        <f t="shared" si="26"/>
        <v>#REF!</v>
      </c>
      <c r="BF57" s="67" t="e">
        <f t="shared" si="27"/>
        <v>#REF!</v>
      </c>
      <c r="BG57" s="45" t="e">
        <f t="shared" si="33"/>
        <v>#REF!</v>
      </c>
      <c r="BH57" s="45" t="e">
        <f t="shared" si="28"/>
        <v>#REF!</v>
      </c>
      <c r="BI57" s="67" t="e">
        <f t="shared" si="29"/>
        <v>#REF!</v>
      </c>
      <c r="BL57" s="81"/>
      <c r="BM57" s="45"/>
      <c r="BN57" s="45" t="s">
        <v>162</v>
      </c>
      <c r="BO57" s="45" t="e">
        <f>IF('2.Current_Trash'!$V$8=2, INDEX('9.CustomRates'!$D$17:$L$30, MATCH('2.Current_Trash'!$D$71, '9.CustomRates'!$D$17:$D$30, 0), MATCH('2.Current_Trash'!$D$74, '9.CustomRates'!$D$17:$L$17, 0))*'2.Current_Trash'!$D$72*12, 0)</f>
        <v>#N/A</v>
      </c>
      <c r="BP57" s="45"/>
      <c r="BQ57" s="45"/>
      <c r="BR57" s="45"/>
      <c r="BS57" s="67"/>
    </row>
    <row r="58" spans="3:71" ht="16.5" customHeight="1" x14ac:dyDescent="0.25">
      <c r="D58" s="436">
        <v>32</v>
      </c>
      <c r="E58" s="435" t="s">
        <v>377</v>
      </c>
      <c r="F58" s="471" t="s">
        <v>486</v>
      </c>
      <c r="G58" s="471" t="s">
        <v>486</v>
      </c>
      <c r="H58" s="471" t="s">
        <v>486</v>
      </c>
      <c r="I58" s="471" t="s">
        <v>486</v>
      </c>
      <c r="J58" s="471" t="s">
        <v>486</v>
      </c>
      <c r="K58" s="471" t="s">
        <v>486</v>
      </c>
      <c r="L58" s="471" t="s">
        <v>486</v>
      </c>
      <c r="Q58" s="81">
        <v>6</v>
      </c>
      <c r="R58" s="45">
        <v>2</v>
      </c>
      <c r="S58" s="45" t="s">
        <v>475</v>
      </c>
      <c r="T58" s="438">
        <f>IF(S58="Cu. Yards", Q58*R58*52, Q58*R58*#REF!/#REF!)</f>
        <v>624</v>
      </c>
      <c r="U58" s="439" t="str">
        <f t="shared" si="34"/>
        <v>NA</v>
      </c>
      <c r="V58" s="129" t="str">
        <f t="shared" si="5"/>
        <v>NA</v>
      </c>
      <c r="W58" s="439">
        <f>IF(V58="NA",1000000,ABS('2.Current_Trash'!$K$29-'9.CustomRates'!V58))</f>
        <v>1000000</v>
      </c>
      <c r="X58" s="520">
        <f t="shared" si="6"/>
        <v>1</v>
      </c>
      <c r="Y58" s="438">
        <f t="shared" si="30"/>
        <v>0</v>
      </c>
      <c r="Z58" s="81" t="e">
        <f t="shared" si="7"/>
        <v>#N/A</v>
      </c>
      <c r="AA58" s="445" t="e">
        <f t="shared" si="8"/>
        <v>#N/A</v>
      </c>
      <c r="AB58" s="67" t="e">
        <f t="shared" si="9"/>
        <v>#N/A</v>
      </c>
      <c r="AC58" s="447" t="str">
        <f t="shared" si="10"/>
        <v>NA</v>
      </c>
      <c r="AD58" s="67">
        <f t="shared" si="11"/>
        <v>0</v>
      </c>
      <c r="AE58" s="81" t="e">
        <f t="shared" si="31"/>
        <v>#REF!</v>
      </c>
      <c r="AF58" s="45" t="e">
        <f t="shared" si="12"/>
        <v>#REF!</v>
      </c>
      <c r="AG58" s="67" t="e">
        <f t="shared" si="13"/>
        <v>#REF!</v>
      </c>
      <c r="AI58" s="81">
        <v>6</v>
      </c>
      <c r="AJ58" s="45">
        <v>2</v>
      </c>
      <c r="AK58" s="45" t="s">
        <v>378</v>
      </c>
      <c r="AL58" s="438">
        <f>IF(AK58="CY", AI58*AJ58*52, AI58*AJ58*#REF!/#REF!)</f>
        <v>624</v>
      </c>
      <c r="AM58" s="439" t="str">
        <f t="shared" si="14"/>
        <v>NA</v>
      </c>
      <c r="AN58" s="129" t="str">
        <f t="shared" si="15"/>
        <v>NA</v>
      </c>
      <c r="AO58" s="438">
        <f t="shared" si="16"/>
        <v>0</v>
      </c>
      <c r="AP58" s="81" t="e">
        <f t="shared" si="17"/>
        <v>#N/A</v>
      </c>
      <c r="AQ58" s="445" t="e">
        <f t="shared" si="18"/>
        <v>#N/A</v>
      </c>
      <c r="AR58" s="67" t="e">
        <f t="shared" si="19"/>
        <v>#N/A</v>
      </c>
      <c r="AS58" s="81" t="e">
        <f t="shared" si="32"/>
        <v>#VALUE!</v>
      </c>
      <c r="AT58" s="45" t="e">
        <f t="shared" si="20"/>
        <v>#VALUE!</v>
      </c>
      <c r="AU58" s="67" t="e">
        <f t="shared" si="21"/>
        <v>#VALUE!</v>
      </c>
      <c r="AW58" s="81">
        <v>6</v>
      </c>
      <c r="AX58" s="45">
        <v>2</v>
      </c>
      <c r="AY58" s="45" t="s">
        <v>475</v>
      </c>
      <c r="AZ58" s="438">
        <f>IF(AY58="Cu. Yards", AW58*AX58*52, AW58*AX58*#REF!/#REF!)</f>
        <v>624</v>
      </c>
      <c r="BA58" s="439" t="str">
        <f t="shared" si="22"/>
        <v>NA</v>
      </c>
      <c r="BB58" s="129" t="str">
        <f t="shared" si="23"/>
        <v>NA</v>
      </c>
      <c r="BC58" s="438">
        <f t="shared" si="24"/>
        <v>0</v>
      </c>
      <c r="BD58" s="81" t="e">
        <f t="shared" si="25"/>
        <v>#REF!</v>
      </c>
      <c r="BE58" s="445" t="e">
        <f t="shared" si="26"/>
        <v>#REF!</v>
      </c>
      <c r="BF58" s="67" t="e">
        <f t="shared" si="27"/>
        <v>#REF!</v>
      </c>
      <c r="BG58" s="45" t="e">
        <f t="shared" si="33"/>
        <v>#REF!</v>
      </c>
      <c r="BH58" s="45" t="e">
        <f t="shared" si="28"/>
        <v>#REF!</v>
      </c>
      <c r="BI58" s="67" t="e">
        <f t="shared" si="29"/>
        <v>#REF!</v>
      </c>
      <c r="BL58" s="81"/>
      <c r="BM58" s="45"/>
      <c r="BN58" s="45" t="s">
        <v>163</v>
      </c>
      <c r="BO58" s="45" t="e">
        <f>IF('2.Current_Trash'!$V$8=2, INDEX('9.CustomRates'!$D$17:$M$30, MATCH('2.Current_Trash'!$F$71, '9.CustomRates'!$D$17:$D$30, 0), MATCH('2.Current_Trash'!$F$74, '9.CustomRates'!$D$17:$M$17, 0))*'2.Current_Trash'!$F$72*12, 0)</f>
        <v>#N/A</v>
      </c>
      <c r="BP58" s="45"/>
      <c r="BQ58" s="45"/>
      <c r="BR58" s="45"/>
      <c r="BS58" s="67"/>
    </row>
    <row r="59" spans="3:71" ht="16.5" customHeight="1" x14ac:dyDescent="0.25">
      <c r="D59" s="436">
        <v>64</v>
      </c>
      <c r="E59" s="435" t="s">
        <v>377</v>
      </c>
      <c r="F59" s="471" t="s">
        <v>486</v>
      </c>
      <c r="G59" s="471" t="s">
        <v>486</v>
      </c>
      <c r="H59" s="471" t="s">
        <v>486</v>
      </c>
      <c r="I59" s="471" t="s">
        <v>486</v>
      </c>
      <c r="J59" s="471" t="s">
        <v>486</v>
      </c>
      <c r="K59" s="471" t="s">
        <v>486</v>
      </c>
      <c r="L59" s="471" t="s">
        <v>486</v>
      </c>
      <c r="Q59" s="81">
        <v>7</v>
      </c>
      <c r="R59" s="45">
        <v>2</v>
      </c>
      <c r="S59" s="45" t="s">
        <v>475</v>
      </c>
      <c r="T59" s="438">
        <f>IF(S59="Cu. Yards", Q59*R59*52, Q59*R59*#REF!/#REF!)</f>
        <v>728</v>
      </c>
      <c r="U59" s="439" t="str">
        <f t="shared" si="34"/>
        <v>NA</v>
      </c>
      <c r="V59" s="129" t="str">
        <f t="shared" si="5"/>
        <v>NA</v>
      </c>
      <c r="W59" s="439">
        <f>IF(V59="NA",1000000,ABS('2.Current_Trash'!$K$29-'9.CustomRates'!V59))</f>
        <v>1000000</v>
      </c>
      <c r="X59" s="520">
        <f t="shared" si="6"/>
        <v>1</v>
      </c>
      <c r="Y59" s="438">
        <f t="shared" si="30"/>
        <v>0</v>
      </c>
      <c r="Z59" s="81" t="e">
        <f t="shared" si="7"/>
        <v>#N/A</v>
      </c>
      <c r="AA59" s="445" t="e">
        <f t="shared" si="8"/>
        <v>#N/A</v>
      </c>
      <c r="AB59" s="67" t="e">
        <f t="shared" si="9"/>
        <v>#N/A</v>
      </c>
      <c r="AC59" s="447" t="str">
        <f t="shared" si="10"/>
        <v>NA</v>
      </c>
      <c r="AD59" s="67">
        <f t="shared" si="11"/>
        <v>0</v>
      </c>
      <c r="AE59" s="81" t="e">
        <f t="shared" si="31"/>
        <v>#REF!</v>
      </c>
      <c r="AF59" s="45" t="e">
        <f t="shared" si="12"/>
        <v>#REF!</v>
      </c>
      <c r="AG59" s="67" t="e">
        <f t="shared" si="13"/>
        <v>#REF!</v>
      </c>
      <c r="AI59" s="81">
        <v>7</v>
      </c>
      <c r="AJ59" s="45">
        <v>2</v>
      </c>
      <c r="AK59" s="45" t="s">
        <v>378</v>
      </c>
      <c r="AL59" s="438">
        <f>IF(AK59="CY", AI59*AJ59*52, AI59*AJ59*#REF!/#REF!)</f>
        <v>728</v>
      </c>
      <c r="AM59" s="439" t="str">
        <f t="shared" si="14"/>
        <v>NA</v>
      </c>
      <c r="AN59" s="129" t="str">
        <f t="shared" si="15"/>
        <v>NA</v>
      </c>
      <c r="AO59" s="438">
        <f t="shared" si="16"/>
        <v>0</v>
      </c>
      <c r="AP59" s="81" t="e">
        <f t="shared" si="17"/>
        <v>#N/A</v>
      </c>
      <c r="AQ59" s="445" t="e">
        <f t="shared" si="18"/>
        <v>#N/A</v>
      </c>
      <c r="AR59" s="67" t="e">
        <f t="shared" si="19"/>
        <v>#N/A</v>
      </c>
      <c r="AS59" s="81" t="e">
        <f t="shared" si="32"/>
        <v>#VALUE!</v>
      </c>
      <c r="AT59" s="45" t="e">
        <f t="shared" si="20"/>
        <v>#VALUE!</v>
      </c>
      <c r="AU59" s="67" t="e">
        <f t="shared" si="21"/>
        <v>#VALUE!</v>
      </c>
      <c r="AW59" s="81">
        <v>7</v>
      </c>
      <c r="AX59" s="45">
        <v>2</v>
      </c>
      <c r="AY59" s="45" t="s">
        <v>475</v>
      </c>
      <c r="AZ59" s="438">
        <f>IF(AY59="Cu. Yards", AW59*AX59*52, AW59*AX59*#REF!/#REF!)</f>
        <v>728</v>
      </c>
      <c r="BA59" s="439" t="str">
        <f t="shared" si="22"/>
        <v>NA</v>
      </c>
      <c r="BB59" s="129" t="str">
        <f t="shared" si="23"/>
        <v>NA</v>
      </c>
      <c r="BC59" s="438">
        <f t="shared" si="24"/>
        <v>0</v>
      </c>
      <c r="BD59" s="81" t="e">
        <f t="shared" si="25"/>
        <v>#REF!</v>
      </c>
      <c r="BE59" s="445" t="e">
        <f t="shared" si="26"/>
        <v>#REF!</v>
      </c>
      <c r="BF59" s="67" t="e">
        <f t="shared" si="27"/>
        <v>#REF!</v>
      </c>
      <c r="BG59" s="45" t="e">
        <f t="shared" si="33"/>
        <v>#REF!</v>
      </c>
      <c r="BH59" s="45" t="e">
        <f t="shared" si="28"/>
        <v>#REF!</v>
      </c>
      <c r="BI59" s="67" t="e">
        <f t="shared" si="29"/>
        <v>#REF!</v>
      </c>
      <c r="BL59" s="81"/>
      <c r="BM59" s="45"/>
      <c r="BN59" s="45" t="s">
        <v>164</v>
      </c>
      <c r="BO59" s="45" t="e">
        <f>IF('2.Current_Trash'!$V$8=2, INDEX('9.CustomRates'!$D$17:$L$30, MATCH('2.Current_Trash'!$J$71, '9.CustomRates'!$D$17:$D$30, 0), MATCH('2.Current_Trash'!$J$74, '9.CustomRates'!$D$17:$L$17, 0))*'2.Current_Trash'!$J$72*12, 0)</f>
        <v>#N/A</v>
      </c>
      <c r="BP59" s="45"/>
      <c r="BQ59" s="45"/>
      <c r="BR59" s="45"/>
      <c r="BS59" s="67"/>
    </row>
    <row r="60" spans="3:71" ht="16.5" customHeight="1" x14ac:dyDescent="0.25">
      <c r="D60" s="436">
        <v>96</v>
      </c>
      <c r="E60" s="435" t="s">
        <v>377</v>
      </c>
      <c r="F60" s="471" t="s">
        <v>486</v>
      </c>
      <c r="G60" s="471" t="s">
        <v>486</v>
      </c>
      <c r="H60" s="471" t="s">
        <v>486</v>
      </c>
      <c r="I60" s="471" t="s">
        <v>486</v>
      </c>
      <c r="J60" s="471" t="s">
        <v>486</v>
      </c>
      <c r="K60" s="471" t="s">
        <v>486</v>
      </c>
      <c r="L60" s="471" t="s">
        <v>486</v>
      </c>
      <c r="Q60" s="81">
        <v>1</v>
      </c>
      <c r="R60" s="45">
        <v>3</v>
      </c>
      <c r="S60" s="45" t="s">
        <v>475</v>
      </c>
      <c r="T60" s="438">
        <f>IF(S60="Cu. Yards", Q60*R60*52, Q60*R60*#REF!/#REF!)</f>
        <v>156</v>
      </c>
      <c r="U60" s="439" t="str">
        <f t="shared" si="34"/>
        <v>NA</v>
      </c>
      <c r="V60" s="129" t="str">
        <f t="shared" si="5"/>
        <v>NA</v>
      </c>
      <c r="W60" s="439">
        <f>IF(V60="NA",1000000,ABS('2.Current_Trash'!$K$29-'9.CustomRates'!V60))</f>
        <v>1000000</v>
      </c>
      <c r="X60" s="520">
        <f t="shared" si="6"/>
        <v>1</v>
      </c>
      <c r="Y60" s="438">
        <f t="shared" si="30"/>
        <v>0</v>
      </c>
      <c r="Z60" s="81" t="e">
        <f t="shared" si="7"/>
        <v>#N/A</v>
      </c>
      <c r="AA60" s="445" t="e">
        <f t="shared" si="8"/>
        <v>#N/A</v>
      </c>
      <c r="AB60" s="67" t="e">
        <f t="shared" si="9"/>
        <v>#N/A</v>
      </c>
      <c r="AC60" s="447" t="str">
        <f t="shared" si="10"/>
        <v>NA</v>
      </c>
      <c r="AD60" s="67">
        <f t="shared" si="11"/>
        <v>0</v>
      </c>
      <c r="AE60" s="81" t="e">
        <f t="shared" si="31"/>
        <v>#REF!</v>
      </c>
      <c r="AF60" s="45" t="e">
        <f t="shared" si="12"/>
        <v>#REF!</v>
      </c>
      <c r="AG60" s="67" t="e">
        <f t="shared" si="13"/>
        <v>#REF!</v>
      </c>
      <c r="AI60" s="81">
        <v>1</v>
      </c>
      <c r="AJ60" s="45">
        <v>3</v>
      </c>
      <c r="AK60" s="45" t="s">
        <v>378</v>
      </c>
      <c r="AL60" s="438">
        <f>IF(AK60="CY", AI60*AJ60*52, AI60*AJ60*#REF!/#REF!)</f>
        <v>156</v>
      </c>
      <c r="AM60" s="439" t="str">
        <f t="shared" si="14"/>
        <v>NA</v>
      </c>
      <c r="AN60" s="129" t="str">
        <f t="shared" si="15"/>
        <v>NA</v>
      </c>
      <c r="AO60" s="438">
        <f t="shared" si="16"/>
        <v>0</v>
      </c>
      <c r="AP60" s="81" t="e">
        <f t="shared" si="17"/>
        <v>#N/A</v>
      </c>
      <c r="AQ60" s="445" t="e">
        <f t="shared" si="18"/>
        <v>#N/A</v>
      </c>
      <c r="AR60" s="67" t="e">
        <f t="shared" si="19"/>
        <v>#N/A</v>
      </c>
      <c r="AS60" s="81" t="e">
        <f t="shared" si="32"/>
        <v>#VALUE!</v>
      </c>
      <c r="AT60" s="45" t="e">
        <f t="shared" si="20"/>
        <v>#VALUE!</v>
      </c>
      <c r="AU60" s="67" t="e">
        <f t="shared" si="21"/>
        <v>#VALUE!</v>
      </c>
      <c r="AW60" s="81">
        <v>1</v>
      </c>
      <c r="AX60" s="45">
        <v>3</v>
      </c>
      <c r="AY60" s="45" t="s">
        <v>475</v>
      </c>
      <c r="AZ60" s="438">
        <f>IF(AY60="Cu. Yards", AW60*AX60*52, AW60*AX60*#REF!/#REF!)</f>
        <v>156</v>
      </c>
      <c r="BA60" s="439" t="str">
        <f t="shared" si="22"/>
        <v>NA</v>
      </c>
      <c r="BB60" s="129" t="str">
        <f t="shared" si="23"/>
        <v>NA</v>
      </c>
      <c r="BC60" s="438">
        <f t="shared" si="24"/>
        <v>0</v>
      </c>
      <c r="BD60" s="81" t="e">
        <f t="shared" si="25"/>
        <v>#REF!</v>
      </c>
      <c r="BE60" s="445" t="e">
        <f t="shared" si="26"/>
        <v>#REF!</v>
      </c>
      <c r="BF60" s="67" t="e">
        <f t="shared" si="27"/>
        <v>#REF!</v>
      </c>
      <c r="BG60" s="45" t="e">
        <f t="shared" si="33"/>
        <v>#REF!</v>
      </c>
      <c r="BH60" s="45" t="e">
        <f t="shared" si="28"/>
        <v>#REF!</v>
      </c>
      <c r="BI60" s="67" t="e">
        <f t="shared" si="29"/>
        <v>#REF!</v>
      </c>
      <c r="BL60" s="81"/>
      <c r="BM60" s="45"/>
      <c r="BN60" s="45" t="s">
        <v>165</v>
      </c>
      <c r="BO60" s="45" t="e">
        <f>IF('2.Current_Trash'!$V$8=2, INDEX('9.CustomRates'!$D$17:$L$30, MATCH('2.Current_Trash'!$L$71, '9.CustomRates'!$D$17:$D$30, 0), MATCH('2.Current_Trash'!$L$74, '9.CustomRates'!$D$17:$L$17, 0))*'2.Current_Trash'!$L$72*12, 0)</f>
        <v>#N/A</v>
      </c>
      <c r="BP60" s="45"/>
      <c r="BQ60" s="45"/>
      <c r="BR60" s="45"/>
      <c r="BS60" s="67"/>
    </row>
    <row r="61" spans="3:71" ht="16.5" customHeight="1" x14ac:dyDescent="0.25">
      <c r="D61" s="436">
        <v>1</v>
      </c>
      <c r="E61" s="435" t="s">
        <v>475</v>
      </c>
      <c r="F61" s="471" t="s">
        <v>486</v>
      </c>
      <c r="G61" s="471" t="s">
        <v>486</v>
      </c>
      <c r="H61" s="471" t="s">
        <v>486</v>
      </c>
      <c r="I61" s="471" t="s">
        <v>486</v>
      </c>
      <c r="J61" s="471" t="s">
        <v>486</v>
      </c>
      <c r="K61" s="471" t="s">
        <v>486</v>
      </c>
      <c r="L61" s="471" t="s">
        <v>486</v>
      </c>
      <c r="Q61" s="81">
        <v>2</v>
      </c>
      <c r="R61" s="45">
        <v>3</v>
      </c>
      <c r="S61" s="45" t="s">
        <v>475</v>
      </c>
      <c r="T61" s="438">
        <f>IF(S61="Cu. Yards", Q61*R61*52, Q61*R61*#REF!/#REF!)</f>
        <v>312</v>
      </c>
      <c r="U61" s="439" t="str">
        <f t="shared" si="34"/>
        <v>NA</v>
      </c>
      <c r="V61" s="129" t="str">
        <f t="shared" si="5"/>
        <v>NA</v>
      </c>
      <c r="W61" s="439">
        <f>IF(V61="NA",1000000,ABS('2.Current_Trash'!$K$29-'9.CustomRates'!V61))</f>
        <v>1000000</v>
      </c>
      <c r="X61" s="520">
        <f t="shared" si="6"/>
        <v>1</v>
      </c>
      <c r="Y61" s="438">
        <f t="shared" si="30"/>
        <v>0</v>
      </c>
      <c r="Z61" s="81" t="e">
        <f t="shared" si="7"/>
        <v>#N/A</v>
      </c>
      <c r="AA61" s="445" t="e">
        <f t="shared" si="8"/>
        <v>#N/A</v>
      </c>
      <c r="AB61" s="67" t="e">
        <f t="shared" si="9"/>
        <v>#N/A</v>
      </c>
      <c r="AC61" s="447" t="str">
        <f t="shared" si="10"/>
        <v>NA</v>
      </c>
      <c r="AD61" s="67">
        <f t="shared" si="11"/>
        <v>0</v>
      </c>
      <c r="AE61" s="81" t="e">
        <f t="shared" si="31"/>
        <v>#REF!</v>
      </c>
      <c r="AF61" s="45" t="e">
        <f t="shared" si="12"/>
        <v>#REF!</v>
      </c>
      <c r="AG61" s="67" t="e">
        <f t="shared" si="13"/>
        <v>#REF!</v>
      </c>
      <c r="AI61" s="81">
        <v>2</v>
      </c>
      <c r="AJ61" s="45">
        <v>3</v>
      </c>
      <c r="AK61" s="45" t="s">
        <v>378</v>
      </c>
      <c r="AL61" s="438">
        <f>IF(AK61="CY", AI61*AJ61*52, AI61*AJ61*#REF!/#REF!)</f>
        <v>312</v>
      </c>
      <c r="AM61" s="439" t="str">
        <f t="shared" si="14"/>
        <v>NA</v>
      </c>
      <c r="AN61" s="129" t="str">
        <f t="shared" si="15"/>
        <v>NA</v>
      </c>
      <c r="AO61" s="438">
        <f t="shared" si="16"/>
        <v>0</v>
      </c>
      <c r="AP61" s="81" t="e">
        <f t="shared" si="17"/>
        <v>#N/A</v>
      </c>
      <c r="AQ61" s="445" t="e">
        <f t="shared" si="18"/>
        <v>#N/A</v>
      </c>
      <c r="AR61" s="67" t="e">
        <f t="shared" si="19"/>
        <v>#N/A</v>
      </c>
      <c r="AS61" s="81" t="e">
        <f t="shared" si="32"/>
        <v>#VALUE!</v>
      </c>
      <c r="AT61" s="45" t="e">
        <f t="shared" si="20"/>
        <v>#VALUE!</v>
      </c>
      <c r="AU61" s="67" t="e">
        <f t="shared" si="21"/>
        <v>#VALUE!</v>
      </c>
      <c r="AW61" s="81">
        <v>2</v>
      </c>
      <c r="AX61" s="45">
        <v>3</v>
      </c>
      <c r="AY61" s="45" t="s">
        <v>475</v>
      </c>
      <c r="AZ61" s="438">
        <f>IF(AY61="Cu. Yards", AW61*AX61*52, AW61*AX61*#REF!/#REF!)</f>
        <v>312</v>
      </c>
      <c r="BA61" s="439" t="str">
        <f t="shared" si="22"/>
        <v>NA</v>
      </c>
      <c r="BB61" s="129" t="str">
        <f t="shared" si="23"/>
        <v>NA</v>
      </c>
      <c r="BC61" s="438">
        <f t="shared" si="24"/>
        <v>0</v>
      </c>
      <c r="BD61" s="81" t="e">
        <f t="shared" si="25"/>
        <v>#REF!</v>
      </c>
      <c r="BE61" s="445" t="e">
        <f t="shared" si="26"/>
        <v>#REF!</v>
      </c>
      <c r="BF61" s="67" t="e">
        <f t="shared" si="27"/>
        <v>#REF!</v>
      </c>
      <c r="BG61" s="45" t="e">
        <f t="shared" si="33"/>
        <v>#REF!</v>
      </c>
      <c r="BH61" s="45" t="e">
        <f t="shared" si="28"/>
        <v>#REF!</v>
      </c>
      <c r="BI61" s="67" t="e">
        <f t="shared" si="29"/>
        <v>#REF!</v>
      </c>
      <c r="BL61" s="81"/>
      <c r="BM61" s="45"/>
      <c r="BN61" s="45" t="s">
        <v>363</v>
      </c>
      <c r="BO61" s="45" t="e">
        <f>IF('2.Current_Trash'!$V$8=2, INDEX('9.CustomRates'!$D$17:$L$30, MATCH('2.Current_Trash'!$N$71, '9.CustomRates'!$D$17:$D$30, 0), MATCH('2.Current_Trash'!$N$74, '9.CustomRates'!$D$17:$L$17, 0))*'2.Current_Trash'!$N$72*12, 0)</f>
        <v>#N/A</v>
      </c>
      <c r="BP61" s="45"/>
      <c r="BQ61" s="45"/>
      <c r="BR61" s="45"/>
      <c r="BS61" s="67"/>
    </row>
    <row r="62" spans="3:71" ht="16.5" customHeight="1" x14ac:dyDescent="0.25">
      <c r="D62" s="436">
        <v>1.5</v>
      </c>
      <c r="E62" s="435" t="s">
        <v>475</v>
      </c>
      <c r="F62" s="471" t="s">
        <v>486</v>
      </c>
      <c r="G62" s="471" t="s">
        <v>486</v>
      </c>
      <c r="H62" s="471" t="s">
        <v>486</v>
      </c>
      <c r="I62" s="471" t="s">
        <v>486</v>
      </c>
      <c r="J62" s="471" t="s">
        <v>486</v>
      </c>
      <c r="K62" s="471" t="s">
        <v>486</v>
      </c>
      <c r="L62" s="471" t="s">
        <v>486</v>
      </c>
      <c r="Q62" s="81">
        <v>3</v>
      </c>
      <c r="R62" s="45">
        <v>3</v>
      </c>
      <c r="S62" s="45" t="s">
        <v>475</v>
      </c>
      <c r="T62" s="438">
        <f>IF(S62="Cu. Yards", Q62*R62*52, Q62*R62*#REF!/#REF!)</f>
        <v>468</v>
      </c>
      <c r="U62" s="439" t="str">
        <f t="shared" si="34"/>
        <v>NA</v>
      </c>
      <c r="V62" s="129" t="str">
        <f t="shared" si="5"/>
        <v>NA</v>
      </c>
      <c r="W62" s="439">
        <f>IF(V62="NA",1000000,ABS('2.Current_Trash'!$K$29-'9.CustomRates'!V62))</f>
        <v>1000000</v>
      </c>
      <c r="X62" s="520">
        <f t="shared" si="6"/>
        <v>1</v>
      </c>
      <c r="Y62" s="438">
        <f t="shared" si="30"/>
        <v>0</v>
      </c>
      <c r="Z62" s="81" t="e">
        <f t="shared" si="7"/>
        <v>#N/A</v>
      </c>
      <c r="AA62" s="445" t="e">
        <f t="shared" si="8"/>
        <v>#N/A</v>
      </c>
      <c r="AB62" s="67" t="e">
        <f t="shared" si="9"/>
        <v>#N/A</v>
      </c>
      <c r="AC62" s="447" t="str">
        <f t="shared" si="10"/>
        <v>NA</v>
      </c>
      <c r="AD62" s="67">
        <f t="shared" si="11"/>
        <v>0</v>
      </c>
      <c r="AE62" s="81" t="e">
        <f t="shared" si="31"/>
        <v>#REF!</v>
      </c>
      <c r="AF62" s="45" t="e">
        <f t="shared" si="12"/>
        <v>#REF!</v>
      </c>
      <c r="AG62" s="67" t="e">
        <f t="shared" si="13"/>
        <v>#REF!</v>
      </c>
      <c r="AI62" s="81">
        <v>3</v>
      </c>
      <c r="AJ62" s="45">
        <v>3</v>
      </c>
      <c r="AK62" s="45" t="s">
        <v>378</v>
      </c>
      <c r="AL62" s="438">
        <f>IF(AK62="CY", AI62*AJ62*52, AI62*AJ62*#REF!/#REF!)</f>
        <v>468</v>
      </c>
      <c r="AM62" s="439" t="str">
        <f t="shared" si="14"/>
        <v>NA</v>
      </c>
      <c r="AN62" s="129" t="str">
        <f t="shared" si="15"/>
        <v>NA</v>
      </c>
      <c r="AO62" s="438">
        <f t="shared" si="16"/>
        <v>0</v>
      </c>
      <c r="AP62" s="81" t="e">
        <f t="shared" si="17"/>
        <v>#N/A</v>
      </c>
      <c r="AQ62" s="445" t="e">
        <f t="shared" si="18"/>
        <v>#N/A</v>
      </c>
      <c r="AR62" s="67" t="e">
        <f t="shared" si="19"/>
        <v>#N/A</v>
      </c>
      <c r="AS62" s="81" t="e">
        <f t="shared" si="32"/>
        <v>#VALUE!</v>
      </c>
      <c r="AT62" s="45" t="e">
        <f t="shared" si="20"/>
        <v>#VALUE!</v>
      </c>
      <c r="AU62" s="67" t="e">
        <f t="shared" si="21"/>
        <v>#VALUE!</v>
      </c>
      <c r="AW62" s="81">
        <v>3</v>
      </c>
      <c r="AX62" s="45">
        <v>3</v>
      </c>
      <c r="AY62" s="45" t="s">
        <v>475</v>
      </c>
      <c r="AZ62" s="438">
        <f>IF(AY62="Cu. Yards", AW62*AX62*52, AW62*AX62*#REF!/#REF!)</f>
        <v>468</v>
      </c>
      <c r="BA62" s="439" t="str">
        <f t="shared" si="22"/>
        <v>NA</v>
      </c>
      <c r="BB62" s="129" t="str">
        <f t="shared" si="23"/>
        <v>NA</v>
      </c>
      <c r="BC62" s="438">
        <f t="shared" si="24"/>
        <v>0</v>
      </c>
      <c r="BD62" s="81" t="e">
        <f t="shared" si="25"/>
        <v>#REF!</v>
      </c>
      <c r="BE62" s="445" t="e">
        <f t="shared" si="26"/>
        <v>#REF!</v>
      </c>
      <c r="BF62" s="67" t="e">
        <f t="shared" si="27"/>
        <v>#REF!</v>
      </c>
      <c r="BG62" s="45" t="e">
        <f t="shared" si="33"/>
        <v>#REF!</v>
      </c>
      <c r="BH62" s="45" t="e">
        <f t="shared" si="28"/>
        <v>#REF!</v>
      </c>
      <c r="BI62" s="67" t="e">
        <f t="shared" si="29"/>
        <v>#REF!</v>
      </c>
      <c r="BL62" s="81"/>
      <c r="BM62" s="45"/>
      <c r="BN62" s="45"/>
      <c r="BO62" s="45"/>
      <c r="BP62" s="45"/>
      <c r="BQ62" s="45"/>
      <c r="BR62" s="45"/>
      <c r="BS62" s="67"/>
    </row>
    <row r="63" spans="3:71" ht="16.5" customHeight="1" x14ac:dyDescent="0.25">
      <c r="D63" s="436">
        <v>2</v>
      </c>
      <c r="E63" s="435" t="s">
        <v>475</v>
      </c>
      <c r="F63" s="471" t="s">
        <v>486</v>
      </c>
      <c r="G63" s="471" t="s">
        <v>486</v>
      </c>
      <c r="H63" s="471" t="s">
        <v>486</v>
      </c>
      <c r="I63" s="471" t="s">
        <v>486</v>
      </c>
      <c r="J63" s="471" t="s">
        <v>486</v>
      </c>
      <c r="K63" s="471" t="s">
        <v>486</v>
      </c>
      <c r="L63" s="471" t="s">
        <v>486</v>
      </c>
      <c r="Q63" s="81">
        <v>4</v>
      </c>
      <c r="R63" s="45">
        <v>3</v>
      </c>
      <c r="S63" s="45" t="s">
        <v>475</v>
      </c>
      <c r="T63" s="438">
        <f>IF(S63="Cu. Yards", Q63*R63*52, Q63*R63*#REF!/#REF!)</f>
        <v>624</v>
      </c>
      <c r="U63" s="439" t="str">
        <f t="shared" si="34"/>
        <v>NA</v>
      </c>
      <c r="V63" s="129" t="str">
        <f t="shared" si="5"/>
        <v>NA</v>
      </c>
      <c r="W63" s="439">
        <f>IF(V63="NA",1000000,ABS('2.Current_Trash'!$K$29-'9.CustomRates'!V63))</f>
        <v>1000000</v>
      </c>
      <c r="X63" s="520">
        <f t="shared" si="6"/>
        <v>1</v>
      </c>
      <c r="Y63" s="438">
        <f t="shared" si="30"/>
        <v>0</v>
      </c>
      <c r="Z63" s="81" t="e">
        <f t="shared" si="7"/>
        <v>#N/A</v>
      </c>
      <c r="AA63" s="445" t="e">
        <f t="shared" si="8"/>
        <v>#N/A</v>
      </c>
      <c r="AB63" s="67" t="e">
        <f t="shared" si="9"/>
        <v>#N/A</v>
      </c>
      <c r="AC63" s="447" t="str">
        <f t="shared" si="10"/>
        <v>NA</v>
      </c>
      <c r="AD63" s="67">
        <f t="shared" si="11"/>
        <v>0</v>
      </c>
      <c r="AE63" s="81" t="e">
        <f t="shared" si="31"/>
        <v>#REF!</v>
      </c>
      <c r="AF63" s="45" t="e">
        <f t="shared" si="12"/>
        <v>#REF!</v>
      </c>
      <c r="AG63" s="67" t="e">
        <f t="shared" si="13"/>
        <v>#REF!</v>
      </c>
      <c r="AI63" s="81">
        <v>4</v>
      </c>
      <c r="AJ63" s="45">
        <v>3</v>
      </c>
      <c r="AK63" s="45" t="s">
        <v>378</v>
      </c>
      <c r="AL63" s="438">
        <f>IF(AK63="CY", AI63*AJ63*52, AI63*AJ63*#REF!/#REF!)</f>
        <v>624</v>
      </c>
      <c r="AM63" s="439" t="str">
        <f t="shared" si="14"/>
        <v>NA</v>
      </c>
      <c r="AN63" s="129" t="str">
        <f t="shared" si="15"/>
        <v>NA</v>
      </c>
      <c r="AO63" s="438">
        <f t="shared" si="16"/>
        <v>0</v>
      </c>
      <c r="AP63" s="81" t="e">
        <f t="shared" si="17"/>
        <v>#N/A</v>
      </c>
      <c r="AQ63" s="445" t="e">
        <f t="shared" si="18"/>
        <v>#N/A</v>
      </c>
      <c r="AR63" s="67" t="e">
        <f t="shared" si="19"/>
        <v>#N/A</v>
      </c>
      <c r="AS63" s="81" t="e">
        <f t="shared" si="32"/>
        <v>#VALUE!</v>
      </c>
      <c r="AT63" s="45" t="e">
        <f t="shared" si="20"/>
        <v>#VALUE!</v>
      </c>
      <c r="AU63" s="67" t="e">
        <f t="shared" si="21"/>
        <v>#VALUE!</v>
      </c>
      <c r="AW63" s="81">
        <v>4</v>
      </c>
      <c r="AX63" s="45">
        <v>3</v>
      </c>
      <c r="AY63" s="45" t="s">
        <v>475</v>
      </c>
      <c r="AZ63" s="438">
        <f>IF(AY63="Cu. Yards", AW63*AX63*52, AW63*AX63*#REF!/#REF!)</f>
        <v>624</v>
      </c>
      <c r="BA63" s="439" t="str">
        <f t="shared" si="22"/>
        <v>NA</v>
      </c>
      <c r="BB63" s="129" t="str">
        <f t="shared" si="23"/>
        <v>NA</v>
      </c>
      <c r="BC63" s="438">
        <f t="shared" si="24"/>
        <v>0</v>
      </c>
      <c r="BD63" s="81" t="e">
        <f t="shared" si="25"/>
        <v>#REF!</v>
      </c>
      <c r="BE63" s="445" t="e">
        <f t="shared" si="26"/>
        <v>#REF!</v>
      </c>
      <c r="BF63" s="67" t="e">
        <f t="shared" si="27"/>
        <v>#REF!</v>
      </c>
      <c r="BG63" s="45" t="e">
        <f t="shared" si="33"/>
        <v>#REF!</v>
      </c>
      <c r="BH63" s="45" t="e">
        <f t="shared" si="28"/>
        <v>#REF!</v>
      </c>
      <c r="BI63" s="67" t="e">
        <f t="shared" si="29"/>
        <v>#REF!</v>
      </c>
      <c r="BL63" s="81"/>
      <c r="BM63" s="45"/>
      <c r="BN63" s="45" t="s">
        <v>384</v>
      </c>
      <c r="BO63" s="220" t="s">
        <v>463</v>
      </c>
      <c r="BP63" s="45" t="s">
        <v>383</v>
      </c>
      <c r="BR63" s="45"/>
      <c r="BS63" s="67"/>
    </row>
    <row r="64" spans="3:71" ht="16.5" customHeight="1" x14ac:dyDescent="0.25">
      <c r="D64" s="436">
        <v>3</v>
      </c>
      <c r="E64" s="435" t="s">
        <v>475</v>
      </c>
      <c r="F64" s="471" t="s">
        <v>486</v>
      </c>
      <c r="G64" s="471" t="s">
        <v>486</v>
      </c>
      <c r="H64" s="471" t="s">
        <v>486</v>
      </c>
      <c r="I64" s="471" t="s">
        <v>486</v>
      </c>
      <c r="J64" s="471" t="s">
        <v>486</v>
      </c>
      <c r="K64" s="471" t="s">
        <v>486</v>
      </c>
      <c r="L64" s="471" t="s">
        <v>486</v>
      </c>
      <c r="Q64" s="81">
        <v>5</v>
      </c>
      <c r="R64" s="45">
        <v>3</v>
      </c>
      <c r="S64" s="45" t="s">
        <v>475</v>
      </c>
      <c r="T64" s="438">
        <f>IF(S64="Cu. Yards", Q64*R64*52, Q64*R64*#REF!/#REF!)</f>
        <v>780</v>
      </c>
      <c r="U64" s="439" t="str">
        <f t="shared" si="34"/>
        <v>NA</v>
      </c>
      <c r="V64" s="129" t="str">
        <f t="shared" si="5"/>
        <v>NA</v>
      </c>
      <c r="W64" s="439">
        <f>IF(V64="NA",1000000,ABS('2.Current_Trash'!$K$29-'9.CustomRates'!V64))</f>
        <v>1000000</v>
      </c>
      <c r="X64" s="520">
        <f t="shared" si="6"/>
        <v>1</v>
      </c>
      <c r="Y64" s="438">
        <f t="shared" si="30"/>
        <v>0</v>
      </c>
      <c r="Z64" s="81" t="e">
        <f t="shared" si="7"/>
        <v>#N/A</v>
      </c>
      <c r="AA64" s="445" t="e">
        <f t="shared" si="8"/>
        <v>#N/A</v>
      </c>
      <c r="AB64" s="67" t="e">
        <f t="shared" si="9"/>
        <v>#N/A</v>
      </c>
      <c r="AC64" s="447" t="str">
        <f t="shared" si="10"/>
        <v>NA</v>
      </c>
      <c r="AD64" s="67">
        <f t="shared" si="11"/>
        <v>0</v>
      </c>
      <c r="AE64" s="81" t="e">
        <f t="shared" si="31"/>
        <v>#REF!</v>
      </c>
      <c r="AF64" s="45" t="e">
        <f t="shared" si="12"/>
        <v>#REF!</v>
      </c>
      <c r="AG64" s="67" t="e">
        <f t="shared" si="13"/>
        <v>#REF!</v>
      </c>
      <c r="AI64" s="81">
        <v>5</v>
      </c>
      <c r="AJ64" s="45">
        <v>3</v>
      </c>
      <c r="AK64" s="45" t="s">
        <v>378</v>
      </c>
      <c r="AL64" s="438">
        <f>IF(AK64="CY", AI64*AJ64*52, AI64*AJ64*#REF!/#REF!)</f>
        <v>780</v>
      </c>
      <c r="AM64" s="439" t="str">
        <f t="shared" si="14"/>
        <v>NA</v>
      </c>
      <c r="AN64" s="129" t="str">
        <f t="shared" si="15"/>
        <v>NA</v>
      </c>
      <c r="AO64" s="438">
        <f t="shared" si="16"/>
        <v>0</v>
      </c>
      <c r="AP64" s="81" t="e">
        <f t="shared" si="17"/>
        <v>#N/A</v>
      </c>
      <c r="AQ64" s="445" t="e">
        <f t="shared" si="18"/>
        <v>#N/A</v>
      </c>
      <c r="AR64" s="67" t="e">
        <f t="shared" si="19"/>
        <v>#N/A</v>
      </c>
      <c r="AS64" s="81" t="e">
        <f t="shared" si="32"/>
        <v>#VALUE!</v>
      </c>
      <c r="AT64" s="45" t="e">
        <f t="shared" si="20"/>
        <v>#VALUE!</v>
      </c>
      <c r="AU64" s="67" t="e">
        <f t="shared" si="21"/>
        <v>#VALUE!</v>
      </c>
      <c r="AW64" s="81">
        <v>5</v>
      </c>
      <c r="AX64" s="45">
        <v>3</v>
      </c>
      <c r="AY64" s="45" t="s">
        <v>475</v>
      </c>
      <c r="AZ64" s="438">
        <f>IF(AY64="Cu. Yards", AW64*AX64*52, AW64*AX64*#REF!/#REF!)</f>
        <v>780</v>
      </c>
      <c r="BA64" s="439" t="str">
        <f t="shared" si="22"/>
        <v>NA</v>
      </c>
      <c r="BB64" s="129" t="str">
        <f t="shared" si="23"/>
        <v>NA</v>
      </c>
      <c r="BC64" s="438">
        <f t="shared" si="24"/>
        <v>0</v>
      </c>
      <c r="BD64" s="81" t="e">
        <f t="shared" si="25"/>
        <v>#REF!</v>
      </c>
      <c r="BE64" s="445" t="e">
        <f t="shared" si="26"/>
        <v>#REF!</v>
      </c>
      <c r="BF64" s="67" t="e">
        <f t="shared" si="27"/>
        <v>#REF!</v>
      </c>
      <c r="BG64" s="45" t="e">
        <f t="shared" si="33"/>
        <v>#REF!</v>
      </c>
      <c r="BH64" s="45" t="e">
        <f t="shared" si="28"/>
        <v>#REF!</v>
      </c>
      <c r="BI64" s="67" t="e">
        <f t="shared" si="29"/>
        <v>#REF!</v>
      </c>
      <c r="BL64" s="81" t="s">
        <v>388</v>
      </c>
      <c r="BM64" s="45"/>
      <c r="BN64" s="45">
        <f>IF('2.Current_Trash'!V8=1,'2.Current_Trash'!D10*2000/#REF!,IF('2.Current_Trash'!V8=3,'2.Current_Trash'!P14*2000/#REF!,0))</f>
        <v>0</v>
      </c>
      <c r="BO64" s="220" t="e">
        <f>IF(BN64&lt;BM74,BN64,IF(BN64/2&lt;BM74,BN64/2,IF(BN64/3&lt;BM74,BN64/3,IF(BN64/4&lt;BM74,BN64/4,IF(BN64/5&lt;BM74,BN64/5,IF(BN64/6&lt;BM74,BN64/6,IF(BN64/7&lt;BM74,BN64/7,IF(BN64/8&lt;BM74,BN64/8,0))))))))</f>
        <v>#N/A</v>
      </c>
      <c r="BP64" s="439" t="e">
        <f>IF(BN64=0, 0, INDEX($V$18:$AB$101, MATCH(1, $AB$18:$AB$101, 0), 1))*BO65</f>
        <v>#N/A</v>
      </c>
      <c r="BR64" s="45"/>
      <c r="BS64" s="67"/>
    </row>
    <row r="65" spans="3:71" ht="16.5" customHeight="1" x14ac:dyDescent="0.25">
      <c r="D65" s="436">
        <v>4</v>
      </c>
      <c r="E65" s="435" t="s">
        <v>475</v>
      </c>
      <c r="F65" s="471" t="s">
        <v>486</v>
      </c>
      <c r="G65" s="471" t="s">
        <v>486</v>
      </c>
      <c r="H65" s="471" t="s">
        <v>486</v>
      </c>
      <c r="I65" s="471" t="s">
        <v>486</v>
      </c>
      <c r="J65" s="471" t="s">
        <v>486</v>
      </c>
      <c r="K65" s="471" t="s">
        <v>486</v>
      </c>
      <c r="L65" s="471" t="s">
        <v>486</v>
      </c>
      <c r="Q65" s="81">
        <v>6</v>
      </c>
      <c r="R65" s="45">
        <v>3</v>
      </c>
      <c r="S65" s="45" t="s">
        <v>475</v>
      </c>
      <c r="T65" s="438">
        <f>IF(S65="Cu. Yards", Q65*R65*52, Q65*R65*#REF!/#REF!)</f>
        <v>936</v>
      </c>
      <c r="U65" s="439" t="str">
        <f t="shared" si="34"/>
        <v>NA</v>
      </c>
      <c r="V65" s="129" t="str">
        <f t="shared" si="5"/>
        <v>NA</v>
      </c>
      <c r="W65" s="439">
        <f>IF(V65="NA",1000000,ABS('2.Current_Trash'!$K$29-'9.CustomRates'!V65))</f>
        <v>1000000</v>
      </c>
      <c r="X65" s="520">
        <f t="shared" si="6"/>
        <v>1</v>
      </c>
      <c r="Y65" s="438">
        <f t="shared" si="30"/>
        <v>0</v>
      </c>
      <c r="Z65" s="81" t="e">
        <f t="shared" si="7"/>
        <v>#N/A</v>
      </c>
      <c r="AA65" s="445" t="e">
        <f t="shared" si="8"/>
        <v>#N/A</v>
      </c>
      <c r="AB65" s="67" t="e">
        <f t="shared" si="9"/>
        <v>#N/A</v>
      </c>
      <c r="AC65" s="447" t="str">
        <f t="shared" si="10"/>
        <v>NA</v>
      </c>
      <c r="AD65" s="67">
        <f t="shared" si="11"/>
        <v>0</v>
      </c>
      <c r="AE65" s="81" t="e">
        <f t="shared" si="31"/>
        <v>#REF!</v>
      </c>
      <c r="AF65" s="45" t="e">
        <f t="shared" si="12"/>
        <v>#REF!</v>
      </c>
      <c r="AG65" s="67" t="e">
        <f t="shared" si="13"/>
        <v>#REF!</v>
      </c>
      <c r="AI65" s="81">
        <v>6</v>
      </c>
      <c r="AJ65" s="45">
        <v>3</v>
      </c>
      <c r="AK65" s="45" t="s">
        <v>378</v>
      </c>
      <c r="AL65" s="438">
        <f>IF(AK65="CY", AI65*AJ65*52, AI65*AJ65*#REF!/#REF!)</f>
        <v>936</v>
      </c>
      <c r="AM65" s="439" t="str">
        <f t="shared" si="14"/>
        <v>NA</v>
      </c>
      <c r="AN65" s="129" t="str">
        <f t="shared" si="15"/>
        <v>NA</v>
      </c>
      <c r="AO65" s="438">
        <f t="shared" si="16"/>
        <v>0</v>
      </c>
      <c r="AP65" s="81" t="e">
        <f t="shared" si="17"/>
        <v>#N/A</v>
      </c>
      <c r="AQ65" s="445" t="e">
        <f t="shared" si="18"/>
        <v>#N/A</v>
      </c>
      <c r="AR65" s="67" t="e">
        <f t="shared" si="19"/>
        <v>#N/A</v>
      </c>
      <c r="AS65" s="81" t="e">
        <f t="shared" si="32"/>
        <v>#VALUE!</v>
      </c>
      <c r="AT65" s="45" t="e">
        <f t="shared" si="20"/>
        <v>#VALUE!</v>
      </c>
      <c r="AU65" s="67" t="e">
        <f>IF(AT65=MIN($AT$18:$AT$101), 1, 0)</f>
        <v>#VALUE!</v>
      </c>
      <c r="AW65" s="81">
        <v>6</v>
      </c>
      <c r="AX65" s="45">
        <v>3</v>
      </c>
      <c r="AY65" s="45" t="s">
        <v>475</v>
      </c>
      <c r="AZ65" s="438">
        <f>IF(AY65="Cu. Yards", AW65*AX65*52, AW65*AX65*#REF!/#REF!)</f>
        <v>936</v>
      </c>
      <c r="BA65" s="439" t="str">
        <f t="shared" si="22"/>
        <v>NA</v>
      </c>
      <c r="BB65" s="129" t="str">
        <f t="shared" si="23"/>
        <v>NA</v>
      </c>
      <c r="BC65" s="438">
        <f t="shared" si="24"/>
        <v>0</v>
      </c>
      <c r="BD65" s="81" t="e">
        <f t="shared" si="25"/>
        <v>#REF!</v>
      </c>
      <c r="BE65" s="445" t="e">
        <f t="shared" si="26"/>
        <v>#REF!</v>
      </c>
      <c r="BF65" s="67" t="e">
        <f t="shared" si="27"/>
        <v>#REF!</v>
      </c>
      <c r="BG65" s="45" t="e">
        <f t="shared" si="33"/>
        <v>#REF!</v>
      </c>
      <c r="BH65" s="45" t="e">
        <f t="shared" si="28"/>
        <v>#REF!</v>
      </c>
      <c r="BI65" s="67" t="e">
        <f t="shared" si="29"/>
        <v>#REF!</v>
      </c>
      <c r="BL65" s="81"/>
      <c r="BM65" s="45"/>
      <c r="BN65" s="45"/>
      <c r="BO65" s="45" t="e">
        <f>IF(BN64&lt;BM74,1,IF(BN64/2&lt;BM74, 2,IF(BN64/3&lt;BM74,3,IF(BN64/4&lt;BM74,4,IF(BN64/5&lt;BM74,5,IF(BN64/6&lt;BM74,6,IF(BN64/7&lt;BM74,7,IF(BN64/8&lt;BM74,8,0))))))))</f>
        <v>#N/A</v>
      </c>
      <c r="BP65" s="45" t="s">
        <v>409</v>
      </c>
      <c r="BQ65" s="45"/>
      <c r="BR65" s="45"/>
      <c r="BS65" s="67"/>
    </row>
    <row r="66" spans="3:71" ht="16.5" customHeight="1" x14ac:dyDescent="0.25">
      <c r="D66" s="436">
        <v>5</v>
      </c>
      <c r="E66" s="435" t="s">
        <v>475</v>
      </c>
      <c r="F66" s="471" t="s">
        <v>486</v>
      </c>
      <c r="G66" s="471" t="s">
        <v>486</v>
      </c>
      <c r="H66" s="471" t="s">
        <v>486</v>
      </c>
      <c r="I66" s="471" t="s">
        <v>486</v>
      </c>
      <c r="J66" s="471" t="s">
        <v>486</v>
      </c>
      <c r="K66" s="471" t="s">
        <v>486</v>
      </c>
      <c r="L66" s="471" t="s">
        <v>486</v>
      </c>
      <c r="Q66" s="81">
        <v>7</v>
      </c>
      <c r="R66" s="45">
        <v>3</v>
      </c>
      <c r="S66" s="45" t="s">
        <v>475</v>
      </c>
      <c r="T66" s="438">
        <f>IF(S66="Cu. Yards", Q66*R66*52, Q66*R66*#REF!/#REF!)</f>
        <v>1092</v>
      </c>
      <c r="U66" s="439" t="str">
        <f t="shared" si="34"/>
        <v>NA</v>
      </c>
      <c r="V66" s="129" t="str">
        <f t="shared" si="5"/>
        <v>NA</v>
      </c>
      <c r="W66" s="439">
        <f>IF(V66="NA",1000000,ABS('2.Current_Trash'!$K$29-'9.CustomRates'!V66))</f>
        <v>1000000</v>
      </c>
      <c r="X66" s="520">
        <f t="shared" si="6"/>
        <v>1</v>
      </c>
      <c r="Y66" s="438">
        <f t="shared" si="30"/>
        <v>0</v>
      </c>
      <c r="Z66" s="81" t="e">
        <f t="shared" si="7"/>
        <v>#N/A</v>
      </c>
      <c r="AA66" s="445" t="e">
        <f t="shared" si="8"/>
        <v>#N/A</v>
      </c>
      <c r="AB66" s="67" t="e">
        <f t="shared" si="9"/>
        <v>#N/A</v>
      </c>
      <c r="AC66" s="447" t="str">
        <f t="shared" si="10"/>
        <v>NA</v>
      </c>
      <c r="AD66" s="67">
        <f t="shared" si="11"/>
        <v>0</v>
      </c>
      <c r="AE66" s="81" t="e">
        <f t="shared" si="31"/>
        <v>#REF!</v>
      </c>
      <c r="AF66" s="45" t="e">
        <f t="shared" si="12"/>
        <v>#REF!</v>
      </c>
      <c r="AG66" s="67" t="e">
        <f t="shared" si="13"/>
        <v>#REF!</v>
      </c>
      <c r="AI66" s="81">
        <v>7</v>
      </c>
      <c r="AJ66" s="45">
        <v>3</v>
      </c>
      <c r="AK66" s="45" t="s">
        <v>378</v>
      </c>
      <c r="AL66" s="438">
        <f>IF(AK66="CY", AI66*AJ66*52, AI66*AJ66*#REF!/#REF!)</f>
        <v>1092</v>
      </c>
      <c r="AM66" s="439" t="str">
        <f t="shared" si="14"/>
        <v>NA</v>
      </c>
      <c r="AN66" s="129" t="str">
        <f t="shared" si="15"/>
        <v>NA</v>
      </c>
      <c r="AO66" s="438">
        <f t="shared" si="16"/>
        <v>0</v>
      </c>
      <c r="AP66" s="81" t="e">
        <f t="shared" si="17"/>
        <v>#N/A</v>
      </c>
      <c r="AQ66" s="445" t="e">
        <f t="shared" si="18"/>
        <v>#N/A</v>
      </c>
      <c r="AR66" s="67" t="e">
        <f t="shared" si="19"/>
        <v>#N/A</v>
      </c>
      <c r="AS66" s="81" t="e">
        <f t="shared" si="32"/>
        <v>#VALUE!</v>
      </c>
      <c r="AT66" s="45" t="e">
        <f t="shared" si="20"/>
        <v>#VALUE!</v>
      </c>
      <c r="AU66" s="67" t="e">
        <f t="shared" si="21"/>
        <v>#VALUE!</v>
      </c>
      <c r="AW66" s="81">
        <v>7</v>
      </c>
      <c r="AX66" s="45">
        <v>3</v>
      </c>
      <c r="AY66" s="45" t="s">
        <v>475</v>
      </c>
      <c r="AZ66" s="438">
        <f>IF(AY66="Cu. Yards", AW66*AX66*52, AW66*AX66*#REF!/#REF!)</f>
        <v>1092</v>
      </c>
      <c r="BA66" s="439" t="str">
        <f t="shared" si="22"/>
        <v>NA</v>
      </c>
      <c r="BB66" s="129" t="str">
        <f t="shared" si="23"/>
        <v>NA</v>
      </c>
      <c r="BC66" s="438">
        <f t="shared" si="24"/>
        <v>0</v>
      </c>
      <c r="BD66" s="81" t="e">
        <f t="shared" si="25"/>
        <v>#REF!</v>
      </c>
      <c r="BE66" s="445" t="e">
        <f t="shared" si="26"/>
        <v>#REF!</v>
      </c>
      <c r="BF66" s="67" t="e">
        <f t="shared" si="27"/>
        <v>#REF!</v>
      </c>
      <c r="BG66" s="45" t="e">
        <f t="shared" si="33"/>
        <v>#REF!</v>
      </c>
      <c r="BH66" s="45" t="e">
        <f t="shared" si="28"/>
        <v>#REF!</v>
      </c>
      <c r="BI66" s="67" t="e">
        <f t="shared" si="29"/>
        <v>#REF!</v>
      </c>
      <c r="BL66" s="81"/>
      <c r="BM66" s="45"/>
      <c r="BN66" s="45" t="s">
        <v>253</v>
      </c>
      <c r="BO66" s="220" t="s">
        <v>465</v>
      </c>
      <c r="BP66" s="45" t="s">
        <v>391</v>
      </c>
      <c r="BQ66" s="45" t="s">
        <v>251</v>
      </c>
      <c r="BR66" s="45"/>
      <c r="BS66" s="67"/>
    </row>
    <row r="67" spans="3:71" ht="16.5" customHeight="1" x14ac:dyDescent="0.25">
      <c r="D67" s="436">
        <v>6</v>
      </c>
      <c r="E67" s="435" t="s">
        <v>475</v>
      </c>
      <c r="F67" s="471" t="s">
        <v>486</v>
      </c>
      <c r="G67" s="471" t="s">
        <v>486</v>
      </c>
      <c r="H67" s="471" t="s">
        <v>486</v>
      </c>
      <c r="I67" s="471" t="s">
        <v>486</v>
      </c>
      <c r="J67" s="471" t="s">
        <v>486</v>
      </c>
      <c r="K67" s="471" t="s">
        <v>486</v>
      </c>
      <c r="L67" s="471" t="s">
        <v>486</v>
      </c>
      <c r="Q67" s="81">
        <v>1</v>
      </c>
      <c r="R67" s="45">
        <v>4</v>
      </c>
      <c r="S67" s="45" t="s">
        <v>475</v>
      </c>
      <c r="T67" s="438">
        <f>IF(S67="Cu. Yards", Q67*R67*52, Q67*R67*#REF!/#REF!)</f>
        <v>208</v>
      </c>
      <c r="U67" s="439" t="str">
        <f t="shared" si="34"/>
        <v>NA</v>
      </c>
      <c r="V67" s="129" t="str">
        <f t="shared" si="5"/>
        <v>NA</v>
      </c>
      <c r="W67" s="439">
        <f>IF(V67="NA",1000000,ABS('2.Current_Trash'!$K$29-'9.CustomRates'!V67))</f>
        <v>1000000</v>
      </c>
      <c r="X67" s="520">
        <f t="shared" si="6"/>
        <v>1</v>
      </c>
      <c r="Y67" s="438">
        <f t="shared" si="30"/>
        <v>0</v>
      </c>
      <c r="Z67" s="81" t="e">
        <f t="shared" si="7"/>
        <v>#N/A</v>
      </c>
      <c r="AA67" s="445" t="e">
        <f t="shared" si="8"/>
        <v>#N/A</v>
      </c>
      <c r="AB67" s="67" t="e">
        <f t="shared" si="9"/>
        <v>#N/A</v>
      </c>
      <c r="AC67" s="447" t="str">
        <f t="shared" si="10"/>
        <v>NA</v>
      </c>
      <c r="AD67" s="67">
        <f t="shared" si="11"/>
        <v>0</v>
      </c>
      <c r="AE67" s="81" t="e">
        <f t="shared" si="31"/>
        <v>#REF!</v>
      </c>
      <c r="AF67" s="45" t="e">
        <f t="shared" si="12"/>
        <v>#REF!</v>
      </c>
      <c r="AG67" s="67" t="e">
        <f t="shared" si="13"/>
        <v>#REF!</v>
      </c>
      <c r="AI67" s="81">
        <v>1</v>
      </c>
      <c r="AJ67" s="45">
        <v>4</v>
      </c>
      <c r="AK67" s="45" t="s">
        <v>378</v>
      </c>
      <c r="AL67" s="438">
        <f>IF(AK67="CY", AI67*AJ67*52, AI67*AJ67*#REF!/#REF!)</f>
        <v>208</v>
      </c>
      <c r="AM67" s="439" t="str">
        <f t="shared" si="14"/>
        <v>NA</v>
      </c>
      <c r="AN67" s="129" t="str">
        <f t="shared" si="15"/>
        <v>NA</v>
      </c>
      <c r="AO67" s="438">
        <f t="shared" si="16"/>
        <v>0</v>
      </c>
      <c r="AP67" s="81" t="e">
        <f t="shared" si="17"/>
        <v>#N/A</v>
      </c>
      <c r="AQ67" s="445" t="e">
        <f t="shared" si="18"/>
        <v>#N/A</v>
      </c>
      <c r="AR67" s="67" t="e">
        <f t="shared" si="19"/>
        <v>#N/A</v>
      </c>
      <c r="AS67" s="81" t="e">
        <f t="shared" si="32"/>
        <v>#VALUE!</v>
      </c>
      <c r="AT67" s="45" t="e">
        <f t="shared" si="20"/>
        <v>#VALUE!</v>
      </c>
      <c r="AU67" s="67" t="e">
        <f t="shared" si="21"/>
        <v>#VALUE!</v>
      </c>
      <c r="AW67" s="81">
        <v>1</v>
      </c>
      <c r="AX67" s="45">
        <v>4</v>
      </c>
      <c r="AY67" s="45" t="s">
        <v>475</v>
      </c>
      <c r="AZ67" s="438">
        <f>IF(AY67="Cu. Yards", AW67*AX67*52, AW67*AX67*#REF!/#REF!)</f>
        <v>208</v>
      </c>
      <c r="BA67" s="439" t="str">
        <f t="shared" si="22"/>
        <v>NA</v>
      </c>
      <c r="BB67" s="129" t="str">
        <f t="shared" si="23"/>
        <v>NA</v>
      </c>
      <c r="BC67" s="438">
        <f t="shared" si="24"/>
        <v>0</v>
      </c>
      <c r="BD67" s="81" t="e">
        <f t="shared" si="25"/>
        <v>#REF!</v>
      </c>
      <c r="BE67" s="445" t="e">
        <f t="shared" si="26"/>
        <v>#REF!</v>
      </c>
      <c r="BF67" s="67" t="e">
        <f t="shared" si="27"/>
        <v>#REF!</v>
      </c>
      <c r="BG67" s="45" t="e">
        <f t="shared" si="33"/>
        <v>#REF!</v>
      </c>
      <c r="BH67" s="45" t="e">
        <f t="shared" si="28"/>
        <v>#REF!</v>
      </c>
      <c r="BI67" s="67" t="e">
        <f t="shared" si="29"/>
        <v>#REF!</v>
      </c>
      <c r="BL67" s="81" t="s">
        <v>389</v>
      </c>
      <c r="BM67" s="45"/>
      <c r="BN67" s="466" t="str">
        <f>'2.Current_Trash'!K29</f>
        <v/>
      </c>
      <c r="BO67" s="220" t="e">
        <f>IF(BN67&lt;BM75,BN67,IF(BN67/2&lt;BM75,BN67/2,IF(BN67/3&lt;BM75,BN67/3,IF(BN67/4&lt;BM75,BN67/4,IF(BN67/5&lt;BM75,BN67/5,IF(BN67/6&lt;BM75,BN67/6,IF(BN67/7&lt;BM75,BN67/7,IF(BN67/8&lt;BM75,BN67/8,0))))))))</f>
        <v>#VALUE!</v>
      </c>
      <c r="BP67" s="439" t="e">
        <f>INDEX($T$18:$AD$101, MATCH(1, $AD$18:$AD$101, 0), 1)*BO68</f>
        <v>#N/A</v>
      </c>
      <c r="BQ67" s="45" t="e">
        <f>BP67/2000*#REF!</f>
        <v>#N/A</v>
      </c>
      <c r="BR67" s="45"/>
      <c r="BS67" s="67"/>
    </row>
    <row r="68" spans="3:71" ht="16.5" customHeight="1" x14ac:dyDescent="0.25">
      <c r="D68" s="436">
        <v>7</v>
      </c>
      <c r="E68" s="435" t="s">
        <v>475</v>
      </c>
      <c r="F68" s="471" t="s">
        <v>486</v>
      </c>
      <c r="G68" s="471" t="s">
        <v>486</v>
      </c>
      <c r="H68" s="471" t="s">
        <v>486</v>
      </c>
      <c r="I68" s="471" t="s">
        <v>486</v>
      </c>
      <c r="J68" s="471" t="s">
        <v>486</v>
      </c>
      <c r="K68" s="471" t="s">
        <v>486</v>
      </c>
      <c r="L68" s="471" t="s">
        <v>486</v>
      </c>
      <c r="Q68" s="81">
        <v>2</v>
      </c>
      <c r="R68" s="45">
        <v>4</v>
      </c>
      <c r="S68" s="45" t="s">
        <v>475</v>
      </c>
      <c r="T68" s="438">
        <f>IF(S68="Cu. Yards", Q68*R68*52, Q68*R68*#REF!/#REF!)</f>
        <v>416</v>
      </c>
      <c r="U68" s="439" t="str">
        <f t="shared" si="34"/>
        <v>NA</v>
      </c>
      <c r="V68" s="129" t="str">
        <f t="shared" si="5"/>
        <v>NA</v>
      </c>
      <c r="W68" s="439">
        <f>IF(V68="NA",1000000,ABS('2.Current_Trash'!$K$29-'9.CustomRates'!V68))</f>
        <v>1000000</v>
      </c>
      <c r="X68" s="520">
        <f t="shared" si="6"/>
        <v>1</v>
      </c>
      <c r="Y68" s="438">
        <f t="shared" si="30"/>
        <v>0</v>
      </c>
      <c r="Z68" s="81" t="e">
        <f t="shared" si="7"/>
        <v>#N/A</v>
      </c>
      <c r="AA68" s="445" t="e">
        <f t="shared" si="8"/>
        <v>#N/A</v>
      </c>
      <c r="AB68" s="67" t="e">
        <f t="shared" si="9"/>
        <v>#N/A</v>
      </c>
      <c r="AC68" s="447" t="str">
        <f t="shared" si="10"/>
        <v>NA</v>
      </c>
      <c r="AD68" s="67">
        <f t="shared" si="11"/>
        <v>0</v>
      </c>
      <c r="AE68" s="81" t="e">
        <f t="shared" si="31"/>
        <v>#REF!</v>
      </c>
      <c r="AF68" s="45" t="e">
        <f t="shared" si="12"/>
        <v>#REF!</v>
      </c>
      <c r="AG68" s="67" t="e">
        <f t="shared" si="13"/>
        <v>#REF!</v>
      </c>
      <c r="AI68" s="81">
        <v>2</v>
      </c>
      <c r="AJ68" s="45">
        <v>4</v>
      </c>
      <c r="AK68" s="45" t="s">
        <v>378</v>
      </c>
      <c r="AL68" s="438">
        <f>IF(AK68="CY", AI68*AJ68*52, AI68*AJ68*#REF!/#REF!)</f>
        <v>416</v>
      </c>
      <c r="AM68" s="439" t="str">
        <f t="shared" si="14"/>
        <v>NA</v>
      </c>
      <c r="AN68" s="129" t="str">
        <f t="shared" si="15"/>
        <v>NA</v>
      </c>
      <c r="AO68" s="438">
        <f t="shared" si="16"/>
        <v>0</v>
      </c>
      <c r="AP68" s="81" t="e">
        <f t="shared" si="17"/>
        <v>#N/A</v>
      </c>
      <c r="AQ68" s="445" t="e">
        <f t="shared" si="18"/>
        <v>#N/A</v>
      </c>
      <c r="AR68" s="67" t="e">
        <f t="shared" si="19"/>
        <v>#N/A</v>
      </c>
      <c r="AS68" s="81" t="e">
        <f t="shared" si="32"/>
        <v>#VALUE!</v>
      </c>
      <c r="AT68" s="45" t="e">
        <f t="shared" si="20"/>
        <v>#VALUE!</v>
      </c>
      <c r="AU68" s="67" t="e">
        <f t="shared" si="21"/>
        <v>#VALUE!</v>
      </c>
      <c r="AW68" s="81">
        <v>2</v>
      </c>
      <c r="AX68" s="45">
        <v>4</v>
      </c>
      <c r="AY68" s="45" t="s">
        <v>475</v>
      </c>
      <c r="AZ68" s="438">
        <f>IF(AY68="Cu. Yards", AW68*AX68*52, AW68*AX68*#REF!/#REF!)</f>
        <v>416</v>
      </c>
      <c r="BA68" s="439" t="str">
        <f t="shared" si="22"/>
        <v>NA</v>
      </c>
      <c r="BB68" s="129" t="str">
        <f t="shared" si="23"/>
        <v>NA</v>
      </c>
      <c r="BC68" s="438">
        <f t="shared" si="24"/>
        <v>0</v>
      </c>
      <c r="BD68" s="81" t="e">
        <f t="shared" si="25"/>
        <v>#REF!</v>
      </c>
      <c r="BE68" s="445" t="e">
        <f t="shared" si="26"/>
        <v>#REF!</v>
      </c>
      <c r="BF68" s="67" t="e">
        <f t="shared" si="27"/>
        <v>#REF!</v>
      </c>
      <c r="BG68" s="45" t="e">
        <f t="shared" si="33"/>
        <v>#REF!</v>
      </c>
      <c r="BH68" s="45" t="e">
        <f t="shared" si="28"/>
        <v>#REF!</v>
      </c>
      <c r="BI68" s="67" t="e">
        <f t="shared" si="29"/>
        <v>#REF!</v>
      </c>
      <c r="BL68" s="81"/>
      <c r="BM68" s="45"/>
      <c r="BN68" s="45"/>
      <c r="BO68" s="45" t="e">
        <f>IF(BN67&lt;BM75,1,IF(BN67/2&lt;BM75, 2,IF(BN67/3&lt;BM75,3,IF(BN67/4&lt;BM75,4,IF(BN67/5&lt;BM75,5,IF(BN67/6&lt;BM75,6,IF(BN67/7&lt;BM75,7,IF(BN67/8&lt;BM75,8,0))))))))</f>
        <v>#VALUE!</v>
      </c>
      <c r="BP68" s="45"/>
      <c r="BQ68" s="45"/>
      <c r="BR68" s="45"/>
      <c r="BS68" s="67"/>
    </row>
    <row r="69" spans="3:71" ht="16.5" customHeight="1" x14ac:dyDescent="0.25">
      <c r="D69" s="436">
        <v>8</v>
      </c>
      <c r="E69" s="435" t="s">
        <v>475</v>
      </c>
      <c r="F69" s="471" t="s">
        <v>486</v>
      </c>
      <c r="G69" s="471" t="s">
        <v>486</v>
      </c>
      <c r="H69" s="471" t="s">
        <v>486</v>
      </c>
      <c r="I69" s="471" t="s">
        <v>486</v>
      </c>
      <c r="J69" s="471" t="s">
        <v>486</v>
      </c>
      <c r="K69" s="471" t="s">
        <v>486</v>
      </c>
      <c r="L69" s="471" t="s">
        <v>486</v>
      </c>
      <c r="Q69" s="81">
        <v>3</v>
      </c>
      <c r="R69" s="45">
        <v>4</v>
      </c>
      <c r="S69" s="45" t="s">
        <v>475</v>
      </c>
      <c r="T69" s="438">
        <f>IF(S69="Cu. Yards", Q69*R69*52, Q69*R69*#REF!/#REF!)</f>
        <v>624</v>
      </c>
      <c r="U69" s="439" t="str">
        <f t="shared" si="34"/>
        <v>NA</v>
      </c>
      <c r="V69" s="129" t="str">
        <f t="shared" si="5"/>
        <v>NA</v>
      </c>
      <c r="W69" s="439">
        <f>IF(V69="NA",1000000,ABS('2.Current_Trash'!$K$29-'9.CustomRates'!V69))</f>
        <v>1000000</v>
      </c>
      <c r="X69" s="520">
        <f t="shared" si="6"/>
        <v>1</v>
      </c>
      <c r="Y69" s="438">
        <f t="shared" si="30"/>
        <v>0</v>
      </c>
      <c r="Z69" s="81" t="e">
        <f t="shared" si="7"/>
        <v>#N/A</v>
      </c>
      <c r="AA69" s="445" t="e">
        <f t="shared" si="8"/>
        <v>#N/A</v>
      </c>
      <c r="AB69" s="67" t="e">
        <f t="shared" si="9"/>
        <v>#N/A</v>
      </c>
      <c r="AC69" s="447" t="str">
        <f t="shared" si="10"/>
        <v>NA</v>
      </c>
      <c r="AD69" s="67">
        <f t="shared" si="11"/>
        <v>0</v>
      </c>
      <c r="AE69" s="81" t="e">
        <f t="shared" si="31"/>
        <v>#REF!</v>
      </c>
      <c r="AF69" s="45" t="e">
        <f t="shared" si="12"/>
        <v>#REF!</v>
      </c>
      <c r="AG69" s="67" t="e">
        <f t="shared" si="13"/>
        <v>#REF!</v>
      </c>
      <c r="AI69" s="81">
        <v>3</v>
      </c>
      <c r="AJ69" s="45">
        <v>4</v>
      </c>
      <c r="AK69" s="45" t="s">
        <v>378</v>
      </c>
      <c r="AL69" s="438">
        <f>IF(AK69="CY", AI69*AJ69*52, AI69*AJ69*#REF!/#REF!)</f>
        <v>624</v>
      </c>
      <c r="AM69" s="439" t="str">
        <f t="shared" si="14"/>
        <v>NA</v>
      </c>
      <c r="AN69" s="129" t="str">
        <f t="shared" si="15"/>
        <v>NA</v>
      </c>
      <c r="AO69" s="438">
        <f t="shared" si="16"/>
        <v>0</v>
      </c>
      <c r="AP69" s="81" t="e">
        <f t="shared" si="17"/>
        <v>#N/A</v>
      </c>
      <c r="AQ69" s="445" t="e">
        <f t="shared" si="18"/>
        <v>#N/A</v>
      </c>
      <c r="AR69" s="67" t="e">
        <f t="shared" si="19"/>
        <v>#N/A</v>
      </c>
      <c r="AS69" s="81" t="e">
        <f t="shared" si="32"/>
        <v>#VALUE!</v>
      </c>
      <c r="AT69" s="45" t="e">
        <f t="shared" si="20"/>
        <v>#VALUE!</v>
      </c>
      <c r="AU69" s="67" t="e">
        <f t="shared" si="21"/>
        <v>#VALUE!</v>
      </c>
      <c r="AW69" s="81">
        <v>3</v>
      </c>
      <c r="AX69" s="45">
        <v>4</v>
      </c>
      <c r="AY69" s="45" t="s">
        <v>475</v>
      </c>
      <c r="AZ69" s="438">
        <f>IF(AY69="Cu. Yards", AW69*AX69*52, AW69*AX69*#REF!/#REF!)</f>
        <v>624</v>
      </c>
      <c r="BA69" s="439" t="str">
        <f t="shared" si="22"/>
        <v>NA</v>
      </c>
      <c r="BB69" s="129" t="str">
        <f t="shared" si="23"/>
        <v>NA</v>
      </c>
      <c r="BC69" s="438">
        <f t="shared" si="24"/>
        <v>0</v>
      </c>
      <c r="BD69" s="81" t="e">
        <f t="shared" si="25"/>
        <v>#REF!</v>
      </c>
      <c r="BE69" s="445" t="e">
        <f t="shared" si="26"/>
        <v>#REF!</v>
      </c>
      <c r="BF69" s="67" t="e">
        <f t="shared" si="27"/>
        <v>#REF!</v>
      </c>
      <c r="BG69" s="45" t="e">
        <f t="shared" si="33"/>
        <v>#REF!</v>
      </c>
      <c r="BH69" s="45" t="e">
        <f t="shared" si="28"/>
        <v>#REF!</v>
      </c>
      <c r="BI69" s="67" t="e">
        <f t="shared" si="29"/>
        <v>#REF!</v>
      </c>
      <c r="BL69" s="467" t="s">
        <v>399</v>
      </c>
      <c r="BM69" s="45"/>
      <c r="BN69" s="45"/>
      <c r="BO69" s="45"/>
      <c r="BP69" s="45"/>
      <c r="BQ69" s="45"/>
      <c r="BR69" s="45"/>
      <c r="BS69" s="67"/>
    </row>
    <row r="70" spans="3:71" x14ac:dyDescent="0.25">
      <c r="Q70" s="81">
        <v>4</v>
      </c>
      <c r="R70" s="45">
        <v>4</v>
      </c>
      <c r="S70" s="45" t="s">
        <v>475</v>
      </c>
      <c r="T70" s="438">
        <f>IF(S70="Cu. Yards", Q70*R70*52, Q70*R70*#REF!/#REF!)</f>
        <v>832</v>
      </c>
      <c r="U70" s="439" t="str">
        <f t="shared" si="34"/>
        <v>NA</v>
      </c>
      <c r="V70" s="129" t="str">
        <f t="shared" si="5"/>
        <v>NA</v>
      </c>
      <c r="W70" s="439">
        <f>IF(V70="NA",1000000,ABS('2.Current_Trash'!$K$29-'9.CustomRates'!V70))</f>
        <v>1000000</v>
      </c>
      <c r="X70" s="520">
        <f t="shared" si="6"/>
        <v>1</v>
      </c>
      <c r="Y70" s="438">
        <f t="shared" si="30"/>
        <v>0</v>
      </c>
      <c r="Z70" s="81" t="e">
        <f t="shared" si="7"/>
        <v>#N/A</v>
      </c>
      <c r="AA70" s="445" t="e">
        <f t="shared" si="8"/>
        <v>#N/A</v>
      </c>
      <c r="AB70" s="67" t="e">
        <f t="shared" si="9"/>
        <v>#N/A</v>
      </c>
      <c r="AC70" s="447" t="str">
        <f t="shared" si="10"/>
        <v>NA</v>
      </c>
      <c r="AD70" s="67">
        <f t="shared" si="11"/>
        <v>0</v>
      </c>
      <c r="AE70" s="81" t="e">
        <f t="shared" si="31"/>
        <v>#REF!</v>
      </c>
      <c r="AF70" s="45" t="e">
        <f t="shared" si="12"/>
        <v>#REF!</v>
      </c>
      <c r="AG70" s="67" t="e">
        <f t="shared" si="13"/>
        <v>#REF!</v>
      </c>
      <c r="AI70" s="81">
        <v>4</v>
      </c>
      <c r="AJ70" s="45">
        <v>4</v>
      </c>
      <c r="AK70" s="45" t="s">
        <v>378</v>
      </c>
      <c r="AL70" s="438">
        <f>IF(AK70="CY", AI70*AJ70*52, AI70*AJ70*#REF!/#REF!)</f>
        <v>832</v>
      </c>
      <c r="AM70" s="439" t="str">
        <f t="shared" si="14"/>
        <v>NA</v>
      </c>
      <c r="AN70" s="129" t="str">
        <f t="shared" si="15"/>
        <v>NA</v>
      </c>
      <c r="AO70" s="438">
        <f t="shared" si="16"/>
        <v>0</v>
      </c>
      <c r="AP70" s="81" t="e">
        <f t="shared" si="17"/>
        <v>#N/A</v>
      </c>
      <c r="AQ70" s="445" t="e">
        <f t="shared" si="18"/>
        <v>#N/A</v>
      </c>
      <c r="AR70" s="67" t="e">
        <f t="shared" si="19"/>
        <v>#N/A</v>
      </c>
      <c r="AS70" s="81" t="e">
        <f t="shared" si="32"/>
        <v>#VALUE!</v>
      </c>
      <c r="AT70" s="45" t="e">
        <f t="shared" si="20"/>
        <v>#VALUE!</v>
      </c>
      <c r="AU70" s="67" t="e">
        <f t="shared" si="21"/>
        <v>#VALUE!</v>
      </c>
      <c r="AW70" s="81">
        <v>4</v>
      </c>
      <c r="AX70" s="45">
        <v>4</v>
      </c>
      <c r="AY70" s="45" t="s">
        <v>475</v>
      </c>
      <c r="AZ70" s="438">
        <f>IF(AY70="Cu. Yards", AW70*AX70*52, AW70*AX70*#REF!/#REF!)</f>
        <v>832</v>
      </c>
      <c r="BA70" s="439" t="str">
        <f t="shared" si="22"/>
        <v>NA</v>
      </c>
      <c r="BB70" s="129" t="str">
        <f t="shared" si="23"/>
        <v>NA</v>
      </c>
      <c r="BC70" s="438">
        <f t="shared" si="24"/>
        <v>0</v>
      </c>
      <c r="BD70" s="81" t="e">
        <f t="shared" si="25"/>
        <v>#REF!</v>
      </c>
      <c r="BE70" s="445" t="e">
        <f t="shared" si="26"/>
        <v>#REF!</v>
      </c>
      <c r="BF70" s="67" t="e">
        <f t="shared" si="27"/>
        <v>#REF!</v>
      </c>
      <c r="BG70" s="45" t="e">
        <f t="shared" si="33"/>
        <v>#REF!</v>
      </c>
      <c r="BH70" s="45" t="e">
        <f t="shared" si="28"/>
        <v>#REF!</v>
      </c>
      <c r="BI70" s="67" t="e">
        <f t="shared" si="29"/>
        <v>#REF!</v>
      </c>
      <c r="BL70" s="81"/>
      <c r="BM70" s="45" t="s">
        <v>400</v>
      </c>
      <c r="BN70" s="45" t="s">
        <v>436</v>
      </c>
      <c r="BO70" s="45" t="s">
        <v>401</v>
      </c>
      <c r="BP70" s="45" t="s">
        <v>402</v>
      </c>
      <c r="BQ70" s="45" t="s">
        <v>407</v>
      </c>
      <c r="BR70" s="45"/>
      <c r="BS70" s="67"/>
    </row>
    <row r="71" spans="3:71" x14ac:dyDescent="0.25">
      <c r="Q71" s="81">
        <v>5</v>
      </c>
      <c r="R71" s="45">
        <v>4</v>
      </c>
      <c r="S71" s="45" t="s">
        <v>475</v>
      </c>
      <c r="T71" s="438">
        <f>IF(S71="Cu. Yards", Q71*R71*52, Q71*R71*#REF!/#REF!)</f>
        <v>1040</v>
      </c>
      <c r="U71" s="439" t="str">
        <f t="shared" si="34"/>
        <v>NA</v>
      </c>
      <c r="V71" s="129" t="str">
        <f t="shared" si="5"/>
        <v>NA</v>
      </c>
      <c r="W71" s="439">
        <f>IF(V71="NA",1000000,ABS('2.Current_Trash'!$K$29-'9.CustomRates'!V71))</f>
        <v>1000000</v>
      </c>
      <c r="X71" s="520">
        <f t="shared" si="6"/>
        <v>1</v>
      </c>
      <c r="Y71" s="438">
        <f t="shared" si="30"/>
        <v>0</v>
      </c>
      <c r="Z71" s="81" t="e">
        <f t="shared" si="7"/>
        <v>#N/A</v>
      </c>
      <c r="AA71" s="445" t="e">
        <f t="shared" si="8"/>
        <v>#N/A</v>
      </c>
      <c r="AB71" s="67" t="e">
        <f t="shared" si="9"/>
        <v>#N/A</v>
      </c>
      <c r="AC71" s="447" t="str">
        <f t="shared" si="10"/>
        <v>NA</v>
      </c>
      <c r="AD71" s="67">
        <f t="shared" si="11"/>
        <v>0</v>
      </c>
      <c r="AE71" s="81" t="e">
        <f t="shared" si="31"/>
        <v>#REF!</v>
      </c>
      <c r="AF71" s="45" t="e">
        <f t="shared" si="12"/>
        <v>#REF!</v>
      </c>
      <c r="AG71" s="67" t="e">
        <f t="shared" si="13"/>
        <v>#REF!</v>
      </c>
      <c r="AI71" s="81">
        <v>5</v>
      </c>
      <c r="AJ71" s="45">
        <v>4</v>
      </c>
      <c r="AK71" s="45" t="s">
        <v>378</v>
      </c>
      <c r="AL71" s="438">
        <f>IF(AK71="CY", AI71*AJ71*52, AI71*AJ71*#REF!/#REF!)</f>
        <v>1040</v>
      </c>
      <c r="AM71" s="439" t="str">
        <f t="shared" si="14"/>
        <v>NA</v>
      </c>
      <c r="AN71" s="129" t="str">
        <f t="shared" si="15"/>
        <v>NA</v>
      </c>
      <c r="AO71" s="438">
        <f t="shared" si="16"/>
        <v>0</v>
      </c>
      <c r="AP71" s="81" t="e">
        <f t="shared" si="17"/>
        <v>#N/A</v>
      </c>
      <c r="AQ71" s="445" t="e">
        <f t="shared" si="18"/>
        <v>#N/A</v>
      </c>
      <c r="AR71" s="67" t="e">
        <f t="shared" si="19"/>
        <v>#N/A</v>
      </c>
      <c r="AS71" s="81" t="e">
        <f t="shared" si="32"/>
        <v>#VALUE!</v>
      </c>
      <c r="AT71" s="45" t="e">
        <f t="shared" si="20"/>
        <v>#VALUE!</v>
      </c>
      <c r="AU71" s="67" t="e">
        <f t="shared" si="21"/>
        <v>#VALUE!</v>
      </c>
      <c r="AW71" s="81">
        <v>5</v>
      </c>
      <c r="AX71" s="45">
        <v>4</v>
      </c>
      <c r="AY71" s="45" t="s">
        <v>475</v>
      </c>
      <c r="AZ71" s="438">
        <f>IF(AY71="Cu. Yards", AW71*AX71*52, AW71*AX71*#REF!/#REF!)</f>
        <v>1040</v>
      </c>
      <c r="BA71" s="439" t="str">
        <f t="shared" si="22"/>
        <v>NA</v>
      </c>
      <c r="BB71" s="129" t="str">
        <f t="shared" si="23"/>
        <v>NA</v>
      </c>
      <c r="BC71" s="438">
        <f t="shared" si="24"/>
        <v>0</v>
      </c>
      <c r="BD71" s="81" t="e">
        <f t="shared" si="25"/>
        <v>#REF!</v>
      </c>
      <c r="BE71" s="445" t="e">
        <f t="shared" si="26"/>
        <v>#REF!</v>
      </c>
      <c r="BF71" s="67" t="e">
        <f t="shared" si="27"/>
        <v>#REF!</v>
      </c>
      <c r="BG71" s="45" t="e">
        <f t="shared" si="33"/>
        <v>#REF!</v>
      </c>
      <c r="BH71" s="45" t="e">
        <f t="shared" si="28"/>
        <v>#REF!</v>
      </c>
      <c r="BI71" s="67" t="e">
        <f t="shared" si="29"/>
        <v>#REF!</v>
      </c>
      <c r="BL71" s="102" t="s">
        <v>202</v>
      </c>
      <c r="BM71" s="69" t="e">
        <f>#REF!*2000/#REF!</f>
        <v>#REF!</v>
      </c>
      <c r="BN71" s="441" t="e">
        <f>SUM('4.Future_Benefits '!BG56:BH56)</f>
        <v>#VALUE!</v>
      </c>
      <c r="BO71" s="441" t="e">
        <f>IF((BM71-BN71)&lt;BM74,(BM71-BN71),IF((BM71-BN71)/2&lt;BM74,(BM71-BN71)/2,IF((BM71-BN71)/3&lt;BM74,(BM71-BN71)/3,IF((BM71-BN71)/4&lt;BM74,(BM71-BN71)/4,IF((BM71-BN71)/5&lt;BM74,(BM71-BN71)/5,IF((BM71-BN71)/6&lt;BM74,(BM71-BN71)/6,IF((BM71-BN71)/7&lt;BM74,(BM71-BN71)/7,IF((BM71-BN71)/8&lt;BM74,(BM71-BN71)/8,0))))))))</f>
        <v>#REF!</v>
      </c>
      <c r="BP71" s="469" t="e">
        <f>INDEX($V$18:$AG$101, MATCH(1, $AG$18:$AG$101, 0), 1)*BO72</f>
        <v>#N/A</v>
      </c>
      <c r="BQ71" s="469">
        <f>IF('4.Future_Benefits '!P24&gt;0, '2.Current_Trash'!V36-'9.CustomRates'!BP71, 0)</f>
        <v>0</v>
      </c>
      <c r="BR71" s="69"/>
      <c r="BS71" s="70"/>
    </row>
    <row r="72" spans="3:71" x14ac:dyDescent="0.25">
      <c r="C72" s="1125"/>
      <c r="D72" s="1125"/>
      <c r="E72" s="1125"/>
      <c r="F72" s="1125"/>
      <c r="G72" s="1125"/>
      <c r="H72" s="1125"/>
      <c r="Q72" s="81">
        <v>6</v>
      </c>
      <c r="R72" s="45">
        <v>4</v>
      </c>
      <c r="S72" s="45" t="s">
        <v>475</v>
      </c>
      <c r="T72" s="438">
        <f>IF(S72="Cu. Yards", Q72*R72*52, Q72*R72*#REF!/#REF!)</f>
        <v>1248</v>
      </c>
      <c r="U72" s="439" t="str">
        <f t="shared" si="34"/>
        <v>NA</v>
      </c>
      <c r="V72" s="129" t="str">
        <f t="shared" si="5"/>
        <v>NA</v>
      </c>
      <c r="W72" s="439">
        <f>IF(V72="NA",1000000,ABS('2.Current_Trash'!$K$29-'9.CustomRates'!V72))</f>
        <v>1000000</v>
      </c>
      <c r="X72" s="520">
        <f t="shared" si="6"/>
        <v>1</v>
      </c>
      <c r="Y72" s="438">
        <f t="shared" si="30"/>
        <v>0</v>
      </c>
      <c r="Z72" s="81" t="e">
        <f t="shared" si="7"/>
        <v>#N/A</v>
      </c>
      <c r="AA72" s="445" t="e">
        <f t="shared" si="8"/>
        <v>#N/A</v>
      </c>
      <c r="AB72" s="67" t="e">
        <f t="shared" si="9"/>
        <v>#N/A</v>
      </c>
      <c r="AC72" s="447" t="str">
        <f t="shared" si="10"/>
        <v>NA</v>
      </c>
      <c r="AD72" s="67">
        <f t="shared" si="11"/>
        <v>0</v>
      </c>
      <c r="AE72" s="81" t="e">
        <f t="shared" si="31"/>
        <v>#REF!</v>
      </c>
      <c r="AF72" s="45" t="e">
        <f t="shared" si="12"/>
        <v>#REF!</v>
      </c>
      <c r="AG72" s="67" t="e">
        <f t="shared" si="13"/>
        <v>#REF!</v>
      </c>
      <c r="AI72" s="81">
        <v>6</v>
      </c>
      <c r="AJ72" s="45">
        <v>4</v>
      </c>
      <c r="AK72" s="45" t="s">
        <v>378</v>
      </c>
      <c r="AL72" s="438">
        <f>IF(AK72="CY", AI72*AJ72*52, AI72*AJ72*#REF!/#REF!)</f>
        <v>1248</v>
      </c>
      <c r="AM72" s="439" t="str">
        <f t="shared" si="14"/>
        <v>NA</v>
      </c>
      <c r="AN72" s="129" t="str">
        <f t="shared" si="15"/>
        <v>NA</v>
      </c>
      <c r="AO72" s="438">
        <f t="shared" si="16"/>
        <v>0</v>
      </c>
      <c r="AP72" s="81" t="e">
        <f t="shared" si="17"/>
        <v>#N/A</v>
      </c>
      <c r="AQ72" s="445" t="e">
        <f t="shared" si="18"/>
        <v>#N/A</v>
      </c>
      <c r="AR72" s="67" t="e">
        <f t="shared" si="19"/>
        <v>#N/A</v>
      </c>
      <c r="AS72" s="81" t="e">
        <f t="shared" si="32"/>
        <v>#VALUE!</v>
      </c>
      <c r="AT72" s="45" t="e">
        <f t="shared" si="20"/>
        <v>#VALUE!</v>
      </c>
      <c r="AU72" s="67" t="e">
        <f t="shared" si="21"/>
        <v>#VALUE!</v>
      </c>
      <c r="AW72" s="81">
        <v>6</v>
      </c>
      <c r="AX72" s="45">
        <v>4</v>
      </c>
      <c r="AY72" s="45" t="s">
        <v>475</v>
      </c>
      <c r="AZ72" s="438">
        <f>IF(AY72="Cu. Yards", AW72*AX72*52, AW72*AX72*#REF!/#REF!)</f>
        <v>1248</v>
      </c>
      <c r="BA72" s="439" t="str">
        <f t="shared" si="22"/>
        <v>NA</v>
      </c>
      <c r="BB72" s="129" t="str">
        <f t="shared" si="23"/>
        <v>NA</v>
      </c>
      <c r="BC72" s="438">
        <f t="shared" si="24"/>
        <v>0</v>
      </c>
      <c r="BD72" s="81" t="e">
        <f t="shared" si="25"/>
        <v>#REF!</v>
      </c>
      <c r="BE72" s="445" t="e">
        <f t="shared" si="26"/>
        <v>#REF!</v>
      </c>
      <c r="BF72" s="67" t="e">
        <f t="shared" si="27"/>
        <v>#REF!</v>
      </c>
      <c r="BG72" s="45" t="e">
        <f t="shared" si="33"/>
        <v>#REF!</v>
      </c>
      <c r="BH72" s="45" t="e">
        <f t="shared" si="28"/>
        <v>#REF!</v>
      </c>
      <c r="BI72" s="67" t="e">
        <f t="shared" si="29"/>
        <v>#REF!</v>
      </c>
      <c r="BL72" s="478" t="s">
        <v>460</v>
      </c>
      <c r="BM72" s="478"/>
      <c r="BN72" s="478"/>
      <c r="BO72" s="478" t="e">
        <f>IF((BM71-BN71)&lt;BM74,1,IF((BM71-BN71)/2&lt;BM74,2,IF((BM71-BN71)/3&lt;BM74,3,IF((BM71-BN71)/4&lt;BM74,4,IF((BM71-BN71)/5&lt;BM74,5,IF((BM71-BN71)/6&lt;BM74,6,IF((BM71-BN71)/7&lt;BM74,7,IF((BM71-BN71)/8&lt;BM74,8,0))))))))</f>
        <v>#REF!</v>
      </c>
      <c r="BP72" s="478"/>
    </row>
    <row r="73" spans="3:71" x14ac:dyDescent="0.25">
      <c r="C73" s="1125"/>
      <c r="D73" s="1125"/>
      <c r="E73" s="1125"/>
      <c r="F73" s="1125"/>
      <c r="G73" s="1125"/>
      <c r="H73" s="1125"/>
      <c r="Q73" s="81">
        <v>7</v>
      </c>
      <c r="R73" s="45">
        <v>4</v>
      </c>
      <c r="S73" s="45" t="s">
        <v>475</v>
      </c>
      <c r="T73" s="438">
        <f>IF(S73="Cu. Yards", Q73*R73*52, Q73*R73*#REF!/#REF!)</f>
        <v>1456</v>
      </c>
      <c r="U73" s="439" t="str">
        <f t="shared" si="34"/>
        <v>NA</v>
      </c>
      <c r="V73" s="129" t="str">
        <f t="shared" si="5"/>
        <v>NA</v>
      </c>
      <c r="W73" s="439">
        <f>IF(V73="NA",1000000,ABS('2.Current_Trash'!$K$29-'9.CustomRates'!V73))</f>
        <v>1000000</v>
      </c>
      <c r="X73" s="520">
        <f t="shared" si="6"/>
        <v>1</v>
      </c>
      <c r="Y73" s="438">
        <f t="shared" si="30"/>
        <v>0</v>
      </c>
      <c r="Z73" s="81" t="e">
        <f t="shared" si="7"/>
        <v>#N/A</v>
      </c>
      <c r="AA73" s="445" t="e">
        <f t="shared" si="8"/>
        <v>#N/A</v>
      </c>
      <c r="AB73" s="67" t="e">
        <f t="shared" si="9"/>
        <v>#N/A</v>
      </c>
      <c r="AC73" s="447" t="str">
        <f t="shared" si="10"/>
        <v>NA</v>
      </c>
      <c r="AD73" s="67">
        <f t="shared" si="11"/>
        <v>0</v>
      </c>
      <c r="AE73" s="81" t="e">
        <f t="shared" si="31"/>
        <v>#REF!</v>
      </c>
      <c r="AF73" s="45" t="e">
        <f t="shared" si="12"/>
        <v>#REF!</v>
      </c>
      <c r="AG73" s="67" t="e">
        <f t="shared" si="13"/>
        <v>#REF!</v>
      </c>
      <c r="AI73" s="81">
        <v>7</v>
      </c>
      <c r="AJ73" s="45">
        <v>4</v>
      </c>
      <c r="AK73" s="45" t="s">
        <v>378</v>
      </c>
      <c r="AL73" s="438">
        <f>IF(AK73="CY", AI73*AJ73*52, AI73*AJ73*#REF!/#REF!)</f>
        <v>1456</v>
      </c>
      <c r="AM73" s="439" t="str">
        <f t="shared" si="14"/>
        <v>NA</v>
      </c>
      <c r="AN73" s="129" t="str">
        <f t="shared" si="15"/>
        <v>NA</v>
      </c>
      <c r="AO73" s="438">
        <f t="shared" si="16"/>
        <v>0</v>
      </c>
      <c r="AP73" s="81" t="e">
        <f t="shared" si="17"/>
        <v>#N/A</v>
      </c>
      <c r="AQ73" s="445" t="e">
        <f t="shared" si="18"/>
        <v>#N/A</v>
      </c>
      <c r="AR73" s="67" t="e">
        <f t="shared" si="19"/>
        <v>#N/A</v>
      </c>
      <c r="AS73" s="81" t="e">
        <f t="shared" si="32"/>
        <v>#VALUE!</v>
      </c>
      <c r="AT73" s="45" t="e">
        <f t="shared" si="20"/>
        <v>#VALUE!</v>
      </c>
      <c r="AU73" s="67" t="e">
        <f t="shared" si="21"/>
        <v>#VALUE!</v>
      </c>
      <c r="AW73" s="81">
        <v>7</v>
      </c>
      <c r="AX73" s="45">
        <v>4</v>
      </c>
      <c r="AY73" s="45" t="s">
        <v>475</v>
      </c>
      <c r="AZ73" s="438">
        <f>IF(AY73="Cu. Yards", AW73*AX73*52, AW73*AX73*#REF!/#REF!)</f>
        <v>1456</v>
      </c>
      <c r="BA73" s="439" t="str">
        <f t="shared" si="22"/>
        <v>NA</v>
      </c>
      <c r="BB73" s="129" t="str">
        <f t="shared" si="23"/>
        <v>NA</v>
      </c>
      <c r="BC73" s="438">
        <f t="shared" si="24"/>
        <v>0</v>
      </c>
      <c r="BD73" s="81" t="e">
        <f t="shared" si="25"/>
        <v>#REF!</v>
      </c>
      <c r="BE73" s="445" t="e">
        <f t="shared" si="26"/>
        <v>#REF!</v>
      </c>
      <c r="BF73" s="67" t="e">
        <f t="shared" si="27"/>
        <v>#REF!</v>
      </c>
      <c r="BG73" s="45" t="e">
        <f t="shared" si="33"/>
        <v>#REF!</v>
      </c>
      <c r="BH73" s="45" t="e">
        <f t="shared" si="28"/>
        <v>#REF!</v>
      </c>
      <c r="BI73" s="67" t="e">
        <f t="shared" si="29"/>
        <v>#REF!</v>
      </c>
      <c r="BL73" s="478"/>
      <c r="BM73" s="478" t="s">
        <v>378</v>
      </c>
      <c r="BO73" s="478"/>
      <c r="BP73" s="478"/>
      <c r="BQ73" s="478"/>
      <c r="BR73" s="478"/>
      <c r="BS73" s="478"/>
    </row>
    <row r="74" spans="3:71" x14ac:dyDescent="0.25">
      <c r="C74" s="1125"/>
      <c r="D74" s="1125"/>
      <c r="E74" s="1125"/>
      <c r="F74" s="1125"/>
      <c r="G74" s="1125"/>
      <c r="H74" s="1125"/>
      <c r="Q74" s="81">
        <v>1</v>
      </c>
      <c r="R74" s="45">
        <v>5</v>
      </c>
      <c r="S74" s="45" t="s">
        <v>475</v>
      </c>
      <c r="T74" s="438">
        <f>IF(S74="Cu. Yards", Q74*R74*52, Q74*R74*#REF!/#REF!)</f>
        <v>260</v>
      </c>
      <c r="U74" s="439" t="str">
        <f t="shared" si="34"/>
        <v>NA</v>
      </c>
      <c r="V74" s="129" t="str">
        <f t="shared" si="5"/>
        <v>NA</v>
      </c>
      <c r="W74" s="439">
        <f>IF(V74="NA",1000000,ABS('2.Current_Trash'!$K$29-'9.CustomRates'!V74))</f>
        <v>1000000</v>
      </c>
      <c r="X74" s="520">
        <f t="shared" si="6"/>
        <v>1</v>
      </c>
      <c r="Y74" s="438">
        <f t="shared" si="30"/>
        <v>0</v>
      </c>
      <c r="Z74" s="81" t="e">
        <f t="shared" si="7"/>
        <v>#N/A</v>
      </c>
      <c r="AA74" s="445" t="e">
        <f t="shared" si="8"/>
        <v>#N/A</v>
      </c>
      <c r="AB74" s="67" t="e">
        <f t="shared" si="9"/>
        <v>#N/A</v>
      </c>
      <c r="AC74" s="447" t="str">
        <f t="shared" si="10"/>
        <v>NA</v>
      </c>
      <c r="AD74" s="67">
        <f t="shared" si="11"/>
        <v>0</v>
      </c>
      <c r="AE74" s="81" t="e">
        <f t="shared" si="31"/>
        <v>#REF!</v>
      </c>
      <c r="AF74" s="45" t="e">
        <f t="shared" si="12"/>
        <v>#REF!</v>
      </c>
      <c r="AG74" s="67" t="e">
        <f t="shared" si="13"/>
        <v>#REF!</v>
      </c>
      <c r="AI74" s="81">
        <v>1</v>
      </c>
      <c r="AJ74" s="45">
        <v>5</v>
      </c>
      <c r="AK74" s="45" t="s">
        <v>378</v>
      </c>
      <c r="AL74" s="438">
        <f>IF(AK74="CY", AI74*AJ74*52, AI74*AJ74*#REF!/#REF!)</f>
        <v>260</v>
      </c>
      <c r="AM74" s="439" t="str">
        <f t="shared" si="14"/>
        <v>NA</v>
      </c>
      <c r="AN74" s="129" t="str">
        <f t="shared" si="15"/>
        <v>NA</v>
      </c>
      <c r="AO74" s="438">
        <f t="shared" si="16"/>
        <v>0</v>
      </c>
      <c r="AP74" s="81" t="e">
        <f t="shared" si="17"/>
        <v>#N/A</v>
      </c>
      <c r="AQ74" s="445" t="e">
        <f t="shared" si="18"/>
        <v>#N/A</v>
      </c>
      <c r="AR74" s="67" t="e">
        <f t="shared" si="19"/>
        <v>#N/A</v>
      </c>
      <c r="AS74" s="81" t="e">
        <f t="shared" si="32"/>
        <v>#VALUE!</v>
      </c>
      <c r="AT74" s="45" t="e">
        <f t="shared" si="20"/>
        <v>#VALUE!</v>
      </c>
      <c r="AU74" s="67" t="e">
        <f t="shared" si="21"/>
        <v>#VALUE!</v>
      </c>
      <c r="AW74" s="81">
        <v>1</v>
      </c>
      <c r="AX74" s="45">
        <v>5</v>
      </c>
      <c r="AY74" s="45" t="s">
        <v>475</v>
      </c>
      <c r="AZ74" s="438">
        <f>IF(AY74="Cu. Yards", AW74*AX74*52, AW74*AX74*#REF!/#REF!)</f>
        <v>260</v>
      </c>
      <c r="BA74" s="439" t="str">
        <f t="shared" si="22"/>
        <v>NA</v>
      </c>
      <c r="BB74" s="129" t="str">
        <f t="shared" si="23"/>
        <v>NA</v>
      </c>
      <c r="BC74" s="438">
        <f t="shared" si="24"/>
        <v>0</v>
      </c>
      <c r="BD74" s="81" t="e">
        <f t="shared" si="25"/>
        <v>#REF!</v>
      </c>
      <c r="BE74" s="445" t="e">
        <f t="shared" si="26"/>
        <v>#REF!</v>
      </c>
      <c r="BF74" s="67" t="e">
        <f t="shared" si="27"/>
        <v>#REF!</v>
      </c>
      <c r="BG74" s="45" t="e">
        <f t="shared" si="33"/>
        <v>#REF!</v>
      </c>
      <c r="BH74" s="45" t="e">
        <f t="shared" si="28"/>
        <v>#REF!</v>
      </c>
      <c r="BI74" s="67" t="e">
        <f t="shared" si="29"/>
        <v>#REF!</v>
      </c>
      <c r="BL74" s="479" t="s">
        <v>462</v>
      </c>
      <c r="BM74" s="478" t="e">
        <f>INDEX($T$18:$Y$101, MATCH(1, $Y$18:$Y$101, 0), 1)</f>
        <v>#N/A</v>
      </c>
      <c r="BN74" s="478"/>
      <c r="BO74" s="478"/>
      <c r="BP74" s="478"/>
    </row>
    <row r="75" spans="3:71" x14ac:dyDescent="0.25">
      <c r="C75" s="1125"/>
      <c r="D75" s="1125"/>
      <c r="E75" s="1125"/>
      <c r="F75" s="1125"/>
      <c r="G75" s="1125"/>
      <c r="H75" s="1125"/>
      <c r="Q75" s="81">
        <v>2</v>
      </c>
      <c r="R75" s="45">
        <v>5</v>
      </c>
      <c r="S75" s="45" t="s">
        <v>475</v>
      </c>
      <c r="T75" s="438">
        <f>IF(S75="Cu. Yards", Q75*R75*52, Q75*R75*#REF!/#REF!)</f>
        <v>520</v>
      </c>
      <c r="U75" s="439" t="str">
        <f t="shared" si="34"/>
        <v>NA</v>
      </c>
      <c r="V75" s="129" t="str">
        <f t="shared" si="5"/>
        <v>NA</v>
      </c>
      <c r="W75" s="439">
        <f>IF(V75="NA",1000000,ABS('2.Current_Trash'!$K$29-'9.CustomRates'!V75))</f>
        <v>1000000</v>
      </c>
      <c r="X75" s="520">
        <f t="shared" si="6"/>
        <v>1</v>
      </c>
      <c r="Y75" s="438">
        <f t="shared" si="30"/>
        <v>0</v>
      </c>
      <c r="Z75" s="81" t="e">
        <f t="shared" si="7"/>
        <v>#N/A</v>
      </c>
      <c r="AA75" s="445" t="e">
        <f t="shared" si="8"/>
        <v>#N/A</v>
      </c>
      <c r="AB75" s="67" t="e">
        <f t="shared" si="9"/>
        <v>#N/A</v>
      </c>
      <c r="AC75" s="447" t="str">
        <f t="shared" si="10"/>
        <v>NA</v>
      </c>
      <c r="AD75" s="67">
        <f t="shared" si="11"/>
        <v>0</v>
      </c>
      <c r="AE75" s="81" t="e">
        <f t="shared" si="31"/>
        <v>#REF!</v>
      </c>
      <c r="AF75" s="45" t="e">
        <f t="shared" si="12"/>
        <v>#REF!</v>
      </c>
      <c r="AG75" s="67" t="e">
        <f t="shared" si="13"/>
        <v>#REF!</v>
      </c>
      <c r="AI75" s="81">
        <v>2</v>
      </c>
      <c r="AJ75" s="45">
        <v>5</v>
      </c>
      <c r="AK75" s="45" t="s">
        <v>378</v>
      </c>
      <c r="AL75" s="438">
        <f>IF(AK75="CY", AI75*AJ75*52, AI75*AJ75*#REF!/#REF!)</f>
        <v>520</v>
      </c>
      <c r="AM75" s="439" t="str">
        <f t="shared" si="14"/>
        <v>NA</v>
      </c>
      <c r="AN75" s="129" t="str">
        <f t="shared" si="15"/>
        <v>NA</v>
      </c>
      <c r="AO75" s="438">
        <f t="shared" si="16"/>
        <v>0</v>
      </c>
      <c r="AP75" s="81" t="e">
        <f t="shared" si="17"/>
        <v>#N/A</v>
      </c>
      <c r="AQ75" s="445" t="e">
        <f t="shared" si="18"/>
        <v>#N/A</v>
      </c>
      <c r="AR75" s="67" t="e">
        <f t="shared" si="19"/>
        <v>#N/A</v>
      </c>
      <c r="AS75" s="81" t="e">
        <f t="shared" si="32"/>
        <v>#VALUE!</v>
      </c>
      <c r="AT75" s="45" t="e">
        <f t="shared" si="20"/>
        <v>#VALUE!</v>
      </c>
      <c r="AU75" s="67" t="e">
        <f t="shared" si="21"/>
        <v>#VALUE!</v>
      </c>
      <c r="AW75" s="81">
        <v>2</v>
      </c>
      <c r="AX75" s="45">
        <v>5</v>
      </c>
      <c r="AY75" s="45" t="s">
        <v>475</v>
      </c>
      <c r="AZ75" s="438">
        <f>IF(AY75="Cu. Yards", AW75*AX75*52, AW75*AX75*#REF!/#REF!)</f>
        <v>520</v>
      </c>
      <c r="BA75" s="439" t="str">
        <f t="shared" si="22"/>
        <v>NA</v>
      </c>
      <c r="BB75" s="129" t="str">
        <f t="shared" si="23"/>
        <v>NA</v>
      </c>
      <c r="BC75" s="438">
        <f t="shared" si="24"/>
        <v>0</v>
      </c>
      <c r="BD75" s="81" t="e">
        <f t="shared" si="25"/>
        <v>#REF!</v>
      </c>
      <c r="BE75" s="445" t="e">
        <f t="shared" si="26"/>
        <v>#REF!</v>
      </c>
      <c r="BF75" s="67" t="e">
        <f t="shared" si="27"/>
        <v>#REF!</v>
      </c>
      <c r="BG75" s="45" t="e">
        <f t="shared" si="33"/>
        <v>#REF!</v>
      </c>
      <c r="BH75" s="45" t="e">
        <f t="shared" si="28"/>
        <v>#REF!</v>
      </c>
      <c r="BI75" s="67" t="e">
        <f t="shared" si="29"/>
        <v>#REF!</v>
      </c>
      <c r="BL75" s="479" t="s">
        <v>464</v>
      </c>
      <c r="BM75" s="222">
        <f>MAX(V18:V101)+500</f>
        <v>500</v>
      </c>
    </row>
    <row r="76" spans="3:71" x14ac:dyDescent="0.25">
      <c r="Q76" s="81">
        <v>3</v>
      </c>
      <c r="R76" s="45">
        <v>5</v>
      </c>
      <c r="S76" s="45" t="s">
        <v>475</v>
      </c>
      <c r="T76" s="438">
        <f>IF(S76="Cu. Yards", Q76*R76*52, Q76*R76*#REF!/#REF!)</f>
        <v>780</v>
      </c>
      <c r="U76" s="439" t="str">
        <f t="shared" si="34"/>
        <v>NA</v>
      </c>
      <c r="V76" s="129" t="str">
        <f t="shared" si="5"/>
        <v>NA</v>
      </c>
      <c r="W76" s="439">
        <f>IF(V76="NA",1000000,ABS('2.Current_Trash'!$K$29-'9.CustomRates'!V76))</f>
        <v>1000000</v>
      </c>
      <c r="X76" s="520">
        <f t="shared" si="6"/>
        <v>1</v>
      </c>
      <c r="Y76" s="438">
        <f t="shared" si="30"/>
        <v>0</v>
      </c>
      <c r="Z76" s="81" t="e">
        <f t="shared" si="7"/>
        <v>#N/A</v>
      </c>
      <c r="AA76" s="445" t="e">
        <f t="shared" si="8"/>
        <v>#N/A</v>
      </c>
      <c r="AB76" s="67" t="e">
        <f t="shared" si="9"/>
        <v>#N/A</v>
      </c>
      <c r="AC76" s="447" t="str">
        <f t="shared" si="10"/>
        <v>NA</v>
      </c>
      <c r="AD76" s="67">
        <f t="shared" si="11"/>
        <v>0</v>
      </c>
      <c r="AE76" s="81" t="e">
        <f t="shared" si="31"/>
        <v>#REF!</v>
      </c>
      <c r="AF76" s="45" t="e">
        <f t="shared" si="12"/>
        <v>#REF!</v>
      </c>
      <c r="AG76" s="67" t="e">
        <f t="shared" si="13"/>
        <v>#REF!</v>
      </c>
      <c r="AI76" s="81">
        <v>3</v>
      </c>
      <c r="AJ76" s="45">
        <v>5</v>
      </c>
      <c r="AK76" s="45" t="s">
        <v>378</v>
      </c>
      <c r="AL76" s="438">
        <f>IF(AK76="CY", AI76*AJ76*52, AI76*AJ76*#REF!/#REF!)</f>
        <v>780</v>
      </c>
      <c r="AM76" s="439" t="str">
        <f t="shared" si="14"/>
        <v>NA</v>
      </c>
      <c r="AN76" s="129" t="str">
        <f t="shared" si="15"/>
        <v>NA</v>
      </c>
      <c r="AO76" s="438">
        <f t="shared" si="16"/>
        <v>0</v>
      </c>
      <c r="AP76" s="81" t="e">
        <f t="shared" si="17"/>
        <v>#N/A</v>
      </c>
      <c r="AQ76" s="445" t="e">
        <f t="shared" si="18"/>
        <v>#N/A</v>
      </c>
      <c r="AR76" s="67" t="e">
        <f t="shared" si="19"/>
        <v>#N/A</v>
      </c>
      <c r="AS76" s="81" t="e">
        <f t="shared" si="32"/>
        <v>#VALUE!</v>
      </c>
      <c r="AT76" s="45" t="e">
        <f t="shared" si="20"/>
        <v>#VALUE!</v>
      </c>
      <c r="AU76" s="67" t="e">
        <f t="shared" si="21"/>
        <v>#VALUE!</v>
      </c>
      <c r="AW76" s="81">
        <v>3</v>
      </c>
      <c r="AX76" s="45">
        <v>5</v>
      </c>
      <c r="AY76" s="45" t="s">
        <v>475</v>
      </c>
      <c r="AZ76" s="438">
        <f>IF(AY76="Cu. Yards", AW76*AX76*52, AW76*AX76*#REF!/#REF!)</f>
        <v>780</v>
      </c>
      <c r="BA76" s="439" t="str">
        <f t="shared" si="22"/>
        <v>NA</v>
      </c>
      <c r="BB76" s="129" t="str">
        <f t="shared" si="23"/>
        <v>NA</v>
      </c>
      <c r="BC76" s="438">
        <f t="shared" si="24"/>
        <v>0</v>
      </c>
      <c r="BD76" s="81" t="e">
        <f t="shared" si="25"/>
        <v>#REF!</v>
      </c>
      <c r="BE76" s="445" t="e">
        <f t="shared" si="26"/>
        <v>#REF!</v>
      </c>
      <c r="BF76" s="67" t="e">
        <f t="shared" si="27"/>
        <v>#REF!</v>
      </c>
      <c r="BG76" s="45" t="e">
        <f t="shared" si="33"/>
        <v>#REF!</v>
      </c>
      <c r="BH76" s="45" t="e">
        <f t="shared" si="28"/>
        <v>#REF!</v>
      </c>
      <c r="BI76" s="67" t="e">
        <f t="shared" si="29"/>
        <v>#REF!</v>
      </c>
    </row>
    <row r="77" spans="3:71" x14ac:dyDescent="0.25">
      <c r="Q77" s="81">
        <v>4</v>
      </c>
      <c r="R77" s="45">
        <v>5</v>
      </c>
      <c r="S77" s="45" t="s">
        <v>475</v>
      </c>
      <c r="T77" s="438">
        <f>IF(S77="Cu. Yards", Q77*R77*52, Q77*R77*#REF!/#REF!)</f>
        <v>1040</v>
      </c>
      <c r="U77" s="439" t="str">
        <f t="shared" si="34"/>
        <v>NA</v>
      </c>
      <c r="V77" s="129" t="str">
        <f t="shared" si="5"/>
        <v>NA</v>
      </c>
      <c r="W77" s="439">
        <f>IF(V77="NA",1000000,ABS('2.Current_Trash'!$K$29-'9.CustomRates'!V77))</f>
        <v>1000000</v>
      </c>
      <c r="X77" s="520">
        <f t="shared" si="6"/>
        <v>1</v>
      </c>
      <c r="Y77" s="438">
        <f t="shared" si="30"/>
        <v>0</v>
      </c>
      <c r="Z77" s="81" t="e">
        <f t="shared" si="7"/>
        <v>#N/A</v>
      </c>
      <c r="AA77" s="445" t="e">
        <f t="shared" si="8"/>
        <v>#N/A</v>
      </c>
      <c r="AB77" s="67" t="e">
        <f t="shared" si="9"/>
        <v>#N/A</v>
      </c>
      <c r="AC77" s="447" t="str">
        <f t="shared" si="10"/>
        <v>NA</v>
      </c>
      <c r="AD77" s="67">
        <f t="shared" si="11"/>
        <v>0</v>
      </c>
      <c r="AE77" s="81" t="e">
        <f t="shared" si="31"/>
        <v>#REF!</v>
      </c>
      <c r="AF77" s="45" t="e">
        <f t="shared" si="12"/>
        <v>#REF!</v>
      </c>
      <c r="AG77" s="67" t="e">
        <f t="shared" si="13"/>
        <v>#REF!</v>
      </c>
      <c r="AI77" s="81">
        <v>4</v>
      </c>
      <c r="AJ77" s="45">
        <v>5</v>
      </c>
      <c r="AK77" s="45" t="s">
        <v>378</v>
      </c>
      <c r="AL77" s="438">
        <f>IF(AK77="CY", AI77*AJ77*52, AI77*AJ77*#REF!/#REF!)</f>
        <v>1040</v>
      </c>
      <c r="AM77" s="439" t="str">
        <f t="shared" si="14"/>
        <v>NA</v>
      </c>
      <c r="AN77" s="129" t="str">
        <f t="shared" si="15"/>
        <v>NA</v>
      </c>
      <c r="AO77" s="438">
        <f t="shared" si="16"/>
        <v>0</v>
      </c>
      <c r="AP77" s="81" t="e">
        <f t="shared" si="17"/>
        <v>#N/A</v>
      </c>
      <c r="AQ77" s="445" t="e">
        <f t="shared" si="18"/>
        <v>#N/A</v>
      </c>
      <c r="AR77" s="67" t="e">
        <f t="shared" si="19"/>
        <v>#N/A</v>
      </c>
      <c r="AS77" s="81" t="e">
        <f t="shared" si="32"/>
        <v>#VALUE!</v>
      </c>
      <c r="AT77" s="45" t="e">
        <f t="shared" si="20"/>
        <v>#VALUE!</v>
      </c>
      <c r="AU77" s="67" t="e">
        <f t="shared" si="21"/>
        <v>#VALUE!</v>
      </c>
      <c r="AW77" s="81">
        <v>4</v>
      </c>
      <c r="AX77" s="45">
        <v>5</v>
      </c>
      <c r="AY77" s="45" t="s">
        <v>475</v>
      </c>
      <c r="AZ77" s="438">
        <f>IF(AY77="Cu. Yards", AW77*AX77*52, AW77*AX77*#REF!/#REF!)</f>
        <v>1040</v>
      </c>
      <c r="BA77" s="439" t="str">
        <f t="shared" si="22"/>
        <v>NA</v>
      </c>
      <c r="BB77" s="129" t="str">
        <f t="shared" si="23"/>
        <v>NA</v>
      </c>
      <c r="BC77" s="438">
        <f t="shared" si="24"/>
        <v>0</v>
      </c>
      <c r="BD77" s="81" t="e">
        <f t="shared" si="25"/>
        <v>#REF!</v>
      </c>
      <c r="BE77" s="445" t="e">
        <f t="shared" si="26"/>
        <v>#REF!</v>
      </c>
      <c r="BF77" s="67" t="e">
        <f t="shared" si="27"/>
        <v>#REF!</v>
      </c>
      <c r="BG77" s="45" t="e">
        <f t="shared" si="33"/>
        <v>#REF!</v>
      </c>
      <c r="BH77" s="45" t="e">
        <f t="shared" si="28"/>
        <v>#REF!</v>
      </c>
      <c r="BI77" s="67" t="e">
        <f t="shared" si="29"/>
        <v>#REF!</v>
      </c>
    </row>
    <row r="78" spans="3:71" x14ac:dyDescent="0.25">
      <c r="Q78" s="81">
        <v>5</v>
      </c>
      <c r="R78" s="45">
        <v>5</v>
      </c>
      <c r="S78" s="45" t="s">
        <v>475</v>
      </c>
      <c r="T78" s="438">
        <f>IF(S78="Cu. Yards", Q78*R78*52, Q78*R78*#REF!/#REF!)</f>
        <v>1300</v>
      </c>
      <c r="U78" s="439" t="str">
        <f t="shared" si="34"/>
        <v>NA</v>
      </c>
      <c r="V78" s="129" t="str">
        <f t="shared" si="5"/>
        <v>NA</v>
      </c>
      <c r="W78" s="439">
        <f>IF(V78="NA",1000000,ABS('2.Current_Trash'!$K$29-'9.CustomRates'!V78))</f>
        <v>1000000</v>
      </c>
      <c r="X78" s="520">
        <f t="shared" si="6"/>
        <v>1</v>
      </c>
      <c r="Y78" s="438">
        <f t="shared" si="30"/>
        <v>0</v>
      </c>
      <c r="Z78" s="81" t="e">
        <f t="shared" si="7"/>
        <v>#N/A</v>
      </c>
      <c r="AA78" s="445" t="e">
        <f t="shared" si="8"/>
        <v>#N/A</v>
      </c>
      <c r="AB78" s="67" t="e">
        <f t="shared" si="9"/>
        <v>#N/A</v>
      </c>
      <c r="AC78" s="447" t="str">
        <f t="shared" si="10"/>
        <v>NA</v>
      </c>
      <c r="AD78" s="67">
        <f t="shared" si="11"/>
        <v>0</v>
      </c>
      <c r="AE78" s="81" t="e">
        <f t="shared" si="31"/>
        <v>#REF!</v>
      </c>
      <c r="AF78" s="45" t="e">
        <f t="shared" si="12"/>
        <v>#REF!</v>
      </c>
      <c r="AG78" s="67" t="e">
        <f t="shared" si="13"/>
        <v>#REF!</v>
      </c>
      <c r="AI78" s="81">
        <v>5</v>
      </c>
      <c r="AJ78" s="45">
        <v>5</v>
      </c>
      <c r="AK78" s="45" t="s">
        <v>378</v>
      </c>
      <c r="AL78" s="438">
        <f>IF(AK78="CY", AI78*AJ78*52, AI78*AJ78*#REF!/#REF!)</f>
        <v>1300</v>
      </c>
      <c r="AM78" s="439" t="str">
        <f t="shared" si="14"/>
        <v>NA</v>
      </c>
      <c r="AN78" s="129" t="str">
        <f t="shared" si="15"/>
        <v>NA</v>
      </c>
      <c r="AO78" s="438">
        <f t="shared" si="16"/>
        <v>0</v>
      </c>
      <c r="AP78" s="81" t="e">
        <f t="shared" si="17"/>
        <v>#N/A</v>
      </c>
      <c r="AQ78" s="445" t="e">
        <f t="shared" si="18"/>
        <v>#N/A</v>
      </c>
      <c r="AR78" s="67" t="e">
        <f t="shared" si="19"/>
        <v>#N/A</v>
      </c>
      <c r="AS78" s="81" t="e">
        <f t="shared" si="32"/>
        <v>#VALUE!</v>
      </c>
      <c r="AT78" s="45" t="e">
        <f t="shared" si="20"/>
        <v>#VALUE!</v>
      </c>
      <c r="AU78" s="67" t="e">
        <f t="shared" si="21"/>
        <v>#VALUE!</v>
      </c>
      <c r="AW78" s="81">
        <v>5</v>
      </c>
      <c r="AX78" s="45">
        <v>5</v>
      </c>
      <c r="AY78" s="45" t="s">
        <v>475</v>
      </c>
      <c r="AZ78" s="438">
        <f>IF(AY78="Cu. Yards", AW78*AX78*52, AW78*AX78*#REF!/#REF!)</f>
        <v>1300</v>
      </c>
      <c r="BA78" s="439" t="str">
        <f t="shared" si="22"/>
        <v>NA</v>
      </c>
      <c r="BB78" s="129" t="str">
        <f t="shared" si="23"/>
        <v>NA</v>
      </c>
      <c r="BC78" s="438">
        <f t="shared" si="24"/>
        <v>0</v>
      </c>
      <c r="BD78" s="81" t="e">
        <f t="shared" si="25"/>
        <v>#REF!</v>
      </c>
      <c r="BE78" s="445" t="e">
        <f t="shared" si="26"/>
        <v>#REF!</v>
      </c>
      <c r="BF78" s="67" t="e">
        <f t="shared" si="27"/>
        <v>#REF!</v>
      </c>
      <c r="BG78" s="45" t="e">
        <f t="shared" si="33"/>
        <v>#REF!</v>
      </c>
      <c r="BH78" s="45" t="e">
        <f t="shared" si="28"/>
        <v>#REF!</v>
      </c>
      <c r="BI78" s="67" t="e">
        <f t="shared" si="29"/>
        <v>#REF!</v>
      </c>
    </row>
    <row r="79" spans="3:71" x14ac:dyDescent="0.25">
      <c r="Q79" s="81">
        <v>6</v>
      </c>
      <c r="R79" s="45">
        <v>5</v>
      </c>
      <c r="S79" s="45" t="s">
        <v>475</v>
      </c>
      <c r="T79" s="438">
        <f>IF(S79="Cu. Yards", Q79*R79*52, Q79*R79*#REF!/#REF!)</f>
        <v>1560</v>
      </c>
      <c r="U79" s="439" t="str">
        <f t="shared" si="34"/>
        <v>NA</v>
      </c>
      <c r="V79" s="129" t="str">
        <f t="shared" si="5"/>
        <v>NA</v>
      </c>
      <c r="W79" s="439">
        <f>IF(V79="NA",1000000,ABS('2.Current_Trash'!$K$29-'9.CustomRates'!V79))</f>
        <v>1000000</v>
      </c>
      <c r="X79" s="520">
        <f t="shared" si="6"/>
        <v>1</v>
      </c>
      <c r="Y79" s="438">
        <f t="shared" si="30"/>
        <v>0</v>
      </c>
      <c r="Z79" s="81" t="e">
        <f t="shared" si="7"/>
        <v>#N/A</v>
      </c>
      <c r="AA79" s="445" t="e">
        <f t="shared" si="8"/>
        <v>#N/A</v>
      </c>
      <c r="AB79" s="67" t="e">
        <f t="shared" si="9"/>
        <v>#N/A</v>
      </c>
      <c r="AC79" s="447" t="str">
        <f t="shared" si="10"/>
        <v>NA</v>
      </c>
      <c r="AD79" s="67">
        <f t="shared" si="11"/>
        <v>0</v>
      </c>
      <c r="AE79" s="81" t="e">
        <f t="shared" si="31"/>
        <v>#REF!</v>
      </c>
      <c r="AF79" s="45" t="e">
        <f t="shared" si="12"/>
        <v>#REF!</v>
      </c>
      <c r="AG79" s="67" t="e">
        <f t="shared" si="13"/>
        <v>#REF!</v>
      </c>
      <c r="AI79" s="81">
        <v>6</v>
      </c>
      <c r="AJ79" s="45">
        <v>5</v>
      </c>
      <c r="AK79" s="45" t="s">
        <v>378</v>
      </c>
      <c r="AL79" s="438">
        <f>IF(AK79="CY", AI79*AJ79*52, AI79*AJ79*#REF!/#REF!)</f>
        <v>1560</v>
      </c>
      <c r="AM79" s="439" t="str">
        <f t="shared" si="14"/>
        <v>NA</v>
      </c>
      <c r="AN79" s="129" t="str">
        <f t="shared" si="15"/>
        <v>NA</v>
      </c>
      <c r="AO79" s="438">
        <f t="shared" si="16"/>
        <v>0</v>
      </c>
      <c r="AP79" s="81" t="e">
        <f t="shared" si="17"/>
        <v>#N/A</v>
      </c>
      <c r="AQ79" s="445" t="e">
        <f t="shared" si="18"/>
        <v>#N/A</v>
      </c>
      <c r="AR79" s="67" t="e">
        <f t="shared" si="19"/>
        <v>#N/A</v>
      </c>
      <c r="AS79" s="81" t="e">
        <f t="shared" si="32"/>
        <v>#VALUE!</v>
      </c>
      <c r="AT79" s="45" t="e">
        <f t="shared" si="20"/>
        <v>#VALUE!</v>
      </c>
      <c r="AU79" s="67" t="e">
        <f t="shared" si="21"/>
        <v>#VALUE!</v>
      </c>
      <c r="AW79" s="81">
        <v>6</v>
      </c>
      <c r="AX79" s="45">
        <v>5</v>
      </c>
      <c r="AY79" s="45" t="s">
        <v>475</v>
      </c>
      <c r="AZ79" s="438">
        <f>IF(AY79="Cu. Yards", AW79*AX79*52, AW79*AX79*#REF!/#REF!)</f>
        <v>1560</v>
      </c>
      <c r="BA79" s="439" t="str">
        <f t="shared" si="22"/>
        <v>NA</v>
      </c>
      <c r="BB79" s="129" t="str">
        <f t="shared" si="23"/>
        <v>NA</v>
      </c>
      <c r="BC79" s="438">
        <f t="shared" si="24"/>
        <v>0</v>
      </c>
      <c r="BD79" s="81" t="e">
        <f t="shared" si="25"/>
        <v>#REF!</v>
      </c>
      <c r="BE79" s="445" t="e">
        <f t="shared" si="26"/>
        <v>#REF!</v>
      </c>
      <c r="BF79" s="67" t="e">
        <f t="shared" si="27"/>
        <v>#REF!</v>
      </c>
      <c r="BG79" s="45" t="e">
        <f t="shared" si="33"/>
        <v>#REF!</v>
      </c>
      <c r="BH79" s="45" t="e">
        <f t="shared" si="28"/>
        <v>#REF!</v>
      </c>
      <c r="BI79" s="67" t="e">
        <f t="shared" si="29"/>
        <v>#REF!</v>
      </c>
    </row>
    <row r="80" spans="3:71" x14ac:dyDescent="0.25">
      <c r="Q80" s="81">
        <v>7</v>
      </c>
      <c r="R80" s="45">
        <v>5</v>
      </c>
      <c r="S80" s="45" t="s">
        <v>475</v>
      </c>
      <c r="T80" s="438">
        <f>IF(S80="Cu. Yards", Q80*R80*52, Q80*R80*#REF!/#REF!)</f>
        <v>1820</v>
      </c>
      <c r="U80" s="439" t="str">
        <f t="shared" si="34"/>
        <v>NA</v>
      </c>
      <c r="V80" s="129" t="str">
        <f t="shared" si="5"/>
        <v>NA</v>
      </c>
      <c r="W80" s="439">
        <f>IF(V80="NA",1000000,ABS('2.Current_Trash'!$K$29-'9.CustomRates'!V80))</f>
        <v>1000000</v>
      </c>
      <c r="X80" s="520">
        <f t="shared" si="6"/>
        <v>1</v>
      </c>
      <c r="Y80" s="438">
        <f t="shared" si="30"/>
        <v>0</v>
      </c>
      <c r="Z80" s="81" t="e">
        <f t="shared" si="7"/>
        <v>#N/A</v>
      </c>
      <c r="AA80" s="445" t="e">
        <f t="shared" si="8"/>
        <v>#N/A</v>
      </c>
      <c r="AB80" s="67" t="e">
        <f t="shared" si="9"/>
        <v>#N/A</v>
      </c>
      <c r="AC80" s="447" t="str">
        <f t="shared" si="10"/>
        <v>NA</v>
      </c>
      <c r="AD80" s="67">
        <f t="shared" si="11"/>
        <v>0</v>
      </c>
      <c r="AE80" s="81" t="e">
        <f t="shared" si="31"/>
        <v>#REF!</v>
      </c>
      <c r="AF80" s="45" t="e">
        <f t="shared" si="12"/>
        <v>#REF!</v>
      </c>
      <c r="AG80" s="67" t="e">
        <f t="shared" si="13"/>
        <v>#REF!</v>
      </c>
      <c r="AI80" s="81">
        <v>7</v>
      </c>
      <c r="AJ80" s="45">
        <v>5</v>
      </c>
      <c r="AK80" s="45" t="s">
        <v>378</v>
      </c>
      <c r="AL80" s="438">
        <f>IF(AK80="CY", AI80*AJ80*52, AI80*AJ80*#REF!/#REF!)</f>
        <v>1820</v>
      </c>
      <c r="AM80" s="439" t="str">
        <f t="shared" si="14"/>
        <v>NA</v>
      </c>
      <c r="AN80" s="129" t="str">
        <f t="shared" si="15"/>
        <v>NA</v>
      </c>
      <c r="AO80" s="438">
        <f t="shared" si="16"/>
        <v>0</v>
      </c>
      <c r="AP80" s="81" t="e">
        <f t="shared" si="17"/>
        <v>#N/A</v>
      </c>
      <c r="AQ80" s="445" t="e">
        <f t="shared" si="18"/>
        <v>#N/A</v>
      </c>
      <c r="AR80" s="67" t="e">
        <f t="shared" si="19"/>
        <v>#N/A</v>
      </c>
      <c r="AS80" s="81" t="e">
        <f t="shared" si="32"/>
        <v>#VALUE!</v>
      </c>
      <c r="AT80" s="45" t="e">
        <f t="shared" si="20"/>
        <v>#VALUE!</v>
      </c>
      <c r="AU80" s="67" t="e">
        <f t="shared" si="21"/>
        <v>#VALUE!</v>
      </c>
      <c r="AW80" s="81">
        <v>7</v>
      </c>
      <c r="AX80" s="45">
        <v>5</v>
      </c>
      <c r="AY80" s="45" t="s">
        <v>475</v>
      </c>
      <c r="AZ80" s="438">
        <f>IF(AY80="Cu. Yards", AW80*AX80*52, AW80*AX80*#REF!/#REF!)</f>
        <v>1820</v>
      </c>
      <c r="BA80" s="439" t="str">
        <f t="shared" si="22"/>
        <v>NA</v>
      </c>
      <c r="BB80" s="129" t="str">
        <f t="shared" si="23"/>
        <v>NA</v>
      </c>
      <c r="BC80" s="438">
        <f t="shared" si="24"/>
        <v>0</v>
      </c>
      <c r="BD80" s="81" t="e">
        <f t="shared" si="25"/>
        <v>#REF!</v>
      </c>
      <c r="BE80" s="445" t="e">
        <f t="shared" si="26"/>
        <v>#REF!</v>
      </c>
      <c r="BF80" s="67" t="e">
        <f t="shared" si="27"/>
        <v>#REF!</v>
      </c>
      <c r="BG80" s="45" t="e">
        <f t="shared" si="33"/>
        <v>#REF!</v>
      </c>
      <c r="BH80" s="45" t="e">
        <f t="shared" si="28"/>
        <v>#REF!</v>
      </c>
      <c r="BI80" s="67" t="e">
        <f t="shared" si="29"/>
        <v>#REF!</v>
      </c>
    </row>
    <row r="81" spans="17:61" x14ac:dyDescent="0.25">
      <c r="Q81" s="81">
        <v>1</v>
      </c>
      <c r="R81" s="45">
        <v>6</v>
      </c>
      <c r="S81" s="45" t="s">
        <v>475</v>
      </c>
      <c r="T81" s="438">
        <f>IF(S81="Cu. Yards", Q81*R81*52, Q81*R81*#REF!/#REF!)</f>
        <v>312</v>
      </c>
      <c r="U81" s="439" t="str">
        <f t="shared" si="34"/>
        <v>NA</v>
      </c>
      <c r="V81" s="129" t="str">
        <f t="shared" si="5"/>
        <v>NA</v>
      </c>
      <c r="W81" s="439">
        <f>IF(V81="NA",1000000,ABS('2.Current_Trash'!$K$29-'9.CustomRates'!V81))</f>
        <v>1000000</v>
      </c>
      <c r="X81" s="520">
        <f t="shared" si="6"/>
        <v>1</v>
      </c>
      <c r="Y81" s="438">
        <f t="shared" si="30"/>
        <v>0</v>
      </c>
      <c r="Z81" s="81" t="e">
        <f t="shared" si="7"/>
        <v>#N/A</v>
      </c>
      <c r="AA81" s="445" t="e">
        <f t="shared" si="8"/>
        <v>#N/A</v>
      </c>
      <c r="AB81" s="67" t="e">
        <f t="shared" si="9"/>
        <v>#N/A</v>
      </c>
      <c r="AC81" s="447" t="str">
        <f t="shared" si="10"/>
        <v>NA</v>
      </c>
      <c r="AD81" s="67">
        <f t="shared" si="11"/>
        <v>0</v>
      </c>
      <c r="AE81" s="81" t="e">
        <f t="shared" si="31"/>
        <v>#REF!</v>
      </c>
      <c r="AF81" s="45" t="e">
        <f t="shared" si="12"/>
        <v>#REF!</v>
      </c>
      <c r="AG81" s="67" t="e">
        <f t="shared" si="13"/>
        <v>#REF!</v>
      </c>
      <c r="AI81" s="81">
        <v>1</v>
      </c>
      <c r="AJ81" s="45">
        <v>6</v>
      </c>
      <c r="AK81" s="45" t="s">
        <v>378</v>
      </c>
      <c r="AL81" s="438">
        <f>IF(AK81="CY", AI81*AJ81*52, AI81*AJ81*#REF!/#REF!)</f>
        <v>312</v>
      </c>
      <c r="AM81" s="439" t="str">
        <f t="shared" si="14"/>
        <v>NA</v>
      </c>
      <c r="AN81" s="129" t="str">
        <f t="shared" si="15"/>
        <v>NA</v>
      </c>
      <c r="AO81" s="438">
        <f t="shared" si="16"/>
        <v>0</v>
      </c>
      <c r="AP81" s="81" t="e">
        <f t="shared" si="17"/>
        <v>#N/A</v>
      </c>
      <c r="AQ81" s="445" t="e">
        <f t="shared" si="18"/>
        <v>#N/A</v>
      </c>
      <c r="AR81" s="67" t="e">
        <f t="shared" si="19"/>
        <v>#N/A</v>
      </c>
      <c r="AS81" s="81" t="e">
        <f t="shared" si="32"/>
        <v>#VALUE!</v>
      </c>
      <c r="AT81" s="45" t="e">
        <f t="shared" si="20"/>
        <v>#VALUE!</v>
      </c>
      <c r="AU81" s="67" t="e">
        <f t="shared" si="21"/>
        <v>#VALUE!</v>
      </c>
      <c r="AW81" s="81">
        <v>1</v>
      </c>
      <c r="AX81" s="45">
        <v>6</v>
      </c>
      <c r="AY81" s="45" t="s">
        <v>475</v>
      </c>
      <c r="AZ81" s="438">
        <f>IF(AY81="Cu. Yards", AW81*AX81*52, AW81*AX81*#REF!/#REF!)</f>
        <v>312</v>
      </c>
      <c r="BA81" s="439" t="str">
        <f t="shared" si="22"/>
        <v>NA</v>
      </c>
      <c r="BB81" s="129" t="str">
        <f t="shared" si="23"/>
        <v>NA</v>
      </c>
      <c r="BC81" s="438">
        <f t="shared" si="24"/>
        <v>0</v>
      </c>
      <c r="BD81" s="81" t="e">
        <f t="shared" si="25"/>
        <v>#REF!</v>
      </c>
      <c r="BE81" s="445" t="e">
        <f t="shared" si="26"/>
        <v>#REF!</v>
      </c>
      <c r="BF81" s="67" t="e">
        <f t="shared" si="27"/>
        <v>#REF!</v>
      </c>
      <c r="BG81" s="45" t="e">
        <f t="shared" si="33"/>
        <v>#REF!</v>
      </c>
      <c r="BH81" s="45" t="e">
        <f t="shared" si="28"/>
        <v>#REF!</v>
      </c>
      <c r="BI81" s="67" t="e">
        <f t="shared" si="29"/>
        <v>#REF!</v>
      </c>
    </row>
    <row r="82" spans="17:61" x14ac:dyDescent="0.25">
      <c r="Q82" s="81">
        <v>2</v>
      </c>
      <c r="R82" s="45">
        <v>6</v>
      </c>
      <c r="S82" s="45" t="s">
        <v>475</v>
      </c>
      <c r="T82" s="438">
        <f>IF(S82="Cu. Yards", Q82*R82*52, Q82*R82*#REF!/#REF!)</f>
        <v>624</v>
      </c>
      <c r="U82" s="439" t="str">
        <f t="shared" si="34"/>
        <v>NA</v>
      </c>
      <c r="V82" s="129" t="str">
        <f t="shared" si="5"/>
        <v>NA</v>
      </c>
      <c r="W82" s="439">
        <f>IF(V82="NA",1000000,ABS('2.Current_Trash'!$K$29-'9.CustomRates'!V82))</f>
        <v>1000000</v>
      </c>
      <c r="X82" s="520">
        <f t="shared" si="6"/>
        <v>1</v>
      </c>
      <c r="Y82" s="438">
        <f t="shared" si="30"/>
        <v>0</v>
      </c>
      <c r="Z82" s="81" t="e">
        <f t="shared" si="7"/>
        <v>#N/A</v>
      </c>
      <c r="AA82" s="445" t="e">
        <f t="shared" si="8"/>
        <v>#N/A</v>
      </c>
      <c r="AB82" s="67" t="e">
        <f t="shared" si="9"/>
        <v>#N/A</v>
      </c>
      <c r="AC82" s="447" t="str">
        <f t="shared" si="10"/>
        <v>NA</v>
      </c>
      <c r="AD82" s="67">
        <f t="shared" si="11"/>
        <v>0</v>
      </c>
      <c r="AE82" s="81" t="e">
        <f t="shared" ref="AE82:AE101" si="35">IF(AND(ISNUMBER(V82), T82&gt;$BO$71), 1, 0)</f>
        <v>#REF!</v>
      </c>
      <c r="AF82" s="45" t="e">
        <f t="shared" si="12"/>
        <v>#REF!</v>
      </c>
      <c r="AG82" s="67" t="e">
        <f t="shared" si="13"/>
        <v>#REF!</v>
      </c>
      <c r="AI82" s="81">
        <v>2</v>
      </c>
      <c r="AJ82" s="45">
        <v>6</v>
      </c>
      <c r="AK82" s="45" t="s">
        <v>378</v>
      </c>
      <c r="AL82" s="438">
        <f>IF(AK82="CY", AI82*AJ82*52, AI82*AJ82*#REF!/#REF!)</f>
        <v>624</v>
      </c>
      <c r="AM82" s="439" t="str">
        <f t="shared" si="14"/>
        <v>NA</v>
      </c>
      <c r="AN82" s="129" t="str">
        <f t="shared" si="15"/>
        <v>NA</v>
      </c>
      <c r="AO82" s="438">
        <f t="shared" si="16"/>
        <v>0</v>
      </c>
      <c r="AP82" s="81" t="e">
        <f t="shared" si="17"/>
        <v>#N/A</v>
      </c>
      <c r="AQ82" s="445" t="e">
        <f t="shared" si="18"/>
        <v>#N/A</v>
      </c>
      <c r="AR82" s="67" t="e">
        <f t="shared" si="19"/>
        <v>#N/A</v>
      </c>
      <c r="AS82" s="81" t="e">
        <f t="shared" ref="AS82:AS101" si="36">IF(AND(ISNUMBER(AN82), AL82&gt;$BO$34), 1, 0)</f>
        <v>#VALUE!</v>
      </c>
      <c r="AT82" s="45" t="e">
        <f t="shared" si="20"/>
        <v>#VALUE!</v>
      </c>
      <c r="AU82" s="67" t="e">
        <f t="shared" si="21"/>
        <v>#VALUE!</v>
      </c>
      <c r="AW82" s="81">
        <v>2</v>
      </c>
      <c r="AX82" s="45">
        <v>6</v>
      </c>
      <c r="AY82" s="45" t="s">
        <v>475</v>
      </c>
      <c r="AZ82" s="438">
        <f>IF(AY82="Cu. Yards", AW82*AX82*52, AW82*AX82*#REF!/#REF!)</f>
        <v>624</v>
      </c>
      <c r="BA82" s="439" t="str">
        <f t="shared" si="22"/>
        <v>NA</v>
      </c>
      <c r="BB82" s="129" t="str">
        <f t="shared" si="23"/>
        <v>NA</v>
      </c>
      <c r="BC82" s="438">
        <f t="shared" si="24"/>
        <v>0</v>
      </c>
      <c r="BD82" s="81" t="e">
        <f t="shared" si="25"/>
        <v>#REF!</v>
      </c>
      <c r="BE82" s="445" t="e">
        <f t="shared" si="26"/>
        <v>#REF!</v>
      </c>
      <c r="BF82" s="67" t="e">
        <f t="shared" si="27"/>
        <v>#REF!</v>
      </c>
      <c r="BG82" s="45" t="e">
        <f t="shared" ref="BG82:BG101" si="37">IF(AND(ISNUMBER(BB82), AZ82&gt;$BO$35), 1, 0)</f>
        <v>#REF!</v>
      </c>
      <c r="BH82" s="45" t="e">
        <f t="shared" si="28"/>
        <v>#REF!</v>
      </c>
      <c r="BI82" s="67" t="e">
        <f t="shared" si="29"/>
        <v>#REF!</v>
      </c>
    </row>
    <row r="83" spans="17:61" x14ac:dyDescent="0.25">
      <c r="Q83" s="81">
        <v>3</v>
      </c>
      <c r="R83" s="45">
        <v>6</v>
      </c>
      <c r="S83" s="45" t="s">
        <v>475</v>
      </c>
      <c r="T83" s="438">
        <f>IF(S83="Cu. Yards", Q83*R83*52, Q83*R83*#REF!/#REF!)</f>
        <v>936</v>
      </c>
      <c r="U83" s="439" t="str">
        <f t="shared" si="34"/>
        <v>NA</v>
      </c>
      <c r="V83" s="129" t="str">
        <f t="shared" ref="V83:V101" si="38">IF(ISTEXT(U83), "NA", U83*12)</f>
        <v>NA</v>
      </c>
      <c r="W83" s="439">
        <f>IF(V83="NA",1000000,ABS('2.Current_Trash'!$K$29-'9.CustomRates'!V83))</f>
        <v>1000000</v>
      </c>
      <c r="X83" s="520">
        <f t="shared" ref="X83:X101" si="39">IF(W83=MIN($W$18:$W$101), 1, 0)</f>
        <v>1</v>
      </c>
      <c r="Y83" s="438">
        <f t="shared" ref="Y83:Y101" si="40">IF(V83=MAX($V$18:$V$101), 1, 0)</f>
        <v>0</v>
      </c>
      <c r="Z83" s="81" t="e">
        <f t="shared" ref="Z83:Z101" si="41">IF(AND(ISNUMBER(V83), T83&gt;$BO$64), 1, 0)</f>
        <v>#N/A</v>
      </c>
      <c r="AA83" s="445" t="e">
        <f t="shared" ref="AA83:AA101" si="42">IF(Z83=1, V83, "NA")</f>
        <v>#N/A</v>
      </c>
      <c r="AB83" s="67" t="e">
        <f t="shared" ref="AB83:AB101" si="43">IF(AA83=MIN($AA$18:$AA$101), 1, 0)</f>
        <v>#N/A</v>
      </c>
      <c r="AC83" s="447" t="str">
        <f t="shared" ref="AC83:AC101" si="44">IF(V83="NA", "NA", IF(V83-$BO$67&lt;0, "NA", V83-$BO$67))</f>
        <v>NA</v>
      </c>
      <c r="AD83" s="67">
        <f t="shared" ref="AD83:AD101" si="45">IF(AC83=MIN($AC$18:$AC$101),1,0)</f>
        <v>0</v>
      </c>
      <c r="AE83" s="81" t="e">
        <f t="shared" si="35"/>
        <v>#REF!</v>
      </c>
      <c r="AF83" s="45" t="e">
        <f t="shared" ref="AF83:AF101" si="46">IF(AE83=1, V83, "NA")</f>
        <v>#REF!</v>
      </c>
      <c r="AG83" s="67" t="e">
        <f t="shared" ref="AG83:AG101" si="47">IF(AF83=MIN($AF$18:$AF$101), 1, 0)</f>
        <v>#REF!</v>
      </c>
      <c r="AI83" s="81">
        <v>3</v>
      </c>
      <c r="AJ83" s="45">
        <v>6</v>
      </c>
      <c r="AK83" s="45" t="s">
        <v>378</v>
      </c>
      <c r="AL83" s="438">
        <f>IF(AK83="CY", AI83*AJ83*52, AI83*AJ83*#REF!/#REF!)</f>
        <v>936</v>
      </c>
      <c r="AM83" s="439" t="str">
        <f t="shared" ref="AM83:AM101" si="48">INDEX($D$37:$L$49,MATCH(AJ83,$D$37:$D$49,0),MATCH(AI83,$D$37:$L$37,0))</f>
        <v>NA</v>
      </c>
      <c r="AN83" s="129" t="str">
        <f t="shared" ref="AN83:AN101" si="49">IF(ISTEXT(AM83), "NA", AM83*12)</f>
        <v>NA</v>
      </c>
      <c r="AO83" s="438">
        <f t="shared" ref="AO83:AO101" si="50">IF(AN83=MAX($AN$18:$AN$101), 1, 0)</f>
        <v>0</v>
      </c>
      <c r="AP83" s="81" t="e">
        <f t="shared" ref="AP83:AP101" si="51">IF(AND(ISNUMBER(AN83), AL83&gt;$BQ$27), 1, 0)</f>
        <v>#N/A</v>
      </c>
      <c r="AQ83" s="445" t="e">
        <f t="shared" ref="AQ83:AQ101" si="52">IF(AP83=1, AN83, "NA")</f>
        <v>#N/A</v>
      </c>
      <c r="AR83" s="67" t="e">
        <f t="shared" ref="AR83:AR101" si="53">IF(AQ83=MIN($AQ$18:$AQ$101), 1, 0)</f>
        <v>#N/A</v>
      </c>
      <c r="AS83" s="81" t="e">
        <f t="shared" si="36"/>
        <v>#VALUE!</v>
      </c>
      <c r="AT83" s="45" t="e">
        <f t="shared" ref="AT83:AT101" si="54">IF(AS83=1, AN83, "NA")</f>
        <v>#VALUE!</v>
      </c>
      <c r="AU83" s="67" t="e">
        <f t="shared" ref="AU83:AU101" si="55">IF(AT83=MIN($AT$18:$AT$101), 1, 0)</f>
        <v>#VALUE!</v>
      </c>
      <c r="AW83" s="81">
        <v>3</v>
      </c>
      <c r="AX83" s="45">
        <v>6</v>
      </c>
      <c r="AY83" s="45" t="s">
        <v>475</v>
      </c>
      <c r="AZ83" s="438">
        <f>IF(AY83="Cu. Yards", AW83*AX83*52, AW83*AX83*#REF!/#REF!)</f>
        <v>936</v>
      </c>
      <c r="BA83" s="439" t="str">
        <f t="shared" ref="BA83:BA101" si="56">INDEX($D$57:$L$69,MATCH(AX83,$D$57:$D$69,0),MATCH(AW83,$D$57:$L$57,0))</f>
        <v>NA</v>
      </c>
      <c r="BB83" s="129" t="str">
        <f t="shared" ref="BB83:BB101" si="57">IF(ISTEXT(BA83), "NA", BA83*12)</f>
        <v>NA</v>
      </c>
      <c r="BC83" s="438">
        <f t="shared" ref="BC83:BC101" si="58">IF(BB83=MAX($BB$18:$BB$101), 1, 0)</f>
        <v>0</v>
      </c>
      <c r="BD83" s="81" t="e">
        <f t="shared" ref="BD83:BD101" si="59">IF(AND(ISNUMBER(BB83), AZ83&gt;$BQ$28), 1, 0)</f>
        <v>#REF!</v>
      </c>
      <c r="BE83" s="445" t="e">
        <f t="shared" ref="BE83:BE101" si="60">IF(BD83=1, BB83, "NA")</f>
        <v>#REF!</v>
      </c>
      <c r="BF83" s="67" t="e">
        <f t="shared" ref="BF83:BF101" si="61">IF(BE83=MIN($BE$18:$BE$101), 1, 0)</f>
        <v>#REF!</v>
      </c>
      <c r="BG83" s="45" t="e">
        <f t="shared" si="37"/>
        <v>#REF!</v>
      </c>
      <c r="BH83" s="45" t="e">
        <f t="shared" ref="BH83:BH101" si="62">IF(BG83=1, BB83, "NA")</f>
        <v>#REF!</v>
      </c>
      <c r="BI83" s="67" t="e">
        <f t="shared" ref="BI83:BI101" si="63">IF(BH83=MIN($BH$18:$BH$101), 1, 0)</f>
        <v>#REF!</v>
      </c>
    </row>
    <row r="84" spans="17:61" x14ac:dyDescent="0.25">
      <c r="Q84" s="81">
        <v>4</v>
      </c>
      <c r="R84" s="45">
        <v>6</v>
      </c>
      <c r="S84" s="45" t="s">
        <v>475</v>
      </c>
      <c r="T84" s="438">
        <f>IF(S84="Cu. Yards", Q84*R84*52, Q84*R84*#REF!/#REF!)</f>
        <v>1248</v>
      </c>
      <c r="U84" s="439" t="str">
        <f t="shared" ref="U84:U101" si="64">INDEX($D$17:$L$29,MATCH(R84,$D$17:$D$29,0),MATCH(Q84,$D$17:$L$17,0))</f>
        <v>NA</v>
      </c>
      <c r="V84" s="129" t="str">
        <f t="shared" si="38"/>
        <v>NA</v>
      </c>
      <c r="W84" s="439">
        <f>IF(V84="NA",1000000,ABS('2.Current_Trash'!$K$29-'9.CustomRates'!V84))</f>
        <v>1000000</v>
      </c>
      <c r="X84" s="520">
        <f t="shared" si="39"/>
        <v>1</v>
      </c>
      <c r="Y84" s="438">
        <f t="shared" si="40"/>
        <v>0</v>
      </c>
      <c r="Z84" s="81" t="e">
        <f t="shared" si="41"/>
        <v>#N/A</v>
      </c>
      <c r="AA84" s="445" t="e">
        <f t="shared" si="42"/>
        <v>#N/A</v>
      </c>
      <c r="AB84" s="67" t="e">
        <f t="shared" si="43"/>
        <v>#N/A</v>
      </c>
      <c r="AC84" s="447" t="str">
        <f t="shared" si="44"/>
        <v>NA</v>
      </c>
      <c r="AD84" s="67">
        <f t="shared" si="45"/>
        <v>0</v>
      </c>
      <c r="AE84" s="81" t="e">
        <f t="shared" si="35"/>
        <v>#REF!</v>
      </c>
      <c r="AF84" s="45" t="e">
        <f t="shared" si="46"/>
        <v>#REF!</v>
      </c>
      <c r="AG84" s="67" t="e">
        <f t="shared" si="47"/>
        <v>#REF!</v>
      </c>
      <c r="AI84" s="81">
        <v>4</v>
      </c>
      <c r="AJ84" s="45">
        <v>6</v>
      </c>
      <c r="AK84" s="45" t="s">
        <v>378</v>
      </c>
      <c r="AL84" s="438">
        <f>IF(AK84="CY", AI84*AJ84*52, AI84*AJ84*#REF!/#REF!)</f>
        <v>1248</v>
      </c>
      <c r="AM84" s="439" t="str">
        <f t="shared" si="48"/>
        <v>NA</v>
      </c>
      <c r="AN84" s="129" t="str">
        <f t="shared" si="49"/>
        <v>NA</v>
      </c>
      <c r="AO84" s="438">
        <f t="shared" si="50"/>
        <v>0</v>
      </c>
      <c r="AP84" s="81" t="e">
        <f t="shared" si="51"/>
        <v>#N/A</v>
      </c>
      <c r="AQ84" s="445" t="e">
        <f t="shared" si="52"/>
        <v>#N/A</v>
      </c>
      <c r="AR84" s="67" t="e">
        <f t="shared" si="53"/>
        <v>#N/A</v>
      </c>
      <c r="AS84" s="81" t="e">
        <f t="shared" si="36"/>
        <v>#VALUE!</v>
      </c>
      <c r="AT84" s="45" t="e">
        <f t="shared" si="54"/>
        <v>#VALUE!</v>
      </c>
      <c r="AU84" s="67" t="e">
        <f t="shared" si="55"/>
        <v>#VALUE!</v>
      </c>
      <c r="AW84" s="81">
        <v>4</v>
      </c>
      <c r="AX84" s="45">
        <v>6</v>
      </c>
      <c r="AY84" s="45" t="s">
        <v>475</v>
      </c>
      <c r="AZ84" s="438">
        <f>IF(AY84="Cu. Yards", AW84*AX84*52, AW84*AX84*#REF!/#REF!)</f>
        <v>1248</v>
      </c>
      <c r="BA84" s="439" t="str">
        <f t="shared" si="56"/>
        <v>NA</v>
      </c>
      <c r="BB84" s="129" t="str">
        <f t="shared" si="57"/>
        <v>NA</v>
      </c>
      <c r="BC84" s="438">
        <f t="shared" si="58"/>
        <v>0</v>
      </c>
      <c r="BD84" s="81" t="e">
        <f t="shared" si="59"/>
        <v>#REF!</v>
      </c>
      <c r="BE84" s="445" t="e">
        <f t="shared" si="60"/>
        <v>#REF!</v>
      </c>
      <c r="BF84" s="67" t="e">
        <f t="shared" si="61"/>
        <v>#REF!</v>
      </c>
      <c r="BG84" s="45" t="e">
        <f t="shared" si="37"/>
        <v>#REF!</v>
      </c>
      <c r="BH84" s="45" t="e">
        <f t="shared" si="62"/>
        <v>#REF!</v>
      </c>
      <c r="BI84" s="67" t="e">
        <f t="shared" si="63"/>
        <v>#REF!</v>
      </c>
    </row>
    <row r="85" spans="17:61" x14ac:dyDescent="0.25">
      <c r="Q85" s="81">
        <v>5</v>
      </c>
      <c r="R85" s="45">
        <v>6</v>
      </c>
      <c r="S85" s="45" t="s">
        <v>475</v>
      </c>
      <c r="T85" s="438">
        <f>IF(S85="Cu. Yards", Q85*R85*52, Q85*R85*#REF!/#REF!)</f>
        <v>1560</v>
      </c>
      <c r="U85" s="439" t="str">
        <f t="shared" si="64"/>
        <v>NA</v>
      </c>
      <c r="V85" s="129" t="str">
        <f t="shared" si="38"/>
        <v>NA</v>
      </c>
      <c r="W85" s="439">
        <f>IF(V85="NA",1000000,ABS('2.Current_Trash'!$K$29-'9.CustomRates'!V85))</f>
        <v>1000000</v>
      </c>
      <c r="X85" s="520">
        <f t="shared" si="39"/>
        <v>1</v>
      </c>
      <c r="Y85" s="438">
        <f t="shared" si="40"/>
        <v>0</v>
      </c>
      <c r="Z85" s="81" t="e">
        <f t="shared" si="41"/>
        <v>#N/A</v>
      </c>
      <c r="AA85" s="445" t="e">
        <f t="shared" si="42"/>
        <v>#N/A</v>
      </c>
      <c r="AB85" s="67" t="e">
        <f t="shared" si="43"/>
        <v>#N/A</v>
      </c>
      <c r="AC85" s="447" t="str">
        <f t="shared" si="44"/>
        <v>NA</v>
      </c>
      <c r="AD85" s="67">
        <f t="shared" si="45"/>
        <v>0</v>
      </c>
      <c r="AE85" s="81" t="e">
        <f t="shared" si="35"/>
        <v>#REF!</v>
      </c>
      <c r="AF85" s="45" t="e">
        <f t="shared" si="46"/>
        <v>#REF!</v>
      </c>
      <c r="AG85" s="67" t="e">
        <f t="shared" si="47"/>
        <v>#REF!</v>
      </c>
      <c r="AI85" s="81">
        <v>5</v>
      </c>
      <c r="AJ85" s="45">
        <v>6</v>
      </c>
      <c r="AK85" s="45" t="s">
        <v>378</v>
      </c>
      <c r="AL85" s="438">
        <f>IF(AK85="CY", AI85*AJ85*52, AI85*AJ85*#REF!/#REF!)</f>
        <v>1560</v>
      </c>
      <c r="AM85" s="439" t="str">
        <f t="shared" si="48"/>
        <v>NA</v>
      </c>
      <c r="AN85" s="129" t="str">
        <f t="shared" si="49"/>
        <v>NA</v>
      </c>
      <c r="AO85" s="438">
        <f t="shared" si="50"/>
        <v>0</v>
      </c>
      <c r="AP85" s="81" t="e">
        <f t="shared" si="51"/>
        <v>#N/A</v>
      </c>
      <c r="AQ85" s="445" t="e">
        <f t="shared" si="52"/>
        <v>#N/A</v>
      </c>
      <c r="AR85" s="67" t="e">
        <f t="shared" si="53"/>
        <v>#N/A</v>
      </c>
      <c r="AS85" s="81" t="e">
        <f t="shared" si="36"/>
        <v>#VALUE!</v>
      </c>
      <c r="AT85" s="45" t="e">
        <f t="shared" si="54"/>
        <v>#VALUE!</v>
      </c>
      <c r="AU85" s="67" t="e">
        <f t="shared" si="55"/>
        <v>#VALUE!</v>
      </c>
      <c r="AW85" s="81">
        <v>5</v>
      </c>
      <c r="AX85" s="45">
        <v>6</v>
      </c>
      <c r="AY85" s="45" t="s">
        <v>475</v>
      </c>
      <c r="AZ85" s="438">
        <f>IF(AY85="Cu. Yards", AW85*AX85*52, AW85*AX85*#REF!/#REF!)</f>
        <v>1560</v>
      </c>
      <c r="BA85" s="439" t="str">
        <f t="shared" si="56"/>
        <v>NA</v>
      </c>
      <c r="BB85" s="129" t="str">
        <f t="shared" si="57"/>
        <v>NA</v>
      </c>
      <c r="BC85" s="438">
        <f t="shared" si="58"/>
        <v>0</v>
      </c>
      <c r="BD85" s="81" t="e">
        <f t="shared" si="59"/>
        <v>#REF!</v>
      </c>
      <c r="BE85" s="445" t="e">
        <f t="shared" si="60"/>
        <v>#REF!</v>
      </c>
      <c r="BF85" s="67" t="e">
        <f t="shared" si="61"/>
        <v>#REF!</v>
      </c>
      <c r="BG85" s="45" t="e">
        <f t="shared" si="37"/>
        <v>#REF!</v>
      </c>
      <c r="BH85" s="45" t="e">
        <f t="shared" si="62"/>
        <v>#REF!</v>
      </c>
      <c r="BI85" s="67" t="e">
        <f t="shared" si="63"/>
        <v>#REF!</v>
      </c>
    </row>
    <row r="86" spans="17:61" x14ac:dyDescent="0.25">
      <c r="Q86" s="81">
        <v>6</v>
      </c>
      <c r="R86" s="45">
        <v>6</v>
      </c>
      <c r="S86" s="45" t="s">
        <v>475</v>
      </c>
      <c r="T86" s="438">
        <f>IF(S86="Cu. Yards", Q86*R86*52, Q86*R86*#REF!/#REF!)</f>
        <v>1872</v>
      </c>
      <c r="U86" s="439" t="str">
        <f t="shared" si="64"/>
        <v>NA</v>
      </c>
      <c r="V86" s="129" t="str">
        <f t="shared" si="38"/>
        <v>NA</v>
      </c>
      <c r="W86" s="439">
        <f>IF(V86="NA",1000000,ABS('2.Current_Trash'!$K$29-'9.CustomRates'!V86))</f>
        <v>1000000</v>
      </c>
      <c r="X86" s="520">
        <f t="shared" si="39"/>
        <v>1</v>
      </c>
      <c r="Y86" s="438">
        <f t="shared" si="40"/>
        <v>0</v>
      </c>
      <c r="Z86" s="81" t="e">
        <f t="shared" si="41"/>
        <v>#N/A</v>
      </c>
      <c r="AA86" s="445" t="e">
        <f t="shared" si="42"/>
        <v>#N/A</v>
      </c>
      <c r="AB86" s="67" t="e">
        <f t="shared" si="43"/>
        <v>#N/A</v>
      </c>
      <c r="AC86" s="447" t="str">
        <f t="shared" si="44"/>
        <v>NA</v>
      </c>
      <c r="AD86" s="67">
        <f t="shared" si="45"/>
        <v>0</v>
      </c>
      <c r="AE86" s="81" t="e">
        <f t="shared" si="35"/>
        <v>#REF!</v>
      </c>
      <c r="AF86" s="45" t="e">
        <f t="shared" si="46"/>
        <v>#REF!</v>
      </c>
      <c r="AG86" s="67" t="e">
        <f t="shared" si="47"/>
        <v>#REF!</v>
      </c>
      <c r="AI86" s="81">
        <v>6</v>
      </c>
      <c r="AJ86" s="45">
        <v>6</v>
      </c>
      <c r="AK86" s="45" t="s">
        <v>378</v>
      </c>
      <c r="AL86" s="438">
        <f>IF(AK86="CY", AI86*AJ86*52, AI86*AJ86*#REF!/#REF!)</f>
        <v>1872</v>
      </c>
      <c r="AM86" s="439" t="str">
        <f t="shared" si="48"/>
        <v>NA</v>
      </c>
      <c r="AN86" s="129" t="str">
        <f t="shared" si="49"/>
        <v>NA</v>
      </c>
      <c r="AO86" s="438">
        <f t="shared" si="50"/>
        <v>0</v>
      </c>
      <c r="AP86" s="81" t="e">
        <f t="shared" si="51"/>
        <v>#N/A</v>
      </c>
      <c r="AQ86" s="445" t="e">
        <f t="shared" si="52"/>
        <v>#N/A</v>
      </c>
      <c r="AR86" s="67" t="e">
        <f t="shared" si="53"/>
        <v>#N/A</v>
      </c>
      <c r="AS86" s="81" t="e">
        <f t="shared" si="36"/>
        <v>#VALUE!</v>
      </c>
      <c r="AT86" s="45" t="e">
        <f t="shared" si="54"/>
        <v>#VALUE!</v>
      </c>
      <c r="AU86" s="67" t="e">
        <f t="shared" si="55"/>
        <v>#VALUE!</v>
      </c>
      <c r="AW86" s="81">
        <v>6</v>
      </c>
      <c r="AX86" s="45">
        <v>6</v>
      </c>
      <c r="AY86" s="45" t="s">
        <v>475</v>
      </c>
      <c r="AZ86" s="438">
        <f>IF(AY86="Cu. Yards", AW86*AX86*52, AW86*AX86*#REF!/#REF!)</f>
        <v>1872</v>
      </c>
      <c r="BA86" s="439" t="str">
        <f t="shared" si="56"/>
        <v>NA</v>
      </c>
      <c r="BB86" s="129" t="str">
        <f t="shared" si="57"/>
        <v>NA</v>
      </c>
      <c r="BC86" s="438">
        <f t="shared" si="58"/>
        <v>0</v>
      </c>
      <c r="BD86" s="81" t="e">
        <f t="shared" si="59"/>
        <v>#REF!</v>
      </c>
      <c r="BE86" s="445" t="e">
        <f t="shared" si="60"/>
        <v>#REF!</v>
      </c>
      <c r="BF86" s="67" t="e">
        <f t="shared" si="61"/>
        <v>#REF!</v>
      </c>
      <c r="BG86" s="45" t="e">
        <f t="shared" si="37"/>
        <v>#REF!</v>
      </c>
      <c r="BH86" s="45" t="e">
        <f t="shared" si="62"/>
        <v>#REF!</v>
      </c>
      <c r="BI86" s="67" t="e">
        <f t="shared" si="63"/>
        <v>#REF!</v>
      </c>
    </row>
    <row r="87" spans="17:61" x14ac:dyDescent="0.25">
      <c r="Q87" s="81">
        <v>7</v>
      </c>
      <c r="R87" s="45">
        <v>6</v>
      </c>
      <c r="S87" s="45" t="s">
        <v>475</v>
      </c>
      <c r="T87" s="438">
        <f>IF(S87="Cu. Yards", Q87*R87*52, Q87*R87*#REF!/#REF!)</f>
        <v>2184</v>
      </c>
      <c r="U87" s="439" t="str">
        <f t="shared" si="64"/>
        <v>NA</v>
      </c>
      <c r="V87" s="129" t="str">
        <f t="shared" si="38"/>
        <v>NA</v>
      </c>
      <c r="W87" s="439">
        <f>IF(V87="NA",1000000,ABS('2.Current_Trash'!$K$29-'9.CustomRates'!V87))</f>
        <v>1000000</v>
      </c>
      <c r="X87" s="520">
        <f t="shared" si="39"/>
        <v>1</v>
      </c>
      <c r="Y87" s="438">
        <f t="shared" si="40"/>
        <v>0</v>
      </c>
      <c r="Z87" s="81" t="e">
        <f t="shared" si="41"/>
        <v>#N/A</v>
      </c>
      <c r="AA87" s="445" t="e">
        <f t="shared" si="42"/>
        <v>#N/A</v>
      </c>
      <c r="AB87" s="67" t="e">
        <f t="shared" si="43"/>
        <v>#N/A</v>
      </c>
      <c r="AC87" s="447" t="str">
        <f t="shared" si="44"/>
        <v>NA</v>
      </c>
      <c r="AD87" s="67">
        <f t="shared" si="45"/>
        <v>0</v>
      </c>
      <c r="AE87" s="81" t="e">
        <f t="shared" si="35"/>
        <v>#REF!</v>
      </c>
      <c r="AF87" s="45" t="e">
        <f t="shared" si="46"/>
        <v>#REF!</v>
      </c>
      <c r="AG87" s="67" t="e">
        <f t="shared" si="47"/>
        <v>#REF!</v>
      </c>
      <c r="AI87" s="81">
        <v>7</v>
      </c>
      <c r="AJ87" s="45">
        <v>6</v>
      </c>
      <c r="AK87" s="45" t="s">
        <v>378</v>
      </c>
      <c r="AL87" s="438">
        <f>IF(AK87="CY", AI87*AJ87*52, AI87*AJ87*#REF!/#REF!)</f>
        <v>2184</v>
      </c>
      <c r="AM87" s="439" t="str">
        <f t="shared" si="48"/>
        <v>NA</v>
      </c>
      <c r="AN87" s="129" t="str">
        <f t="shared" si="49"/>
        <v>NA</v>
      </c>
      <c r="AO87" s="438">
        <f t="shared" si="50"/>
        <v>0</v>
      </c>
      <c r="AP87" s="81" t="e">
        <f t="shared" si="51"/>
        <v>#N/A</v>
      </c>
      <c r="AQ87" s="445" t="e">
        <f t="shared" si="52"/>
        <v>#N/A</v>
      </c>
      <c r="AR87" s="67" t="e">
        <f t="shared" si="53"/>
        <v>#N/A</v>
      </c>
      <c r="AS87" s="81" t="e">
        <f t="shared" si="36"/>
        <v>#VALUE!</v>
      </c>
      <c r="AT87" s="45" t="e">
        <f t="shared" si="54"/>
        <v>#VALUE!</v>
      </c>
      <c r="AU87" s="67" t="e">
        <f t="shared" si="55"/>
        <v>#VALUE!</v>
      </c>
      <c r="AW87" s="81">
        <v>7</v>
      </c>
      <c r="AX87" s="45">
        <v>6</v>
      </c>
      <c r="AY87" s="45" t="s">
        <v>475</v>
      </c>
      <c r="AZ87" s="438">
        <f>IF(AY87="Cu. Yards", AW87*AX87*52, AW87*AX87*#REF!/#REF!)</f>
        <v>2184</v>
      </c>
      <c r="BA87" s="439" t="str">
        <f t="shared" si="56"/>
        <v>NA</v>
      </c>
      <c r="BB87" s="129" t="str">
        <f t="shared" si="57"/>
        <v>NA</v>
      </c>
      <c r="BC87" s="438">
        <f t="shared" si="58"/>
        <v>0</v>
      </c>
      <c r="BD87" s="81" t="e">
        <f t="shared" si="59"/>
        <v>#REF!</v>
      </c>
      <c r="BE87" s="445" t="e">
        <f t="shared" si="60"/>
        <v>#REF!</v>
      </c>
      <c r="BF87" s="67" t="e">
        <f t="shared" si="61"/>
        <v>#REF!</v>
      </c>
      <c r="BG87" s="45" t="e">
        <f t="shared" si="37"/>
        <v>#REF!</v>
      </c>
      <c r="BH87" s="45" t="e">
        <f t="shared" si="62"/>
        <v>#REF!</v>
      </c>
      <c r="BI87" s="67" t="e">
        <f t="shared" si="63"/>
        <v>#REF!</v>
      </c>
    </row>
    <row r="88" spans="17:61" x14ac:dyDescent="0.25">
      <c r="Q88" s="81">
        <v>1</v>
      </c>
      <c r="R88" s="45">
        <v>7</v>
      </c>
      <c r="S88" s="45" t="s">
        <v>475</v>
      </c>
      <c r="T88" s="438">
        <f>IF(S88="Cu. Yards", Q88*R88*52, Q88*R88*#REF!/#REF!)</f>
        <v>364</v>
      </c>
      <c r="U88" s="439" t="str">
        <f t="shared" si="64"/>
        <v>NA</v>
      </c>
      <c r="V88" s="129" t="str">
        <f t="shared" si="38"/>
        <v>NA</v>
      </c>
      <c r="W88" s="439">
        <f>IF(V88="NA",1000000,ABS('2.Current_Trash'!$K$29-'9.CustomRates'!V88))</f>
        <v>1000000</v>
      </c>
      <c r="X88" s="520">
        <f t="shared" si="39"/>
        <v>1</v>
      </c>
      <c r="Y88" s="438">
        <f t="shared" si="40"/>
        <v>0</v>
      </c>
      <c r="Z88" s="81" t="e">
        <f t="shared" si="41"/>
        <v>#N/A</v>
      </c>
      <c r="AA88" s="445" t="e">
        <f t="shared" si="42"/>
        <v>#N/A</v>
      </c>
      <c r="AB88" s="67" t="e">
        <f t="shared" si="43"/>
        <v>#N/A</v>
      </c>
      <c r="AC88" s="447" t="str">
        <f t="shared" si="44"/>
        <v>NA</v>
      </c>
      <c r="AD88" s="67">
        <f t="shared" si="45"/>
        <v>0</v>
      </c>
      <c r="AE88" s="81" t="e">
        <f t="shared" si="35"/>
        <v>#REF!</v>
      </c>
      <c r="AF88" s="45" t="e">
        <f t="shared" si="46"/>
        <v>#REF!</v>
      </c>
      <c r="AG88" s="67" t="e">
        <f t="shared" si="47"/>
        <v>#REF!</v>
      </c>
      <c r="AI88" s="81">
        <v>1</v>
      </c>
      <c r="AJ88" s="45">
        <v>7</v>
      </c>
      <c r="AK88" s="45" t="s">
        <v>378</v>
      </c>
      <c r="AL88" s="438">
        <f>IF(AK88="CY", AI88*AJ88*52, AI88*AJ88*#REF!/#REF!)</f>
        <v>364</v>
      </c>
      <c r="AM88" s="439" t="str">
        <f t="shared" si="48"/>
        <v>NA</v>
      </c>
      <c r="AN88" s="129" t="str">
        <f t="shared" si="49"/>
        <v>NA</v>
      </c>
      <c r="AO88" s="438">
        <f t="shared" si="50"/>
        <v>0</v>
      </c>
      <c r="AP88" s="81" t="e">
        <f t="shared" si="51"/>
        <v>#N/A</v>
      </c>
      <c r="AQ88" s="445" t="e">
        <f t="shared" si="52"/>
        <v>#N/A</v>
      </c>
      <c r="AR88" s="67" t="e">
        <f t="shared" si="53"/>
        <v>#N/A</v>
      </c>
      <c r="AS88" s="81" t="e">
        <f t="shared" si="36"/>
        <v>#VALUE!</v>
      </c>
      <c r="AT88" s="45" t="e">
        <f t="shared" si="54"/>
        <v>#VALUE!</v>
      </c>
      <c r="AU88" s="67" t="e">
        <f t="shared" si="55"/>
        <v>#VALUE!</v>
      </c>
      <c r="AW88" s="81">
        <v>1</v>
      </c>
      <c r="AX88" s="45">
        <v>7</v>
      </c>
      <c r="AY88" s="45" t="s">
        <v>475</v>
      </c>
      <c r="AZ88" s="438">
        <f>IF(AY88="Cu. Yards", AW88*AX88*52, AW88*AX88*#REF!/#REF!)</f>
        <v>364</v>
      </c>
      <c r="BA88" s="439" t="str">
        <f t="shared" si="56"/>
        <v>NA</v>
      </c>
      <c r="BB88" s="129" t="str">
        <f t="shared" si="57"/>
        <v>NA</v>
      </c>
      <c r="BC88" s="438">
        <f t="shared" si="58"/>
        <v>0</v>
      </c>
      <c r="BD88" s="81" t="e">
        <f t="shared" si="59"/>
        <v>#REF!</v>
      </c>
      <c r="BE88" s="445" t="e">
        <f t="shared" si="60"/>
        <v>#REF!</v>
      </c>
      <c r="BF88" s="67" t="e">
        <f t="shared" si="61"/>
        <v>#REF!</v>
      </c>
      <c r="BG88" s="45" t="e">
        <f t="shared" si="37"/>
        <v>#REF!</v>
      </c>
      <c r="BH88" s="45" t="e">
        <f t="shared" si="62"/>
        <v>#REF!</v>
      </c>
      <c r="BI88" s="67" t="e">
        <f t="shared" si="63"/>
        <v>#REF!</v>
      </c>
    </row>
    <row r="89" spans="17:61" x14ac:dyDescent="0.25">
      <c r="Q89" s="81">
        <v>2</v>
      </c>
      <c r="R89" s="45">
        <v>7</v>
      </c>
      <c r="S89" s="45" t="s">
        <v>475</v>
      </c>
      <c r="T89" s="438">
        <f>IF(S89="Cu. Yards", Q89*R89*52, Q89*R89*#REF!/#REF!)</f>
        <v>728</v>
      </c>
      <c r="U89" s="439" t="str">
        <f t="shared" si="64"/>
        <v>NA</v>
      </c>
      <c r="V89" s="129" t="str">
        <f t="shared" si="38"/>
        <v>NA</v>
      </c>
      <c r="W89" s="439">
        <f>IF(V89="NA",1000000,ABS('2.Current_Trash'!$K$29-'9.CustomRates'!V89))</f>
        <v>1000000</v>
      </c>
      <c r="X89" s="520">
        <f t="shared" si="39"/>
        <v>1</v>
      </c>
      <c r="Y89" s="438">
        <f t="shared" si="40"/>
        <v>0</v>
      </c>
      <c r="Z89" s="81" t="e">
        <f t="shared" si="41"/>
        <v>#N/A</v>
      </c>
      <c r="AA89" s="445" t="e">
        <f t="shared" si="42"/>
        <v>#N/A</v>
      </c>
      <c r="AB89" s="67" t="e">
        <f t="shared" si="43"/>
        <v>#N/A</v>
      </c>
      <c r="AC89" s="447" t="str">
        <f t="shared" si="44"/>
        <v>NA</v>
      </c>
      <c r="AD89" s="67">
        <f t="shared" si="45"/>
        <v>0</v>
      </c>
      <c r="AE89" s="81" t="e">
        <f t="shared" si="35"/>
        <v>#REF!</v>
      </c>
      <c r="AF89" s="45" t="e">
        <f t="shared" si="46"/>
        <v>#REF!</v>
      </c>
      <c r="AG89" s="67" t="e">
        <f t="shared" si="47"/>
        <v>#REF!</v>
      </c>
      <c r="AI89" s="81">
        <v>2</v>
      </c>
      <c r="AJ89" s="45">
        <v>7</v>
      </c>
      <c r="AK89" s="45" t="s">
        <v>378</v>
      </c>
      <c r="AL89" s="438">
        <f>IF(AK89="CY", AI89*AJ89*52, AI89*AJ89*#REF!/#REF!)</f>
        <v>728</v>
      </c>
      <c r="AM89" s="439" t="str">
        <f t="shared" si="48"/>
        <v>NA</v>
      </c>
      <c r="AN89" s="129" t="str">
        <f t="shared" si="49"/>
        <v>NA</v>
      </c>
      <c r="AO89" s="438">
        <f t="shared" si="50"/>
        <v>0</v>
      </c>
      <c r="AP89" s="81" t="e">
        <f t="shared" si="51"/>
        <v>#N/A</v>
      </c>
      <c r="AQ89" s="445" t="e">
        <f t="shared" si="52"/>
        <v>#N/A</v>
      </c>
      <c r="AR89" s="67" t="e">
        <f t="shared" si="53"/>
        <v>#N/A</v>
      </c>
      <c r="AS89" s="81" t="e">
        <f t="shared" si="36"/>
        <v>#VALUE!</v>
      </c>
      <c r="AT89" s="45" t="e">
        <f t="shared" si="54"/>
        <v>#VALUE!</v>
      </c>
      <c r="AU89" s="67" t="e">
        <f t="shared" si="55"/>
        <v>#VALUE!</v>
      </c>
      <c r="AW89" s="81">
        <v>2</v>
      </c>
      <c r="AX89" s="45">
        <v>7</v>
      </c>
      <c r="AY89" s="45" t="s">
        <v>475</v>
      </c>
      <c r="AZ89" s="438">
        <f>IF(AY89="Cu. Yards", AW89*AX89*52, AW89*AX89*#REF!/#REF!)</f>
        <v>728</v>
      </c>
      <c r="BA89" s="439" t="str">
        <f t="shared" si="56"/>
        <v>NA</v>
      </c>
      <c r="BB89" s="129" t="str">
        <f t="shared" si="57"/>
        <v>NA</v>
      </c>
      <c r="BC89" s="438">
        <f t="shared" si="58"/>
        <v>0</v>
      </c>
      <c r="BD89" s="81" t="e">
        <f t="shared" si="59"/>
        <v>#REF!</v>
      </c>
      <c r="BE89" s="445" t="e">
        <f t="shared" si="60"/>
        <v>#REF!</v>
      </c>
      <c r="BF89" s="67" t="e">
        <f t="shared" si="61"/>
        <v>#REF!</v>
      </c>
      <c r="BG89" s="45" t="e">
        <f t="shared" si="37"/>
        <v>#REF!</v>
      </c>
      <c r="BH89" s="45" t="e">
        <f t="shared" si="62"/>
        <v>#REF!</v>
      </c>
      <c r="BI89" s="67" t="e">
        <f t="shared" si="63"/>
        <v>#REF!</v>
      </c>
    </row>
    <row r="90" spans="17:61" x14ac:dyDescent="0.25">
      <c r="Q90" s="81">
        <v>3</v>
      </c>
      <c r="R90" s="45">
        <v>7</v>
      </c>
      <c r="S90" s="45" t="s">
        <v>475</v>
      </c>
      <c r="T90" s="438">
        <f>IF(S90="Cu. Yards", Q90*R90*52, Q90*R90*#REF!/#REF!)</f>
        <v>1092</v>
      </c>
      <c r="U90" s="439" t="str">
        <f t="shared" si="64"/>
        <v>NA</v>
      </c>
      <c r="V90" s="129" t="str">
        <f t="shared" si="38"/>
        <v>NA</v>
      </c>
      <c r="W90" s="439">
        <f>IF(V90="NA",1000000,ABS('2.Current_Trash'!$K$29-'9.CustomRates'!V90))</f>
        <v>1000000</v>
      </c>
      <c r="X90" s="520">
        <f t="shared" si="39"/>
        <v>1</v>
      </c>
      <c r="Y90" s="438">
        <f t="shared" si="40"/>
        <v>0</v>
      </c>
      <c r="Z90" s="81" t="e">
        <f t="shared" si="41"/>
        <v>#N/A</v>
      </c>
      <c r="AA90" s="445" t="e">
        <f t="shared" si="42"/>
        <v>#N/A</v>
      </c>
      <c r="AB90" s="67" t="e">
        <f t="shared" si="43"/>
        <v>#N/A</v>
      </c>
      <c r="AC90" s="447" t="str">
        <f t="shared" si="44"/>
        <v>NA</v>
      </c>
      <c r="AD90" s="67">
        <f t="shared" si="45"/>
        <v>0</v>
      </c>
      <c r="AE90" s="81" t="e">
        <f t="shared" si="35"/>
        <v>#REF!</v>
      </c>
      <c r="AF90" s="45" t="e">
        <f t="shared" si="46"/>
        <v>#REF!</v>
      </c>
      <c r="AG90" s="67" t="e">
        <f t="shared" si="47"/>
        <v>#REF!</v>
      </c>
      <c r="AI90" s="81">
        <v>3</v>
      </c>
      <c r="AJ90" s="45">
        <v>7</v>
      </c>
      <c r="AK90" s="45" t="s">
        <v>378</v>
      </c>
      <c r="AL90" s="438">
        <f>IF(AK90="CY", AI90*AJ90*52, AI90*AJ90*#REF!/#REF!)</f>
        <v>1092</v>
      </c>
      <c r="AM90" s="439" t="str">
        <f t="shared" si="48"/>
        <v>NA</v>
      </c>
      <c r="AN90" s="129" t="str">
        <f t="shared" si="49"/>
        <v>NA</v>
      </c>
      <c r="AO90" s="438">
        <f t="shared" si="50"/>
        <v>0</v>
      </c>
      <c r="AP90" s="81" t="e">
        <f t="shared" si="51"/>
        <v>#N/A</v>
      </c>
      <c r="AQ90" s="445" t="e">
        <f t="shared" si="52"/>
        <v>#N/A</v>
      </c>
      <c r="AR90" s="67" t="e">
        <f t="shared" si="53"/>
        <v>#N/A</v>
      </c>
      <c r="AS90" s="81" t="e">
        <f t="shared" si="36"/>
        <v>#VALUE!</v>
      </c>
      <c r="AT90" s="45" t="e">
        <f t="shared" si="54"/>
        <v>#VALUE!</v>
      </c>
      <c r="AU90" s="67" t="e">
        <f t="shared" si="55"/>
        <v>#VALUE!</v>
      </c>
      <c r="AW90" s="81">
        <v>3</v>
      </c>
      <c r="AX90" s="45">
        <v>7</v>
      </c>
      <c r="AY90" s="45" t="s">
        <v>475</v>
      </c>
      <c r="AZ90" s="438">
        <f>IF(AY90="Cu. Yards", AW90*AX90*52, AW90*AX90*#REF!/#REF!)</f>
        <v>1092</v>
      </c>
      <c r="BA90" s="439" t="str">
        <f t="shared" si="56"/>
        <v>NA</v>
      </c>
      <c r="BB90" s="129" t="str">
        <f t="shared" si="57"/>
        <v>NA</v>
      </c>
      <c r="BC90" s="438">
        <f t="shared" si="58"/>
        <v>0</v>
      </c>
      <c r="BD90" s="81" t="e">
        <f t="shared" si="59"/>
        <v>#REF!</v>
      </c>
      <c r="BE90" s="445" t="e">
        <f t="shared" si="60"/>
        <v>#REF!</v>
      </c>
      <c r="BF90" s="67" t="e">
        <f t="shared" si="61"/>
        <v>#REF!</v>
      </c>
      <c r="BG90" s="45" t="e">
        <f t="shared" si="37"/>
        <v>#REF!</v>
      </c>
      <c r="BH90" s="45" t="e">
        <f t="shared" si="62"/>
        <v>#REF!</v>
      </c>
      <c r="BI90" s="67" t="e">
        <f t="shared" si="63"/>
        <v>#REF!</v>
      </c>
    </row>
    <row r="91" spans="17:61" x14ac:dyDescent="0.25">
      <c r="Q91" s="81">
        <v>4</v>
      </c>
      <c r="R91" s="45">
        <v>7</v>
      </c>
      <c r="S91" s="45" t="s">
        <v>475</v>
      </c>
      <c r="T91" s="438">
        <f>IF(S91="Cu. Yards", Q91*R91*52, Q91*R91*#REF!/#REF!)</f>
        <v>1456</v>
      </c>
      <c r="U91" s="439" t="str">
        <f t="shared" si="64"/>
        <v>NA</v>
      </c>
      <c r="V91" s="129" t="str">
        <f t="shared" si="38"/>
        <v>NA</v>
      </c>
      <c r="W91" s="439">
        <f>IF(V91="NA",1000000,ABS('2.Current_Trash'!$K$29-'9.CustomRates'!V91))</f>
        <v>1000000</v>
      </c>
      <c r="X91" s="520">
        <f t="shared" si="39"/>
        <v>1</v>
      </c>
      <c r="Y91" s="438">
        <f t="shared" si="40"/>
        <v>0</v>
      </c>
      <c r="Z91" s="81" t="e">
        <f t="shared" si="41"/>
        <v>#N/A</v>
      </c>
      <c r="AA91" s="445" t="e">
        <f t="shared" si="42"/>
        <v>#N/A</v>
      </c>
      <c r="AB91" s="67" t="e">
        <f t="shared" si="43"/>
        <v>#N/A</v>
      </c>
      <c r="AC91" s="447" t="str">
        <f t="shared" si="44"/>
        <v>NA</v>
      </c>
      <c r="AD91" s="67">
        <f t="shared" si="45"/>
        <v>0</v>
      </c>
      <c r="AE91" s="81" t="e">
        <f t="shared" si="35"/>
        <v>#REF!</v>
      </c>
      <c r="AF91" s="45" t="e">
        <f t="shared" si="46"/>
        <v>#REF!</v>
      </c>
      <c r="AG91" s="67" t="e">
        <f t="shared" si="47"/>
        <v>#REF!</v>
      </c>
      <c r="AI91" s="81">
        <v>4</v>
      </c>
      <c r="AJ91" s="45">
        <v>7</v>
      </c>
      <c r="AK91" s="45" t="s">
        <v>378</v>
      </c>
      <c r="AL91" s="438">
        <f>IF(AK91="CY", AI91*AJ91*52, AI91*AJ91*#REF!/#REF!)</f>
        <v>1456</v>
      </c>
      <c r="AM91" s="439" t="str">
        <f t="shared" si="48"/>
        <v>NA</v>
      </c>
      <c r="AN91" s="129" t="str">
        <f t="shared" si="49"/>
        <v>NA</v>
      </c>
      <c r="AO91" s="438">
        <f t="shared" si="50"/>
        <v>0</v>
      </c>
      <c r="AP91" s="81" t="e">
        <f t="shared" si="51"/>
        <v>#N/A</v>
      </c>
      <c r="AQ91" s="445" t="e">
        <f t="shared" si="52"/>
        <v>#N/A</v>
      </c>
      <c r="AR91" s="67" t="e">
        <f t="shared" si="53"/>
        <v>#N/A</v>
      </c>
      <c r="AS91" s="81" t="e">
        <f t="shared" si="36"/>
        <v>#VALUE!</v>
      </c>
      <c r="AT91" s="45" t="e">
        <f t="shared" si="54"/>
        <v>#VALUE!</v>
      </c>
      <c r="AU91" s="67" t="e">
        <f t="shared" si="55"/>
        <v>#VALUE!</v>
      </c>
      <c r="AW91" s="81">
        <v>4</v>
      </c>
      <c r="AX91" s="45">
        <v>7</v>
      </c>
      <c r="AY91" s="45" t="s">
        <v>475</v>
      </c>
      <c r="AZ91" s="438">
        <f>IF(AY91="Cu. Yards", AW91*AX91*52, AW91*AX91*#REF!/#REF!)</f>
        <v>1456</v>
      </c>
      <c r="BA91" s="439" t="str">
        <f t="shared" si="56"/>
        <v>NA</v>
      </c>
      <c r="BB91" s="129" t="str">
        <f t="shared" si="57"/>
        <v>NA</v>
      </c>
      <c r="BC91" s="438">
        <f t="shared" si="58"/>
        <v>0</v>
      </c>
      <c r="BD91" s="81" t="e">
        <f t="shared" si="59"/>
        <v>#REF!</v>
      </c>
      <c r="BE91" s="445" t="e">
        <f t="shared" si="60"/>
        <v>#REF!</v>
      </c>
      <c r="BF91" s="67" t="e">
        <f t="shared" si="61"/>
        <v>#REF!</v>
      </c>
      <c r="BG91" s="45" t="e">
        <f t="shared" si="37"/>
        <v>#REF!</v>
      </c>
      <c r="BH91" s="45" t="e">
        <f t="shared" si="62"/>
        <v>#REF!</v>
      </c>
      <c r="BI91" s="67" t="e">
        <f t="shared" si="63"/>
        <v>#REF!</v>
      </c>
    </row>
    <row r="92" spans="17:61" x14ac:dyDescent="0.25">
      <c r="Q92" s="81">
        <v>5</v>
      </c>
      <c r="R92" s="45">
        <v>7</v>
      </c>
      <c r="S92" s="45" t="s">
        <v>475</v>
      </c>
      <c r="T92" s="438">
        <f>IF(S92="Cu. Yards", Q92*R92*52, Q92*R92*#REF!/#REF!)</f>
        <v>1820</v>
      </c>
      <c r="U92" s="439" t="str">
        <f t="shared" si="64"/>
        <v>NA</v>
      </c>
      <c r="V92" s="129" t="str">
        <f t="shared" si="38"/>
        <v>NA</v>
      </c>
      <c r="W92" s="439">
        <f>IF(V92="NA",1000000,ABS('2.Current_Trash'!$K$29-'9.CustomRates'!V92))</f>
        <v>1000000</v>
      </c>
      <c r="X92" s="520">
        <f t="shared" si="39"/>
        <v>1</v>
      </c>
      <c r="Y92" s="438">
        <f t="shared" si="40"/>
        <v>0</v>
      </c>
      <c r="Z92" s="81" t="e">
        <f t="shared" si="41"/>
        <v>#N/A</v>
      </c>
      <c r="AA92" s="445" t="e">
        <f t="shared" si="42"/>
        <v>#N/A</v>
      </c>
      <c r="AB92" s="67" t="e">
        <f t="shared" si="43"/>
        <v>#N/A</v>
      </c>
      <c r="AC92" s="447" t="str">
        <f t="shared" si="44"/>
        <v>NA</v>
      </c>
      <c r="AD92" s="67">
        <f t="shared" si="45"/>
        <v>0</v>
      </c>
      <c r="AE92" s="81" t="e">
        <f t="shared" si="35"/>
        <v>#REF!</v>
      </c>
      <c r="AF92" s="45" t="e">
        <f t="shared" si="46"/>
        <v>#REF!</v>
      </c>
      <c r="AG92" s="67" t="e">
        <f t="shared" si="47"/>
        <v>#REF!</v>
      </c>
      <c r="AI92" s="81">
        <v>5</v>
      </c>
      <c r="AJ92" s="45">
        <v>7</v>
      </c>
      <c r="AK92" s="45" t="s">
        <v>378</v>
      </c>
      <c r="AL92" s="438">
        <f>IF(AK92="CY", AI92*AJ92*52, AI92*AJ92*#REF!/#REF!)</f>
        <v>1820</v>
      </c>
      <c r="AM92" s="439" t="str">
        <f t="shared" si="48"/>
        <v>NA</v>
      </c>
      <c r="AN92" s="129" t="str">
        <f t="shared" si="49"/>
        <v>NA</v>
      </c>
      <c r="AO92" s="438">
        <f t="shared" si="50"/>
        <v>0</v>
      </c>
      <c r="AP92" s="81" t="e">
        <f t="shared" si="51"/>
        <v>#N/A</v>
      </c>
      <c r="AQ92" s="445" t="e">
        <f t="shared" si="52"/>
        <v>#N/A</v>
      </c>
      <c r="AR92" s="67" t="e">
        <f t="shared" si="53"/>
        <v>#N/A</v>
      </c>
      <c r="AS92" s="81" t="e">
        <f t="shared" si="36"/>
        <v>#VALUE!</v>
      </c>
      <c r="AT92" s="45" t="e">
        <f t="shared" si="54"/>
        <v>#VALUE!</v>
      </c>
      <c r="AU92" s="67" t="e">
        <f t="shared" si="55"/>
        <v>#VALUE!</v>
      </c>
      <c r="AW92" s="81">
        <v>5</v>
      </c>
      <c r="AX92" s="45">
        <v>7</v>
      </c>
      <c r="AY92" s="45" t="s">
        <v>475</v>
      </c>
      <c r="AZ92" s="438">
        <f>IF(AY92="Cu. Yards", AW92*AX92*52, AW92*AX92*#REF!/#REF!)</f>
        <v>1820</v>
      </c>
      <c r="BA92" s="439" t="str">
        <f t="shared" si="56"/>
        <v>NA</v>
      </c>
      <c r="BB92" s="129" t="str">
        <f t="shared" si="57"/>
        <v>NA</v>
      </c>
      <c r="BC92" s="438">
        <f t="shared" si="58"/>
        <v>0</v>
      </c>
      <c r="BD92" s="81" t="e">
        <f t="shared" si="59"/>
        <v>#REF!</v>
      </c>
      <c r="BE92" s="445" t="e">
        <f t="shared" si="60"/>
        <v>#REF!</v>
      </c>
      <c r="BF92" s="67" t="e">
        <f t="shared" si="61"/>
        <v>#REF!</v>
      </c>
      <c r="BG92" s="45" t="e">
        <f t="shared" si="37"/>
        <v>#REF!</v>
      </c>
      <c r="BH92" s="45" t="e">
        <f t="shared" si="62"/>
        <v>#REF!</v>
      </c>
      <c r="BI92" s="67" t="e">
        <f t="shared" si="63"/>
        <v>#REF!</v>
      </c>
    </row>
    <row r="93" spans="17:61" x14ac:dyDescent="0.25">
      <c r="Q93" s="81">
        <v>6</v>
      </c>
      <c r="R93" s="45">
        <v>7</v>
      </c>
      <c r="S93" s="45" t="s">
        <v>475</v>
      </c>
      <c r="T93" s="438">
        <f>IF(S93="Cu. Yards", Q93*R93*52, Q93*R93*#REF!/#REF!)</f>
        <v>2184</v>
      </c>
      <c r="U93" s="439" t="str">
        <f t="shared" si="64"/>
        <v>NA</v>
      </c>
      <c r="V93" s="129" t="str">
        <f t="shared" si="38"/>
        <v>NA</v>
      </c>
      <c r="W93" s="439">
        <f>IF(V93="NA",1000000,ABS('2.Current_Trash'!$K$29-'9.CustomRates'!V93))</f>
        <v>1000000</v>
      </c>
      <c r="X93" s="520">
        <f t="shared" si="39"/>
        <v>1</v>
      </c>
      <c r="Y93" s="438">
        <f t="shared" si="40"/>
        <v>0</v>
      </c>
      <c r="Z93" s="81" t="e">
        <f t="shared" si="41"/>
        <v>#N/A</v>
      </c>
      <c r="AA93" s="445" t="e">
        <f t="shared" si="42"/>
        <v>#N/A</v>
      </c>
      <c r="AB93" s="67" t="e">
        <f t="shared" si="43"/>
        <v>#N/A</v>
      </c>
      <c r="AC93" s="447" t="str">
        <f t="shared" si="44"/>
        <v>NA</v>
      </c>
      <c r="AD93" s="67">
        <f t="shared" si="45"/>
        <v>0</v>
      </c>
      <c r="AE93" s="81" t="e">
        <f t="shared" si="35"/>
        <v>#REF!</v>
      </c>
      <c r="AF93" s="45" t="e">
        <f t="shared" si="46"/>
        <v>#REF!</v>
      </c>
      <c r="AG93" s="67" t="e">
        <f t="shared" si="47"/>
        <v>#REF!</v>
      </c>
      <c r="AI93" s="81">
        <v>6</v>
      </c>
      <c r="AJ93" s="45">
        <v>7</v>
      </c>
      <c r="AK93" s="45" t="s">
        <v>378</v>
      </c>
      <c r="AL93" s="438">
        <f>IF(AK93="CY", AI93*AJ93*52, AI93*AJ93*#REF!/#REF!)</f>
        <v>2184</v>
      </c>
      <c r="AM93" s="439" t="str">
        <f t="shared" si="48"/>
        <v>NA</v>
      </c>
      <c r="AN93" s="129" t="str">
        <f t="shared" si="49"/>
        <v>NA</v>
      </c>
      <c r="AO93" s="438">
        <f t="shared" si="50"/>
        <v>0</v>
      </c>
      <c r="AP93" s="81" t="e">
        <f t="shared" si="51"/>
        <v>#N/A</v>
      </c>
      <c r="AQ93" s="445" t="e">
        <f t="shared" si="52"/>
        <v>#N/A</v>
      </c>
      <c r="AR93" s="67" t="e">
        <f t="shared" si="53"/>
        <v>#N/A</v>
      </c>
      <c r="AS93" s="81" t="e">
        <f t="shared" si="36"/>
        <v>#VALUE!</v>
      </c>
      <c r="AT93" s="45" t="e">
        <f t="shared" si="54"/>
        <v>#VALUE!</v>
      </c>
      <c r="AU93" s="67" t="e">
        <f t="shared" si="55"/>
        <v>#VALUE!</v>
      </c>
      <c r="AW93" s="81">
        <v>6</v>
      </c>
      <c r="AX93" s="45">
        <v>7</v>
      </c>
      <c r="AY93" s="45" t="s">
        <v>475</v>
      </c>
      <c r="AZ93" s="438">
        <f>IF(AY93="Cu. Yards", AW93*AX93*52, AW93*AX93*#REF!/#REF!)</f>
        <v>2184</v>
      </c>
      <c r="BA93" s="439" t="str">
        <f t="shared" si="56"/>
        <v>NA</v>
      </c>
      <c r="BB93" s="129" t="str">
        <f t="shared" si="57"/>
        <v>NA</v>
      </c>
      <c r="BC93" s="438">
        <f t="shared" si="58"/>
        <v>0</v>
      </c>
      <c r="BD93" s="81" t="e">
        <f t="shared" si="59"/>
        <v>#REF!</v>
      </c>
      <c r="BE93" s="445" t="e">
        <f t="shared" si="60"/>
        <v>#REF!</v>
      </c>
      <c r="BF93" s="67" t="e">
        <f t="shared" si="61"/>
        <v>#REF!</v>
      </c>
      <c r="BG93" s="45" t="e">
        <f t="shared" si="37"/>
        <v>#REF!</v>
      </c>
      <c r="BH93" s="45" t="e">
        <f t="shared" si="62"/>
        <v>#REF!</v>
      </c>
      <c r="BI93" s="67" t="e">
        <f t="shared" si="63"/>
        <v>#REF!</v>
      </c>
    </row>
    <row r="94" spans="17:61" x14ac:dyDescent="0.25">
      <c r="Q94" s="81">
        <v>7</v>
      </c>
      <c r="R94" s="45">
        <v>7</v>
      </c>
      <c r="S94" s="45" t="s">
        <v>475</v>
      </c>
      <c r="T94" s="438">
        <f>IF(S94="Cu. Yards", Q94*R94*52, Q94*R94*#REF!/#REF!)</f>
        <v>2548</v>
      </c>
      <c r="U94" s="439" t="str">
        <f t="shared" si="64"/>
        <v>NA</v>
      </c>
      <c r="V94" s="129" t="str">
        <f t="shared" si="38"/>
        <v>NA</v>
      </c>
      <c r="W94" s="439">
        <f>IF(V94="NA",1000000,ABS('2.Current_Trash'!$K$29-'9.CustomRates'!V94))</f>
        <v>1000000</v>
      </c>
      <c r="X94" s="520">
        <f t="shared" si="39"/>
        <v>1</v>
      </c>
      <c r="Y94" s="438">
        <f t="shared" si="40"/>
        <v>0</v>
      </c>
      <c r="Z94" s="81" t="e">
        <f t="shared" si="41"/>
        <v>#N/A</v>
      </c>
      <c r="AA94" s="445" t="e">
        <f t="shared" si="42"/>
        <v>#N/A</v>
      </c>
      <c r="AB94" s="67" t="e">
        <f t="shared" si="43"/>
        <v>#N/A</v>
      </c>
      <c r="AC94" s="447" t="str">
        <f t="shared" si="44"/>
        <v>NA</v>
      </c>
      <c r="AD94" s="67">
        <f t="shared" si="45"/>
        <v>0</v>
      </c>
      <c r="AE94" s="81" t="e">
        <f t="shared" si="35"/>
        <v>#REF!</v>
      </c>
      <c r="AF94" s="45" t="e">
        <f t="shared" si="46"/>
        <v>#REF!</v>
      </c>
      <c r="AG94" s="67" t="e">
        <f t="shared" si="47"/>
        <v>#REF!</v>
      </c>
      <c r="AI94" s="81">
        <v>7</v>
      </c>
      <c r="AJ94" s="45">
        <v>7</v>
      </c>
      <c r="AK94" s="45" t="s">
        <v>378</v>
      </c>
      <c r="AL94" s="438">
        <f>IF(AK94="CY", AI94*AJ94*52, AI94*AJ94*#REF!/#REF!)</f>
        <v>2548</v>
      </c>
      <c r="AM94" s="439" t="str">
        <f t="shared" si="48"/>
        <v>NA</v>
      </c>
      <c r="AN94" s="129" t="str">
        <f t="shared" si="49"/>
        <v>NA</v>
      </c>
      <c r="AO94" s="438">
        <f t="shared" si="50"/>
        <v>0</v>
      </c>
      <c r="AP94" s="81" t="e">
        <f t="shared" si="51"/>
        <v>#N/A</v>
      </c>
      <c r="AQ94" s="445" t="e">
        <f t="shared" si="52"/>
        <v>#N/A</v>
      </c>
      <c r="AR94" s="67" t="e">
        <f t="shared" si="53"/>
        <v>#N/A</v>
      </c>
      <c r="AS94" s="81" t="e">
        <f t="shared" si="36"/>
        <v>#VALUE!</v>
      </c>
      <c r="AT94" s="45" t="e">
        <f t="shared" si="54"/>
        <v>#VALUE!</v>
      </c>
      <c r="AU94" s="67" t="e">
        <f t="shared" si="55"/>
        <v>#VALUE!</v>
      </c>
      <c r="AW94" s="81">
        <v>7</v>
      </c>
      <c r="AX94" s="45">
        <v>7</v>
      </c>
      <c r="AY94" s="45" t="s">
        <v>475</v>
      </c>
      <c r="AZ94" s="438">
        <f>IF(AY94="Cu. Yards", AW94*AX94*52, AW94*AX94*#REF!/#REF!)</f>
        <v>2548</v>
      </c>
      <c r="BA94" s="439" t="str">
        <f t="shared" si="56"/>
        <v>NA</v>
      </c>
      <c r="BB94" s="129" t="str">
        <f t="shared" si="57"/>
        <v>NA</v>
      </c>
      <c r="BC94" s="438">
        <f t="shared" si="58"/>
        <v>0</v>
      </c>
      <c r="BD94" s="81" t="e">
        <f t="shared" si="59"/>
        <v>#REF!</v>
      </c>
      <c r="BE94" s="445" t="e">
        <f t="shared" si="60"/>
        <v>#REF!</v>
      </c>
      <c r="BF94" s="67" t="e">
        <f t="shared" si="61"/>
        <v>#REF!</v>
      </c>
      <c r="BG94" s="45" t="e">
        <f t="shared" si="37"/>
        <v>#REF!</v>
      </c>
      <c r="BH94" s="45" t="e">
        <f t="shared" si="62"/>
        <v>#REF!</v>
      </c>
      <c r="BI94" s="67" t="e">
        <f t="shared" si="63"/>
        <v>#REF!</v>
      </c>
    </row>
    <row r="95" spans="17:61" x14ac:dyDescent="0.25">
      <c r="Q95" s="81">
        <v>1</v>
      </c>
      <c r="R95" s="45">
        <v>8</v>
      </c>
      <c r="S95" s="45" t="s">
        <v>475</v>
      </c>
      <c r="T95" s="438">
        <f>IF(S95="Cu. Yards", Q95*R95*52, Q95*R95*#REF!/#REF!)</f>
        <v>416</v>
      </c>
      <c r="U95" s="439" t="str">
        <f t="shared" si="64"/>
        <v>NA</v>
      </c>
      <c r="V95" s="129" t="str">
        <f t="shared" si="38"/>
        <v>NA</v>
      </c>
      <c r="W95" s="439">
        <f>IF(V95="NA",1000000,ABS('2.Current_Trash'!$K$29-'9.CustomRates'!V95))</f>
        <v>1000000</v>
      </c>
      <c r="X95" s="520">
        <f t="shared" si="39"/>
        <v>1</v>
      </c>
      <c r="Y95" s="438">
        <f t="shared" si="40"/>
        <v>0</v>
      </c>
      <c r="Z95" s="81" t="e">
        <f t="shared" si="41"/>
        <v>#N/A</v>
      </c>
      <c r="AA95" s="445" t="e">
        <f t="shared" si="42"/>
        <v>#N/A</v>
      </c>
      <c r="AB95" s="67" t="e">
        <f t="shared" si="43"/>
        <v>#N/A</v>
      </c>
      <c r="AC95" s="447" t="str">
        <f t="shared" si="44"/>
        <v>NA</v>
      </c>
      <c r="AD95" s="67">
        <f t="shared" si="45"/>
        <v>0</v>
      </c>
      <c r="AE95" s="81" t="e">
        <f t="shared" si="35"/>
        <v>#REF!</v>
      </c>
      <c r="AF95" s="45" t="e">
        <f t="shared" si="46"/>
        <v>#REF!</v>
      </c>
      <c r="AG95" s="67" t="e">
        <f t="shared" si="47"/>
        <v>#REF!</v>
      </c>
      <c r="AI95" s="81">
        <v>1</v>
      </c>
      <c r="AJ95" s="45">
        <v>8</v>
      </c>
      <c r="AK95" s="45" t="s">
        <v>378</v>
      </c>
      <c r="AL95" s="438">
        <f>IF(AK95="CY", AI95*AJ95*52, AI95*AJ95*#REF!/#REF!)</f>
        <v>416</v>
      </c>
      <c r="AM95" s="439" t="str">
        <f t="shared" si="48"/>
        <v>NA</v>
      </c>
      <c r="AN95" s="129" t="str">
        <f t="shared" si="49"/>
        <v>NA</v>
      </c>
      <c r="AO95" s="438">
        <f t="shared" si="50"/>
        <v>0</v>
      </c>
      <c r="AP95" s="81" t="e">
        <f t="shared" si="51"/>
        <v>#N/A</v>
      </c>
      <c r="AQ95" s="445" t="e">
        <f t="shared" si="52"/>
        <v>#N/A</v>
      </c>
      <c r="AR95" s="67" t="e">
        <f t="shared" si="53"/>
        <v>#N/A</v>
      </c>
      <c r="AS95" s="81" t="e">
        <f t="shared" si="36"/>
        <v>#VALUE!</v>
      </c>
      <c r="AT95" s="45" t="e">
        <f t="shared" si="54"/>
        <v>#VALUE!</v>
      </c>
      <c r="AU95" s="67" t="e">
        <f t="shared" si="55"/>
        <v>#VALUE!</v>
      </c>
      <c r="AW95" s="81">
        <v>1</v>
      </c>
      <c r="AX95" s="45">
        <v>8</v>
      </c>
      <c r="AY95" s="45" t="s">
        <v>475</v>
      </c>
      <c r="AZ95" s="438">
        <f>IF(AY95="Cu. Yards", AW95*AX95*52, AW95*AX95*#REF!/#REF!)</f>
        <v>416</v>
      </c>
      <c r="BA95" s="439" t="str">
        <f t="shared" si="56"/>
        <v>NA</v>
      </c>
      <c r="BB95" s="129" t="str">
        <f t="shared" si="57"/>
        <v>NA</v>
      </c>
      <c r="BC95" s="438">
        <f t="shared" si="58"/>
        <v>0</v>
      </c>
      <c r="BD95" s="81" t="e">
        <f t="shared" si="59"/>
        <v>#REF!</v>
      </c>
      <c r="BE95" s="445" t="e">
        <f t="shared" si="60"/>
        <v>#REF!</v>
      </c>
      <c r="BF95" s="67" t="e">
        <f t="shared" si="61"/>
        <v>#REF!</v>
      </c>
      <c r="BG95" s="45" t="e">
        <f t="shared" si="37"/>
        <v>#REF!</v>
      </c>
      <c r="BH95" s="45" t="e">
        <f t="shared" si="62"/>
        <v>#REF!</v>
      </c>
      <c r="BI95" s="67" t="e">
        <f t="shared" si="63"/>
        <v>#REF!</v>
      </c>
    </row>
    <row r="96" spans="17:61" x14ac:dyDescent="0.25">
      <c r="Q96" s="81">
        <v>2</v>
      </c>
      <c r="R96" s="45">
        <v>8</v>
      </c>
      <c r="S96" s="45" t="s">
        <v>475</v>
      </c>
      <c r="T96" s="438">
        <f>IF(S96="Cu. Yards", Q96*R96*52, Q96*R96*#REF!/#REF!)</f>
        <v>832</v>
      </c>
      <c r="U96" s="439" t="str">
        <f t="shared" si="64"/>
        <v>NA</v>
      </c>
      <c r="V96" s="129" t="str">
        <f t="shared" si="38"/>
        <v>NA</v>
      </c>
      <c r="W96" s="439">
        <f>IF(V96="NA",1000000,ABS('2.Current_Trash'!$K$29-'9.CustomRates'!V96))</f>
        <v>1000000</v>
      </c>
      <c r="X96" s="439">
        <f t="shared" si="39"/>
        <v>1</v>
      </c>
      <c r="Y96" s="438">
        <f t="shared" si="40"/>
        <v>0</v>
      </c>
      <c r="Z96" s="81" t="e">
        <f t="shared" si="41"/>
        <v>#N/A</v>
      </c>
      <c r="AA96" s="445" t="e">
        <f t="shared" si="42"/>
        <v>#N/A</v>
      </c>
      <c r="AB96" s="67" t="e">
        <f t="shared" si="43"/>
        <v>#N/A</v>
      </c>
      <c r="AC96" s="447" t="str">
        <f t="shared" si="44"/>
        <v>NA</v>
      </c>
      <c r="AD96" s="67">
        <f t="shared" si="45"/>
        <v>0</v>
      </c>
      <c r="AE96" s="81" t="e">
        <f t="shared" si="35"/>
        <v>#REF!</v>
      </c>
      <c r="AF96" s="45" t="e">
        <f t="shared" si="46"/>
        <v>#REF!</v>
      </c>
      <c r="AG96" s="67" t="e">
        <f t="shared" si="47"/>
        <v>#REF!</v>
      </c>
      <c r="AI96" s="81">
        <v>2</v>
      </c>
      <c r="AJ96" s="45">
        <v>8</v>
      </c>
      <c r="AK96" s="45" t="s">
        <v>378</v>
      </c>
      <c r="AL96" s="438">
        <f>IF(AK96="CY", AI96*AJ96*52, AI96*AJ96*#REF!/#REF!)</f>
        <v>832</v>
      </c>
      <c r="AM96" s="439" t="str">
        <f t="shared" si="48"/>
        <v>NA</v>
      </c>
      <c r="AN96" s="129" t="str">
        <f t="shared" si="49"/>
        <v>NA</v>
      </c>
      <c r="AO96" s="438">
        <f t="shared" si="50"/>
        <v>0</v>
      </c>
      <c r="AP96" s="81" t="e">
        <f t="shared" si="51"/>
        <v>#N/A</v>
      </c>
      <c r="AQ96" s="445" t="e">
        <f t="shared" si="52"/>
        <v>#N/A</v>
      </c>
      <c r="AR96" s="67" t="e">
        <f t="shared" si="53"/>
        <v>#N/A</v>
      </c>
      <c r="AS96" s="81" t="e">
        <f t="shared" si="36"/>
        <v>#VALUE!</v>
      </c>
      <c r="AT96" s="45" t="e">
        <f t="shared" si="54"/>
        <v>#VALUE!</v>
      </c>
      <c r="AU96" s="67" t="e">
        <f t="shared" si="55"/>
        <v>#VALUE!</v>
      </c>
      <c r="AW96" s="81">
        <v>2</v>
      </c>
      <c r="AX96" s="45">
        <v>8</v>
      </c>
      <c r="AY96" s="45" t="s">
        <v>475</v>
      </c>
      <c r="AZ96" s="438">
        <f>IF(AY96="Cu. Yards", AW96*AX96*52, AW96*AX96*#REF!/#REF!)</f>
        <v>832</v>
      </c>
      <c r="BA96" s="439" t="str">
        <f t="shared" si="56"/>
        <v>NA</v>
      </c>
      <c r="BB96" s="129" t="str">
        <f t="shared" si="57"/>
        <v>NA</v>
      </c>
      <c r="BC96" s="438">
        <f t="shared" si="58"/>
        <v>0</v>
      </c>
      <c r="BD96" s="81" t="e">
        <f t="shared" si="59"/>
        <v>#REF!</v>
      </c>
      <c r="BE96" s="445" t="e">
        <f t="shared" si="60"/>
        <v>#REF!</v>
      </c>
      <c r="BF96" s="67" t="e">
        <f t="shared" si="61"/>
        <v>#REF!</v>
      </c>
      <c r="BG96" s="45" t="e">
        <f t="shared" si="37"/>
        <v>#REF!</v>
      </c>
      <c r="BH96" s="45" t="e">
        <f t="shared" si="62"/>
        <v>#REF!</v>
      </c>
      <c r="BI96" s="67" t="e">
        <f t="shared" si="63"/>
        <v>#REF!</v>
      </c>
    </row>
    <row r="97" spans="17:61" x14ac:dyDescent="0.25">
      <c r="Q97" s="81">
        <v>3</v>
      </c>
      <c r="R97" s="45">
        <v>8</v>
      </c>
      <c r="S97" s="45" t="s">
        <v>475</v>
      </c>
      <c r="T97" s="438">
        <f>IF(S97="Cu. Yards", Q97*R97*52, Q97*R97*#REF!/#REF!)</f>
        <v>1248</v>
      </c>
      <c r="U97" s="439" t="str">
        <f t="shared" si="64"/>
        <v>NA</v>
      </c>
      <c r="V97" s="129" t="str">
        <f t="shared" si="38"/>
        <v>NA</v>
      </c>
      <c r="W97" s="439">
        <f>IF(V97="NA",1000000,ABS('2.Current_Trash'!$K$29-'9.CustomRates'!V97))</f>
        <v>1000000</v>
      </c>
      <c r="X97" s="439">
        <f t="shared" si="39"/>
        <v>1</v>
      </c>
      <c r="Y97" s="438">
        <f t="shared" si="40"/>
        <v>0</v>
      </c>
      <c r="Z97" s="81" t="e">
        <f t="shared" si="41"/>
        <v>#N/A</v>
      </c>
      <c r="AA97" s="445" t="e">
        <f t="shared" si="42"/>
        <v>#N/A</v>
      </c>
      <c r="AB97" s="67" t="e">
        <f t="shared" si="43"/>
        <v>#N/A</v>
      </c>
      <c r="AC97" s="447" t="str">
        <f t="shared" si="44"/>
        <v>NA</v>
      </c>
      <c r="AD97" s="67">
        <f>IF(AC97=MIN($AC$18:$AC$101),1,0)</f>
        <v>0</v>
      </c>
      <c r="AE97" s="81" t="e">
        <f t="shared" si="35"/>
        <v>#REF!</v>
      </c>
      <c r="AF97" s="45" t="e">
        <f t="shared" si="46"/>
        <v>#REF!</v>
      </c>
      <c r="AG97" s="67" t="e">
        <f t="shared" si="47"/>
        <v>#REF!</v>
      </c>
      <c r="AI97" s="81">
        <v>3</v>
      </c>
      <c r="AJ97" s="45">
        <v>8</v>
      </c>
      <c r="AK97" s="45" t="s">
        <v>378</v>
      </c>
      <c r="AL97" s="438">
        <f>IF(AK97="CY", AI97*AJ97*52, AI97*AJ97*#REF!/#REF!)</f>
        <v>1248</v>
      </c>
      <c r="AM97" s="439" t="str">
        <f t="shared" si="48"/>
        <v>NA</v>
      </c>
      <c r="AN97" s="129" t="str">
        <f t="shared" si="49"/>
        <v>NA</v>
      </c>
      <c r="AO97" s="438">
        <f t="shared" si="50"/>
        <v>0</v>
      </c>
      <c r="AP97" s="81" t="e">
        <f t="shared" si="51"/>
        <v>#N/A</v>
      </c>
      <c r="AQ97" s="445" t="e">
        <f t="shared" si="52"/>
        <v>#N/A</v>
      </c>
      <c r="AR97" s="67" t="e">
        <f t="shared" si="53"/>
        <v>#N/A</v>
      </c>
      <c r="AS97" s="81" t="e">
        <f t="shared" si="36"/>
        <v>#VALUE!</v>
      </c>
      <c r="AT97" s="45" t="e">
        <f t="shared" si="54"/>
        <v>#VALUE!</v>
      </c>
      <c r="AU97" s="67" t="e">
        <f t="shared" si="55"/>
        <v>#VALUE!</v>
      </c>
      <c r="AW97" s="81">
        <v>3</v>
      </c>
      <c r="AX97" s="45">
        <v>8</v>
      </c>
      <c r="AY97" s="45" t="s">
        <v>475</v>
      </c>
      <c r="AZ97" s="438">
        <f>IF(AY97="Cu. Yards", AW97*AX97*52, AW97*AX97*#REF!/#REF!)</f>
        <v>1248</v>
      </c>
      <c r="BA97" s="439" t="str">
        <f t="shared" si="56"/>
        <v>NA</v>
      </c>
      <c r="BB97" s="129" t="str">
        <f t="shared" si="57"/>
        <v>NA</v>
      </c>
      <c r="BC97" s="438">
        <f t="shared" si="58"/>
        <v>0</v>
      </c>
      <c r="BD97" s="81" t="e">
        <f t="shared" si="59"/>
        <v>#REF!</v>
      </c>
      <c r="BE97" s="445" t="e">
        <f t="shared" si="60"/>
        <v>#REF!</v>
      </c>
      <c r="BF97" s="67" t="e">
        <f t="shared" si="61"/>
        <v>#REF!</v>
      </c>
      <c r="BG97" s="45" t="e">
        <f t="shared" si="37"/>
        <v>#REF!</v>
      </c>
      <c r="BH97" s="45" t="e">
        <f t="shared" si="62"/>
        <v>#REF!</v>
      </c>
      <c r="BI97" s="67" t="e">
        <f t="shared" si="63"/>
        <v>#REF!</v>
      </c>
    </row>
    <row r="98" spans="17:61" x14ac:dyDescent="0.25">
      <c r="Q98" s="81">
        <v>4</v>
      </c>
      <c r="R98" s="45">
        <v>8</v>
      </c>
      <c r="S98" s="45" t="s">
        <v>475</v>
      </c>
      <c r="T98" s="438">
        <f>IF(S98="Cu. Yards", Q98*R98*52, Q98*R98*#REF!/#REF!)</f>
        <v>1664</v>
      </c>
      <c r="U98" s="439" t="str">
        <f t="shared" si="64"/>
        <v>NA</v>
      </c>
      <c r="V98" s="129" t="str">
        <f t="shared" si="38"/>
        <v>NA</v>
      </c>
      <c r="W98" s="439">
        <f>IF(V98="NA",1000000,ABS('2.Current_Trash'!$K$29-'9.CustomRates'!V98))</f>
        <v>1000000</v>
      </c>
      <c r="X98" s="439">
        <f t="shared" si="39"/>
        <v>1</v>
      </c>
      <c r="Y98" s="438">
        <f t="shared" si="40"/>
        <v>0</v>
      </c>
      <c r="Z98" s="81" t="e">
        <f t="shared" si="41"/>
        <v>#N/A</v>
      </c>
      <c r="AA98" s="445" t="e">
        <f t="shared" si="42"/>
        <v>#N/A</v>
      </c>
      <c r="AB98" s="67" t="e">
        <f t="shared" si="43"/>
        <v>#N/A</v>
      </c>
      <c r="AC98" s="447" t="str">
        <f t="shared" si="44"/>
        <v>NA</v>
      </c>
      <c r="AD98" s="67">
        <f t="shared" si="45"/>
        <v>0</v>
      </c>
      <c r="AE98" s="81" t="e">
        <f t="shared" si="35"/>
        <v>#REF!</v>
      </c>
      <c r="AF98" s="45" t="e">
        <f t="shared" si="46"/>
        <v>#REF!</v>
      </c>
      <c r="AG98" s="67" t="e">
        <f t="shared" si="47"/>
        <v>#REF!</v>
      </c>
      <c r="AI98" s="81">
        <v>4</v>
      </c>
      <c r="AJ98" s="45">
        <v>8</v>
      </c>
      <c r="AK98" s="45" t="s">
        <v>378</v>
      </c>
      <c r="AL98" s="438">
        <f>IF(AK98="CY", AI98*AJ98*52, AI98*AJ98*#REF!/#REF!)</f>
        <v>1664</v>
      </c>
      <c r="AM98" s="439" t="str">
        <f t="shared" si="48"/>
        <v>NA</v>
      </c>
      <c r="AN98" s="129" t="str">
        <f t="shared" si="49"/>
        <v>NA</v>
      </c>
      <c r="AO98" s="438">
        <f t="shared" si="50"/>
        <v>0</v>
      </c>
      <c r="AP98" s="81" t="e">
        <f t="shared" si="51"/>
        <v>#N/A</v>
      </c>
      <c r="AQ98" s="445" t="e">
        <f t="shared" si="52"/>
        <v>#N/A</v>
      </c>
      <c r="AR98" s="67" t="e">
        <f t="shared" si="53"/>
        <v>#N/A</v>
      </c>
      <c r="AS98" s="81" t="e">
        <f t="shared" si="36"/>
        <v>#VALUE!</v>
      </c>
      <c r="AT98" s="45" t="e">
        <f t="shared" si="54"/>
        <v>#VALUE!</v>
      </c>
      <c r="AU98" s="67" t="e">
        <f t="shared" si="55"/>
        <v>#VALUE!</v>
      </c>
      <c r="AW98" s="81">
        <v>4</v>
      </c>
      <c r="AX98" s="45">
        <v>8</v>
      </c>
      <c r="AY98" s="45" t="s">
        <v>475</v>
      </c>
      <c r="AZ98" s="438">
        <f>IF(AY98="Cu. Yards", AW98*AX98*52, AW98*AX98*#REF!/#REF!)</f>
        <v>1664</v>
      </c>
      <c r="BA98" s="439" t="str">
        <f t="shared" si="56"/>
        <v>NA</v>
      </c>
      <c r="BB98" s="129" t="str">
        <f t="shared" si="57"/>
        <v>NA</v>
      </c>
      <c r="BC98" s="438">
        <f t="shared" si="58"/>
        <v>0</v>
      </c>
      <c r="BD98" s="81" t="e">
        <f t="shared" si="59"/>
        <v>#REF!</v>
      </c>
      <c r="BE98" s="445" t="e">
        <f t="shared" si="60"/>
        <v>#REF!</v>
      </c>
      <c r="BF98" s="67" t="e">
        <f t="shared" si="61"/>
        <v>#REF!</v>
      </c>
      <c r="BG98" s="45" t="e">
        <f t="shared" si="37"/>
        <v>#REF!</v>
      </c>
      <c r="BH98" s="45" t="e">
        <f t="shared" si="62"/>
        <v>#REF!</v>
      </c>
      <c r="BI98" s="67" t="e">
        <f t="shared" si="63"/>
        <v>#REF!</v>
      </c>
    </row>
    <row r="99" spans="17:61" x14ac:dyDescent="0.25">
      <c r="Q99" s="81">
        <v>5</v>
      </c>
      <c r="R99" s="45">
        <v>8</v>
      </c>
      <c r="S99" s="45" t="s">
        <v>475</v>
      </c>
      <c r="T99" s="438">
        <f>IF(S99="Cu. Yards", Q99*R99*52, Q99*R99*#REF!/#REF!)</f>
        <v>2080</v>
      </c>
      <c r="U99" s="439" t="str">
        <f t="shared" si="64"/>
        <v>NA</v>
      </c>
      <c r="V99" s="129" t="str">
        <f t="shared" si="38"/>
        <v>NA</v>
      </c>
      <c r="W99" s="439">
        <f>IF(V99="NA",1000000,ABS('2.Current_Trash'!$K$29-'9.CustomRates'!V99))</f>
        <v>1000000</v>
      </c>
      <c r="X99" s="439">
        <f t="shared" si="39"/>
        <v>1</v>
      </c>
      <c r="Y99" s="438">
        <f t="shared" si="40"/>
        <v>0</v>
      </c>
      <c r="Z99" s="81" t="e">
        <f t="shared" si="41"/>
        <v>#N/A</v>
      </c>
      <c r="AA99" s="445" t="e">
        <f t="shared" si="42"/>
        <v>#N/A</v>
      </c>
      <c r="AB99" s="67" t="e">
        <f t="shared" si="43"/>
        <v>#N/A</v>
      </c>
      <c r="AC99" s="447" t="str">
        <f t="shared" si="44"/>
        <v>NA</v>
      </c>
      <c r="AD99" s="67">
        <f t="shared" si="45"/>
        <v>0</v>
      </c>
      <c r="AE99" s="81" t="e">
        <f t="shared" si="35"/>
        <v>#REF!</v>
      </c>
      <c r="AF99" s="45" t="e">
        <f t="shared" si="46"/>
        <v>#REF!</v>
      </c>
      <c r="AG99" s="67" t="e">
        <f t="shared" si="47"/>
        <v>#REF!</v>
      </c>
      <c r="AI99" s="81">
        <v>5</v>
      </c>
      <c r="AJ99" s="45">
        <v>8</v>
      </c>
      <c r="AK99" s="45" t="s">
        <v>378</v>
      </c>
      <c r="AL99" s="438">
        <f>IF(AK99="CY", AI99*AJ99*52, AI99*AJ99*#REF!/#REF!)</f>
        <v>2080</v>
      </c>
      <c r="AM99" s="439" t="str">
        <f t="shared" si="48"/>
        <v>NA</v>
      </c>
      <c r="AN99" s="129" t="str">
        <f t="shared" si="49"/>
        <v>NA</v>
      </c>
      <c r="AO99" s="438">
        <f t="shared" si="50"/>
        <v>0</v>
      </c>
      <c r="AP99" s="81" t="e">
        <f t="shared" si="51"/>
        <v>#N/A</v>
      </c>
      <c r="AQ99" s="445" t="e">
        <f t="shared" si="52"/>
        <v>#N/A</v>
      </c>
      <c r="AR99" s="67" t="e">
        <f t="shared" si="53"/>
        <v>#N/A</v>
      </c>
      <c r="AS99" s="81" t="e">
        <f t="shared" si="36"/>
        <v>#VALUE!</v>
      </c>
      <c r="AT99" s="45" t="e">
        <f t="shared" si="54"/>
        <v>#VALUE!</v>
      </c>
      <c r="AU99" s="67" t="e">
        <f t="shared" si="55"/>
        <v>#VALUE!</v>
      </c>
      <c r="AW99" s="81">
        <v>5</v>
      </c>
      <c r="AX99" s="45">
        <v>8</v>
      </c>
      <c r="AY99" s="45" t="s">
        <v>475</v>
      </c>
      <c r="AZ99" s="438">
        <f>IF(AY99="Cu. Yards", AW99*AX99*52, AW99*AX99*#REF!/#REF!)</f>
        <v>2080</v>
      </c>
      <c r="BA99" s="439" t="str">
        <f t="shared" si="56"/>
        <v>NA</v>
      </c>
      <c r="BB99" s="129" t="str">
        <f t="shared" si="57"/>
        <v>NA</v>
      </c>
      <c r="BC99" s="438">
        <f t="shared" si="58"/>
        <v>0</v>
      </c>
      <c r="BD99" s="81" t="e">
        <f t="shared" si="59"/>
        <v>#REF!</v>
      </c>
      <c r="BE99" s="445" t="e">
        <f t="shared" si="60"/>
        <v>#REF!</v>
      </c>
      <c r="BF99" s="67" t="e">
        <f t="shared" si="61"/>
        <v>#REF!</v>
      </c>
      <c r="BG99" s="45" t="e">
        <f t="shared" si="37"/>
        <v>#REF!</v>
      </c>
      <c r="BH99" s="45" t="e">
        <f t="shared" si="62"/>
        <v>#REF!</v>
      </c>
      <c r="BI99" s="67" t="e">
        <f t="shared" si="63"/>
        <v>#REF!</v>
      </c>
    </row>
    <row r="100" spans="17:61" x14ac:dyDescent="0.25">
      <c r="Q100" s="81">
        <v>6</v>
      </c>
      <c r="R100" s="45">
        <v>8</v>
      </c>
      <c r="S100" s="45" t="s">
        <v>475</v>
      </c>
      <c r="T100" s="438">
        <f>IF(S100="Cu. Yards", Q100*R100*52, Q100*R100*#REF!/#REF!)</f>
        <v>2496</v>
      </c>
      <c r="U100" s="439" t="str">
        <f t="shared" si="64"/>
        <v>NA</v>
      </c>
      <c r="V100" s="129" t="str">
        <f t="shared" si="38"/>
        <v>NA</v>
      </c>
      <c r="W100" s="439">
        <f>IF(V100="NA",1000000,ABS('2.Current_Trash'!$K$29-'9.CustomRates'!V100))</f>
        <v>1000000</v>
      </c>
      <c r="X100" s="439">
        <f t="shared" si="39"/>
        <v>1</v>
      </c>
      <c r="Y100" s="438">
        <f t="shared" si="40"/>
        <v>0</v>
      </c>
      <c r="Z100" s="81" t="e">
        <f t="shared" si="41"/>
        <v>#N/A</v>
      </c>
      <c r="AA100" s="445" t="e">
        <f t="shared" si="42"/>
        <v>#N/A</v>
      </c>
      <c r="AB100" s="67" t="e">
        <f t="shared" si="43"/>
        <v>#N/A</v>
      </c>
      <c r="AC100" s="447" t="str">
        <f t="shared" si="44"/>
        <v>NA</v>
      </c>
      <c r="AD100" s="67">
        <f t="shared" si="45"/>
        <v>0</v>
      </c>
      <c r="AE100" s="81" t="e">
        <f t="shared" si="35"/>
        <v>#REF!</v>
      </c>
      <c r="AF100" s="45" t="e">
        <f t="shared" si="46"/>
        <v>#REF!</v>
      </c>
      <c r="AG100" s="67" t="e">
        <f t="shared" si="47"/>
        <v>#REF!</v>
      </c>
      <c r="AI100" s="81">
        <v>6</v>
      </c>
      <c r="AJ100" s="45">
        <v>8</v>
      </c>
      <c r="AK100" s="45" t="s">
        <v>378</v>
      </c>
      <c r="AL100" s="438">
        <f>IF(AK100="CY", AI100*AJ100*52, AI100*AJ100*#REF!/#REF!)</f>
        <v>2496</v>
      </c>
      <c r="AM100" s="439" t="str">
        <f t="shared" si="48"/>
        <v>NA</v>
      </c>
      <c r="AN100" s="129" t="str">
        <f t="shared" si="49"/>
        <v>NA</v>
      </c>
      <c r="AO100" s="438">
        <f t="shared" si="50"/>
        <v>0</v>
      </c>
      <c r="AP100" s="81" t="e">
        <f t="shared" si="51"/>
        <v>#N/A</v>
      </c>
      <c r="AQ100" s="445" t="e">
        <f t="shared" si="52"/>
        <v>#N/A</v>
      </c>
      <c r="AR100" s="67" t="e">
        <f t="shared" si="53"/>
        <v>#N/A</v>
      </c>
      <c r="AS100" s="81" t="e">
        <f t="shared" si="36"/>
        <v>#VALUE!</v>
      </c>
      <c r="AT100" s="45" t="e">
        <f t="shared" si="54"/>
        <v>#VALUE!</v>
      </c>
      <c r="AU100" s="67" t="e">
        <f t="shared" si="55"/>
        <v>#VALUE!</v>
      </c>
      <c r="AW100" s="81">
        <v>6</v>
      </c>
      <c r="AX100" s="45">
        <v>8</v>
      </c>
      <c r="AY100" s="45" t="s">
        <v>475</v>
      </c>
      <c r="AZ100" s="438">
        <f>IF(AY100="Cu. Yards", AW100*AX100*52, AW100*AX100*#REF!/#REF!)</f>
        <v>2496</v>
      </c>
      <c r="BA100" s="439" t="str">
        <f t="shared" si="56"/>
        <v>NA</v>
      </c>
      <c r="BB100" s="129" t="str">
        <f t="shared" si="57"/>
        <v>NA</v>
      </c>
      <c r="BC100" s="438">
        <f t="shared" si="58"/>
        <v>0</v>
      </c>
      <c r="BD100" s="81" t="e">
        <f t="shared" si="59"/>
        <v>#REF!</v>
      </c>
      <c r="BE100" s="445" t="e">
        <f t="shared" si="60"/>
        <v>#REF!</v>
      </c>
      <c r="BF100" s="67" t="e">
        <f t="shared" si="61"/>
        <v>#REF!</v>
      </c>
      <c r="BG100" s="45" t="e">
        <f t="shared" si="37"/>
        <v>#REF!</v>
      </c>
      <c r="BH100" s="45" t="e">
        <f t="shared" si="62"/>
        <v>#REF!</v>
      </c>
      <c r="BI100" s="67" t="e">
        <f t="shared" si="63"/>
        <v>#REF!</v>
      </c>
    </row>
    <row r="101" spans="17:61" x14ac:dyDescent="0.25">
      <c r="Q101" s="102">
        <v>7</v>
      </c>
      <c r="R101" s="69">
        <v>8</v>
      </c>
      <c r="S101" s="69" t="s">
        <v>475</v>
      </c>
      <c r="T101" s="440">
        <f>IF(S101="Cu. Yards", Q101*R101*52, Q101*R101*#REF!/#REF!)</f>
        <v>2912</v>
      </c>
      <c r="U101" s="441" t="str">
        <f t="shared" si="64"/>
        <v>NA</v>
      </c>
      <c r="V101" s="442" t="str">
        <f t="shared" si="38"/>
        <v>NA</v>
      </c>
      <c r="W101" s="441">
        <f>IF(V101="NA",1000000,ABS('2.Current_Trash'!$K$29-'9.CustomRates'!V101))</f>
        <v>1000000</v>
      </c>
      <c r="X101" s="441">
        <f t="shared" si="39"/>
        <v>1</v>
      </c>
      <c r="Y101" s="440">
        <f t="shared" si="40"/>
        <v>0</v>
      </c>
      <c r="Z101" s="102" t="e">
        <f t="shared" si="41"/>
        <v>#N/A</v>
      </c>
      <c r="AA101" s="446" t="e">
        <f t="shared" si="42"/>
        <v>#N/A</v>
      </c>
      <c r="AB101" s="70" t="e">
        <f t="shared" si="43"/>
        <v>#N/A</v>
      </c>
      <c r="AC101" s="448" t="str">
        <f t="shared" si="44"/>
        <v>NA</v>
      </c>
      <c r="AD101" s="70">
        <f t="shared" si="45"/>
        <v>0</v>
      </c>
      <c r="AE101" s="102" t="e">
        <f t="shared" si="35"/>
        <v>#REF!</v>
      </c>
      <c r="AF101" s="69" t="e">
        <f t="shared" si="46"/>
        <v>#REF!</v>
      </c>
      <c r="AG101" s="70" t="e">
        <f t="shared" si="47"/>
        <v>#REF!</v>
      </c>
      <c r="AI101" s="102">
        <v>7</v>
      </c>
      <c r="AJ101" s="69">
        <v>8</v>
      </c>
      <c r="AK101" s="69" t="s">
        <v>378</v>
      </c>
      <c r="AL101" s="441">
        <f>IF(AK101="CY", AI101*AJ101*52, AI101*AJ101*#REF!/#REF!)</f>
        <v>2912</v>
      </c>
      <c r="AM101" s="441" t="str">
        <f t="shared" si="48"/>
        <v>NA</v>
      </c>
      <c r="AN101" s="442" t="str">
        <f t="shared" si="49"/>
        <v>NA</v>
      </c>
      <c r="AO101" s="440">
        <f t="shared" si="50"/>
        <v>0</v>
      </c>
      <c r="AP101" s="102" t="e">
        <f t="shared" si="51"/>
        <v>#N/A</v>
      </c>
      <c r="AQ101" s="446" t="e">
        <f t="shared" si="52"/>
        <v>#N/A</v>
      </c>
      <c r="AR101" s="70" t="e">
        <f t="shared" si="53"/>
        <v>#N/A</v>
      </c>
      <c r="AS101" s="102" t="e">
        <f t="shared" si="36"/>
        <v>#VALUE!</v>
      </c>
      <c r="AT101" s="69" t="e">
        <f t="shared" si="54"/>
        <v>#VALUE!</v>
      </c>
      <c r="AU101" s="70" t="e">
        <f t="shared" si="55"/>
        <v>#VALUE!</v>
      </c>
      <c r="AW101" s="102">
        <v>7</v>
      </c>
      <c r="AX101" s="69">
        <v>8</v>
      </c>
      <c r="AY101" s="69" t="s">
        <v>475</v>
      </c>
      <c r="AZ101" s="441">
        <f>IF(AY101="Cu. Yards", AW101*AX101*52, AW101*AX101*#REF!/#REF!)</f>
        <v>2912</v>
      </c>
      <c r="BA101" s="441" t="str">
        <f t="shared" si="56"/>
        <v>NA</v>
      </c>
      <c r="BB101" s="442" t="str">
        <f t="shared" si="57"/>
        <v>NA</v>
      </c>
      <c r="BC101" s="440">
        <f t="shared" si="58"/>
        <v>0</v>
      </c>
      <c r="BD101" s="102" t="e">
        <f t="shared" si="59"/>
        <v>#REF!</v>
      </c>
      <c r="BE101" s="446" t="e">
        <f t="shared" si="60"/>
        <v>#REF!</v>
      </c>
      <c r="BF101" s="70" t="e">
        <f t="shared" si="61"/>
        <v>#REF!</v>
      </c>
      <c r="BG101" s="69" t="e">
        <f t="shared" si="37"/>
        <v>#REF!</v>
      </c>
      <c r="BH101" s="69" t="e">
        <f t="shared" si="62"/>
        <v>#REF!</v>
      </c>
      <c r="BI101" s="70" t="e">
        <f t="shared" si="63"/>
        <v>#REF!</v>
      </c>
    </row>
    <row r="102" spans="17:61" x14ac:dyDescent="0.25">
      <c r="R102" s="220"/>
      <c r="S102" s="222"/>
    </row>
    <row r="103" spans="17:61" x14ac:dyDescent="0.25">
      <c r="R103" s="220"/>
      <c r="S103" s="222"/>
    </row>
    <row r="104" spans="17:61" x14ac:dyDescent="0.25">
      <c r="R104" s="220"/>
      <c r="S104" s="222"/>
    </row>
    <row r="105" spans="17:61" x14ac:dyDescent="0.25">
      <c r="R105" s="220"/>
      <c r="S105" s="222"/>
    </row>
    <row r="106" spans="17:61" x14ac:dyDescent="0.25">
      <c r="R106" s="220"/>
      <c r="S106" s="222"/>
    </row>
    <row r="107" spans="17:61" x14ac:dyDescent="0.25">
      <c r="R107" s="220"/>
      <c r="S107" s="222"/>
    </row>
    <row r="108" spans="17:61" x14ac:dyDescent="0.25">
      <c r="R108" s="220"/>
      <c r="S108" s="222"/>
    </row>
    <row r="109" spans="17:61" x14ac:dyDescent="0.25">
      <c r="R109" s="220"/>
      <c r="S109" s="222"/>
    </row>
    <row r="110" spans="17:61" x14ac:dyDescent="0.25">
      <c r="R110" s="220"/>
      <c r="S110" s="222"/>
    </row>
    <row r="111" spans="17:61" x14ac:dyDescent="0.25">
      <c r="R111" s="220"/>
      <c r="S111" s="222"/>
    </row>
    <row r="112" spans="17:61" x14ac:dyDescent="0.25">
      <c r="R112" s="220"/>
      <c r="S112" s="222"/>
    </row>
    <row r="113" spans="18:19" x14ac:dyDescent="0.25">
      <c r="R113" s="220"/>
      <c r="S113" s="222"/>
    </row>
    <row r="114" spans="18:19" x14ac:dyDescent="0.25">
      <c r="R114" s="220"/>
      <c r="S114" s="222"/>
    </row>
    <row r="115" spans="18:19" x14ac:dyDescent="0.25">
      <c r="R115" s="220"/>
      <c r="S115" s="222"/>
    </row>
    <row r="116" spans="18:19" x14ac:dyDescent="0.25">
      <c r="R116" s="220"/>
      <c r="S116" s="222"/>
    </row>
    <row r="117" spans="18:19" x14ac:dyDescent="0.25">
      <c r="R117" s="220"/>
      <c r="S117" s="222"/>
    </row>
    <row r="118" spans="18:19" x14ac:dyDescent="0.25">
      <c r="R118" s="220"/>
      <c r="S118" s="222"/>
    </row>
    <row r="119" spans="18:19" x14ac:dyDescent="0.25">
      <c r="R119" s="220"/>
      <c r="S119" s="222"/>
    </row>
    <row r="120" spans="18:19" x14ac:dyDescent="0.25">
      <c r="R120" s="220"/>
      <c r="S120" s="222"/>
    </row>
    <row r="121" spans="18:19" x14ac:dyDescent="0.25">
      <c r="R121" s="220"/>
      <c r="S121" s="222"/>
    </row>
    <row r="122" spans="18:19" x14ac:dyDescent="0.25">
      <c r="R122" s="220"/>
      <c r="S122" s="222"/>
    </row>
    <row r="123" spans="18:19" x14ac:dyDescent="0.25">
      <c r="R123" s="220"/>
      <c r="S123" s="222"/>
    </row>
    <row r="124" spans="18:19" x14ac:dyDescent="0.25">
      <c r="R124" s="220"/>
      <c r="S124" s="222"/>
    </row>
    <row r="125" spans="18:19" x14ac:dyDescent="0.25">
      <c r="R125" s="220"/>
      <c r="S125" s="222"/>
    </row>
    <row r="126" spans="18:19" x14ac:dyDescent="0.25">
      <c r="R126" s="220"/>
      <c r="S126" s="222"/>
    </row>
    <row r="127" spans="18:19" x14ac:dyDescent="0.25">
      <c r="R127" s="220"/>
      <c r="S127" s="222"/>
    </row>
    <row r="128" spans="18:19" x14ac:dyDescent="0.25">
      <c r="R128" s="220"/>
      <c r="S128" s="222"/>
    </row>
    <row r="129" spans="18:19" x14ac:dyDescent="0.25">
      <c r="R129" s="220"/>
      <c r="S129" s="222"/>
    </row>
    <row r="130" spans="18:19" x14ac:dyDescent="0.25">
      <c r="R130" s="220"/>
      <c r="S130" s="222"/>
    </row>
    <row r="131" spans="18:19" x14ac:dyDescent="0.25">
      <c r="R131" s="220"/>
      <c r="S131" s="222"/>
    </row>
    <row r="132" spans="18:19" x14ac:dyDescent="0.25">
      <c r="R132" s="220"/>
      <c r="S132" s="222"/>
    </row>
    <row r="133" spans="18:19" x14ac:dyDescent="0.25">
      <c r="R133" s="220"/>
      <c r="S133" s="222"/>
    </row>
    <row r="134" spans="18:19" x14ac:dyDescent="0.25">
      <c r="R134" s="220"/>
      <c r="S134" s="222"/>
    </row>
    <row r="135" spans="18:19" x14ac:dyDescent="0.25">
      <c r="R135" s="220"/>
      <c r="S135" s="222"/>
    </row>
    <row r="136" spans="18:19" x14ac:dyDescent="0.25">
      <c r="R136" s="220"/>
      <c r="S136" s="222"/>
    </row>
    <row r="137" spans="18:19" x14ac:dyDescent="0.25">
      <c r="R137" s="220"/>
      <c r="S137" s="222"/>
    </row>
    <row r="138" spans="18:19" x14ac:dyDescent="0.25">
      <c r="R138" s="220"/>
      <c r="S138" s="222"/>
    </row>
    <row r="139" spans="18:19" x14ac:dyDescent="0.25">
      <c r="R139" s="220"/>
      <c r="S139" s="222"/>
    </row>
    <row r="140" spans="18:19" x14ac:dyDescent="0.25">
      <c r="R140" s="220"/>
      <c r="S140" s="222"/>
    </row>
    <row r="141" spans="18:19" x14ac:dyDescent="0.25">
      <c r="R141" s="220"/>
      <c r="S141" s="222"/>
    </row>
    <row r="142" spans="18:19" x14ac:dyDescent="0.25">
      <c r="R142" s="220"/>
      <c r="S142" s="222"/>
    </row>
    <row r="143" spans="18:19" x14ac:dyDescent="0.25">
      <c r="R143" s="220"/>
      <c r="S143" s="222"/>
    </row>
  </sheetData>
  <mergeCells count="19">
    <mergeCell ref="F36:L36"/>
    <mergeCell ref="AW16:BB16"/>
    <mergeCell ref="BD16:BF16"/>
    <mergeCell ref="C9:H9"/>
    <mergeCell ref="C10:H10"/>
    <mergeCell ref="I9:N9"/>
    <mergeCell ref="AI16:AN16"/>
    <mergeCell ref="AP16:AR16"/>
    <mergeCell ref="F16:L16"/>
    <mergeCell ref="D17:E17"/>
    <mergeCell ref="Q16:V16"/>
    <mergeCell ref="Z16:AB16"/>
    <mergeCell ref="C72:H72"/>
    <mergeCell ref="C73:H73"/>
    <mergeCell ref="C74:H74"/>
    <mergeCell ref="C75:H75"/>
    <mergeCell ref="D37:E37"/>
    <mergeCell ref="F56:L56"/>
    <mergeCell ref="D57:E57"/>
  </mergeCells>
  <hyperlinks>
    <hyperlink ref="C9:H9" location="'2.Current_Trash'!A1" display="To return to the Current_Trash tab, click here"/>
    <hyperlink ref="C10:H10" location="'3.Current_Recycling'!A1" display="To return to the Current_Recycling tab, click here"/>
    <hyperlink ref="I9:N9" location="'4.Future_Benefits '!A1" display="To return to the Future_Benefits tab, click here"/>
  </hyperlink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6865" r:id="rId4" name="Check Box 1">
              <controlPr defaultSize="0" autoFill="0" autoLine="0" autoPict="0">
                <anchor moveWithCells="1">
                  <from>
                    <xdr:col>3</xdr:col>
                    <xdr:colOff>9525</xdr:colOff>
                    <xdr:row>13</xdr:row>
                    <xdr:rowOff>28575</xdr:rowOff>
                  </from>
                  <to>
                    <xdr:col>3</xdr:col>
                    <xdr:colOff>314325</xdr:colOff>
                    <xdr:row>14</xdr:row>
                    <xdr:rowOff>9525</xdr:rowOff>
                  </to>
                </anchor>
              </controlPr>
            </control>
          </mc:Choice>
        </mc:AlternateContent>
        <mc:AlternateContent xmlns:mc="http://schemas.openxmlformats.org/markup-compatibility/2006">
          <mc:Choice Requires="x14">
            <control shapeId="36866" r:id="rId5" name="Check Box 2">
              <controlPr defaultSize="0" autoFill="0" autoLine="0" autoPict="0">
                <anchor moveWithCells="1">
                  <from>
                    <xdr:col>3</xdr:col>
                    <xdr:colOff>9525</xdr:colOff>
                    <xdr:row>33</xdr:row>
                    <xdr:rowOff>38100</xdr:rowOff>
                  </from>
                  <to>
                    <xdr:col>3</xdr:col>
                    <xdr:colOff>314325</xdr:colOff>
                    <xdr:row>34</xdr:row>
                    <xdr:rowOff>19050</xdr:rowOff>
                  </to>
                </anchor>
              </controlPr>
            </control>
          </mc:Choice>
        </mc:AlternateContent>
        <mc:AlternateContent xmlns:mc="http://schemas.openxmlformats.org/markup-compatibility/2006">
          <mc:Choice Requires="x14">
            <control shapeId="36867" r:id="rId6" name="Check Box 3">
              <controlPr defaultSize="0" autoFill="0" autoLine="0" autoPict="0">
                <anchor moveWithCells="1">
                  <from>
                    <xdr:col>3</xdr:col>
                    <xdr:colOff>9525</xdr:colOff>
                    <xdr:row>52</xdr:row>
                    <xdr:rowOff>104775</xdr:rowOff>
                  </from>
                  <to>
                    <xdr:col>3</xdr:col>
                    <xdr:colOff>314325</xdr:colOff>
                    <xdr:row>54</xdr:row>
                    <xdr:rowOff>19050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P30"/>
  <sheetViews>
    <sheetView showGridLines="0" zoomScaleNormal="100" workbookViewId="0">
      <selection activeCell="B14" sqref="B14"/>
    </sheetView>
  </sheetViews>
  <sheetFormatPr defaultColWidth="0" defaultRowHeight="15" zeroHeight="1" x14ac:dyDescent="0.25"/>
  <cols>
    <col min="1" max="1" width="1.7109375" style="45" customWidth="1"/>
    <col min="2" max="2" width="99.140625" style="45" customWidth="1"/>
    <col min="3" max="3" width="9.140625" style="45" customWidth="1"/>
    <col min="4" max="4" width="2.28515625" style="224" customWidth="1"/>
    <col min="5" max="16" width="0" style="224" hidden="1" customWidth="1"/>
    <col min="17" max="16384" width="9.140625" style="45" hidden="1"/>
  </cols>
  <sheetData>
    <row r="1" spans="2:16" s="756" customFormat="1" ht="33.75" customHeight="1" x14ac:dyDescent="0.25">
      <c r="B1" s="772" t="s">
        <v>631</v>
      </c>
      <c r="C1" s="761"/>
      <c r="D1" s="767"/>
      <c r="E1" s="767"/>
      <c r="F1" s="768"/>
      <c r="G1" s="768"/>
      <c r="H1" s="1149"/>
      <c r="I1" s="1149"/>
      <c r="J1" s="1149"/>
      <c r="K1" s="1149"/>
      <c r="L1" s="769"/>
      <c r="M1" s="769"/>
      <c r="N1" s="769"/>
      <c r="O1" s="769"/>
      <c r="P1" s="769"/>
    </row>
    <row r="2" spans="2:16" s="762" customFormat="1" ht="23.25" x14ac:dyDescent="0.35">
      <c r="B2" s="637" t="s">
        <v>667</v>
      </c>
      <c r="C2" s="757"/>
      <c r="D2" s="681"/>
      <c r="E2" s="681"/>
      <c r="F2" s="681"/>
      <c r="G2" s="681"/>
      <c r="H2" s="681"/>
      <c r="I2" s="681"/>
      <c r="J2" s="681"/>
      <c r="K2" s="681"/>
      <c r="L2" s="770"/>
      <c r="M2" s="771"/>
      <c r="N2" s="771"/>
      <c r="O2" s="771"/>
      <c r="P2" s="771"/>
    </row>
    <row r="3" spans="2:16" ht="11.25" customHeight="1" x14ac:dyDescent="0.25">
      <c r="B3" s="640"/>
      <c r="C3" s="640"/>
      <c r="L3" s="682"/>
    </row>
    <row r="4" spans="2:16" s="169" customFormat="1" ht="35.25" customHeight="1" x14ac:dyDescent="0.25">
      <c r="B4" s="763" t="s">
        <v>725</v>
      </c>
      <c r="D4" s="321"/>
      <c r="E4" s="321"/>
      <c r="F4" s="321"/>
      <c r="G4" s="321"/>
      <c r="H4" s="321"/>
      <c r="I4" s="321"/>
      <c r="J4" s="321"/>
      <c r="K4" s="321"/>
      <c r="L4" s="321"/>
      <c r="M4" s="321"/>
      <c r="N4" s="321"/>
      <c r="O4" s="321"/>
      <c r="P4" s="321"/>
    </row>
    <row r="5" spans="2:16" s="593" customFormat="1" ht="18" x14ac:dyDescent="0.3">
      <c r="B5" s="766" t="s">
        <v>758</v>
      </c>
      <c r="D5" s="592"/>
      <c r="E5" s="592"/>
      <c r="F5" s="592"/>
      <c r="G5" s="592"/>
      <c r="H5" s="592"/>
      <c r="I5" s="592"/>
      <c r="J5" s="592"/>
      <c r="K5" s="592"/>
      <c r="L5" s="592"/>
      <c r="M5" s="592"/>
      <c r="N5" s="592"/>
      <c r="O5" s="592"/>
      <c r="P5" s="592"/>
    </row>
    <row r="6" spans="2:16" s="593" customFormat="1" ht="18" x14ac:dyDescent="0.3">
      <c r="B6" s="766" t="s">
        <v>721</v>
      </c>
      <c r="D6" s="592"/>
      <c r="E6" s="592"/>
      <c r="F6" s="592"/>
      <c r="G6" s="592"/>
      <c r="H6" s="592"/>
      <c r="I6" s="592"/>
      <c r="J6" s="592"/>
      <c r="K6" s="592"/>
      <c r="L6" s="592"/>
      <c r="M6" s="592"/>
      <c r="N6" s="592"/>
      <c r="O6" s="592"/>
      <c r="P6" s="592"/>
    </row>
    <row r="7" spans="2:16" s="617" customFormat="1" ht="35.25" customHeight="1" x14ac:dyDescent="0.25">
      <c r="B7" s="765" t="s">
        <v>726</v>
      </c>
      <c r="D7" s="616"/>
      <c r="E7" s="616"/>
      <c r="F7" s="616"/>
      <c r="G7" s="616"/>
      <c r="H7" s="616"/>
      <c r="I7" s="616"/>
      <c r="J7" s="616"/>
      <c r="K7" s="616"/>
      <c r="L7" s="616"/>
      <c r="M7" s="616"/>
      <c r="N7" s="616"/>
      <c r="O7" s="616"/>
      <c r="P7" s="616"/>
    </row>
    <row r="8" spans="2:16" s="593" customFormat="1" ht="18" x14ac:dyDescent="0.3">
      <c r="B8" s="766" t="s">
        <v>759</v>
      </c>
      <c r="D8" s="592"/>
      <c r="E8" s="592"/>
      <c r="F8" s="592"/>
      <c r="G8" s="592"/>
      <c r="H8" s="592"/>
      <c r="I8" s="592"/>
      <c r="J8" s="592"/>
      <c r="K8" s="592"/>
      <c r="L8" s="592"/>
      <c r="M8" s="592"/>
      <c r="N8" s="592"/>
      <c r="O8" s="592"/>
      <c r="P8" s="592"/>
    </row>
    <row r="9" spans="2:16" s="617" customFormat="1" ht="35.25" customHeight="1" x14ac:dyDescent="0.25">
      <c r="B9" s="765" t="s">
        <v>727</v>
      </c>
      <c r="D9" s="616"/>
      <c r="E9" s="616"/>
      <c r="F9" s="616"/>
      <c r="G9" s="616"/>
      <c r="H9" s="616"/>
      <c r="I9" s="616"/>
      <c r="J9" s="616"/>
      <c r="K9" s="616"/>
      <c r="L9" s="616"/>
      <c r="M9" s="616"/>
      <c r="N9" s="616"/>
      <c r="O9" s="616"/>
      <c r="P9" s="616"/>
    </row>
    <row r="10" spans="2:16" s="593" customFormat="1" ht="18" x14ac:dyDescent="0.3">
      <c r="B10" s="766" t="s">
        <v>723</v>
      </c>
      <c r="D10" s="592"/>
      <c r="E10" s="592"/>
      <c r="F10" s="592"/>
      <c r="G10" s="592"/>
      <c r="H10" s="592"/>
      <c r="I10" s="592"/>
      <c r="J10" s="592"/>
      <c r="K10" s="592"/>
      <c r="L10" s="592"/>
      <c r="M10" s="592"/>
      <c r="N10" s="592"/>
      <c r="O10" s="592"/>
      <c r="P10" s="592"/>
    </row>
    <row r="11" spans="2:16" s="617" customFormat="1" ht="35.25" customHeight="1" x14ac:dyDescent="0.25">
      <c r="B11" s="765" t="s">
        <v>722</v>
      </c>
      <c r="D11" s="616"/>
      <c r="E11" s="616"/>
      <c r="F11" s="616"/>
      <c r="G11" s="616"/>
      <c r="H11" s="616"/>
      <c r="I11" s="616"/>
      <c r="J11" s="616"/>
      <c r="K11" s="616"/>
      <c r="L11" s="616"/>
      <c r="M11" s="616"/>
      <c r="N11" s="616"/>
      <c r="O11" s="616"/>
      <c r="P11" s="616"/>
    </row>
    <row r="12" spans="2:16" s="593" customFormat="1" ht="18" x14ac:dyDescent="0.3">
      <c r="B12" s="766" t="s">
        <v>724</v>
      </c>
      <c r="D12" s="592"/>
      <c r="E12" s="592"/>
      <c r="F12" s="592"/>
      <c r="G12" s="592"/>
      <c r="H12" s="592"/>
      <c r="I12" s="592"/>
      <c r="J12" s="592"/>
      <c r="K12" s="592"/>
      <c r="L12" s="592"/>
      <c r="M12" s="592"/>
      <c r="N12" s="592"/>
      <c r="O12" s="592"/>
      <c r="P12" s="592"/>
    </row>
    <row r="13" spans="2:16" s="593" customFormat="1" ht="18" x14ac:dyDescent="0.3">
      <c r="B13" s="766" t="s">
        <v>649</v>
      </c>
      <c r="D13" s="592"/>
      <c r="E13" s="592"/>
      <c r="F13" s="592"/>
      <c r="G13" s="592"/>
      <c r="H13" s="592"/>
      <c r="I13" s="592"/>
      <c r="J13" s="592"/>
      <c r="K13" s="592"/>
      <c r="L13" s="592"/>
      <c r="M13" s="592"/>
      <c r="N13" s="592"/>
      <c r="O13" s="592"/>
      <c r="P13" s="592"/>
    </row>
    <row r="14" spans="2:16" s="593" customFormat="1" ht="18" x14ac:dyDescent="0.3">
      <c r="B14" s="766" t="s">
        <v>650</v>
      </c>
      <c r="D14" s="592"/>
      <c r="E14" s="592"/>
      <c r="F14" s="592"/>
      <c r="G14" s="592"/>
      <c r="H14" s="592"/>
      <c r="I14" s="592"/>
      <c r="J14" s="592"/>
      <c r="K14" s="592"/>
      <c r="L14" s="592"/>
      <c r="M14" s="592"/>
      <c r="N14" s="592"/>
      <c r="O14" s="592"/>
      <c r="P14" s="592"/>
    </row>
    <row r="15" spans="2:16" s="593" customFormat="1" ht="15.75" x14ac:dyDescent="0.25">
      <c r="B15" s="764"/>
      <c r="D15" s="592"/>
      <c r="E15" s="592"/>
      <c r="F15" s="592"/>
      <c r="G15" s="592"/>
      <c r="H15" s="592"/>
      <c r="I15" s="592"/>
      <c r="J15" s="592"/>
      <c r="K15" s="592"/>
      <c r="L15" s="592"/>
      <c r="M15" s="592"/>
      <c r="N15" s="592"/>
      <c r="O15" s="592"/>
      <c r="P15" s="592"/>
    </row>
    <row r="16" spans="2:16" s="926" customFormat="1" ht="35.25" customHeight="1" x14ac:dyDescent="0.25">
      <c r="B16" s="932" t="s">
        <v>756</v>
      </c>
      <c r="D16" s="927"/>
      <c r="E16" s="927"/>
      <c r="F16" s="927"/>
      <c r="G16" s="927"/>
      <c r="H16" s="927"/>
      <c r="I16" s="927"/>
      <c r="J16" s="927"/>
      <c r="K16" s="927"/>
      <c r="L16" s="927"/>
      <c r="M16" s="927"/>
      <c r="N16" s="927"/>
      <c r="O16" s="927"/>
      <c r="P16" s="927"/>
    </row>
    <row r="17" spans="2:16" s="593" customFormat="1" ht="18" x14ac:dyDescent="0.3">
      <c r="B17" s="933" t="s">
        <v>755</v>
      </c>
      <c r="D17" s="592"/>
      <c r="E17" s="592"/>
      <c r="F17" s="592"/>
      <c r="G17" s="592"/>
      <c r="H17" s="592"/>
      <c r="I17" s="592"/>
      <c r="J17" s="592"/>
      <c r="K17" s="592"/>
      <c r="L17" s="592"/>
      <c r="M17" s="592"/>
      <c r="N17" s="592"/>
      <c r="O17" s="592"/>
      <c r="P17" s="592"/>
    </row>
    <row r="18" spans="2:16" ht="18" x14ac:dyDescent="0.3">
      <c r="B18" s="766"/>
    </row>
    <row r="19" spans="2:16" ht="10.5" customHeight="1" x14ac:dyDescent="0.25"/>
    <row r="20" spans="2:16" ht="10.5" customHeight="1" x14ac:dyDescent="0.25">
      <c r="F20" s="321"/>
    </row>
    <row r="21" spans="2:16" ht="10.5" customHeight="1" x14ac:dyDescent="0.25"/>
    <row r="22" spans="2:16" x14ac:dyDescent="0.25"/>
    <row r="23" spans="2:16" x14ac:dyDescent="0.25"/>
    <row r="24" spans="2:16" x14ac:dyDescent="0.25"/>
    <row r="25" spans="2:16" ht="15" customHeight="1" x14ac:dyDescent="0.25">
      <c r="B25" s="707"/>
      <c r="C25" s="707"/>
    </row>
    <row r="26" spans="2:16" s="169" customFormat="1" ht="19.5" customHeight="1" x14ac:dyDescent="0.25">
      <c r="B26" s="910" t="s">
        <v>760</v>
      </c>
      <c r="C26" s="910"/>
      <c r="D26" s="321"/>
      <c r="E26" s="321"/>
      <c r="F26" s="321"/>
      <c r="G26" s="321"/>
      <c r="H26" s="321"/>
      <c r="I26" s="321"/>
      <c r="J26" s="321"/>
      <c r="K26" s="321"/>
      <c r="L26" s="321"/>
      <c r="M26" s="321"/>
      <c r="N26" s="321"/>
      <c r="O26" s="321"/>
      <c r="P26" s="321"/>
    </row>
    <row r="27" spans="2:16" ht="4.5" customHeight="1" x14ac:dyDescent="0.25"/>
    <row r="28" spans="2:16" hidden="1" x14ac:dyDescent="0.25"/>
    <row r="29" spans="2:16" hidden="1" x14ac:dyDescent="0.25"/>
    <row r="30" spans="2:16" hidden="1" x14ac:dyDescent="0.25"/>
  </sheetData>
  <sheetProtection algorithmName="SHA-512" hashValue="4Uk24WzbF4v/Mdjq/zJjzwhBLwyQHAAedC6fnDUwBP41f+1IGzQrUmibU6M/BVjjzTa80tQH4OaU4DOgJ5HUXw==" saltValue="YwfomsZXhrjfr0I69uF8PA==" spinCount="100000" sheet="1" objects="1" scenarios="1"/>
  <mergeCells count="1">
    <mergeCell ref="H1:K1"/>
  </mergeCells>
  <hyperlinks>
    <hyperlink ref="B13" r:id="rId1"/>
    <hyperlink ref="B12" r:id="rId2"/>
    <hyperlink ref="B14" r:id="rId3"/>
    <hyperlink ref="B5" r:id="rId4"/>
    <hyperlink ref="B8" r:id="rId5"/>
    <hyperlink ref="B10" r:id="rId6"/>
    <hyperlink ref="B6" r:id="rId7"/>
    <hyperlink ref="B17" r:id="rId8"/>
  </hyperlinks>
  <pageMargins left="0.7" right="0.7" top="0.75" bottom="0.75" header="0.3" footer="0.3"/>
  <pageSetup scale="80" orientation="portrait" r:id="rId9"/>
  <drawing r:id="rId1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T40"/>
  <sheetViews>
    <sheetView showGridLines="0" zoomScale="85" zoomScaleNormal="85" workbookViewId="0">
      <selection activeCell="D41" sqref="D41"/>
    </sheetView>
  </sheetViews>
  <sheetFormatPr defaultColWidth="0" defaultRowHeight="15" x14ac:dyDescent="0.25"/>
  <cols>
    <col min="1" max="1" width="2.7109375" style="56" customWidth="1"/>
    <col min="2" max="2" width="13.28515625" style="56" customWidth="1"/>
    <col min="3" max="3" width="23.7109375" style="56" customWidth="1"/>
    <col min="4" max="4" width="13.140625" style="56" customWidth="1"/>
    <col min="5" max="5" width="29" style="56" customWidth="1"/>
    <col min="6" max="6" width="61.42578125" style="745" customWidth="1"/>
    <col min="7" max="9" width="10.7109375" style="56" customWidth="1"/>
    <col min="10" max="10" width="9.85546875" style="56" customWidth="1"/>
    <col min="11" max="11" width="8.85546875" style="56" hidden="1" customWidth="1"/>
    <col min="12" max="12" width="12" style="56" hidden="1" customWidth="1"/>
    <col min="13" max="13" width="12.42578125" style="745" hidden="1" customWidth="1"/>
    <col min="14" max="16" width="10.85546875" style="56" hidden="1" customWidth="1"/>
    <col min="17" max="17" width="3.5703125" style="56" hidden="1" customWidth="1"/>
    <col min="18" max="19" width="9.140625" style="56" hidden="1" customWidth="1"/>
    <col min="20" max="20" width="11.7109375" style="56" hidden="1" customWidth="1"/>
    <col min="21" max="16384" width="9.140625" style="56" hidden="1"/>
  </cols>
  <sheetData>
    <row r="1" spans="1:17" x14ac:dyDescent="0.25">
      <c r="A1" s="508"/>
      <c r="B1" s="746"/>
      <c r="C1" s="746"/>
      <c r="D1" s="746"/>
      <c r="E1" s="746"/>
      <c r="F1" s="743"/>
      <c r="G1" s="746"/>
      <c r="H1" s="746"/>
      <c r="I1" s="746"/>
      <c r="J1" s="746"/>
      <c r="K1" s="746"/>
      <c r="L1" s="746"/>
      <c r="M1" s="743"/>
      <c r="N1" s="746"/>
      <c r="O1" s="746"/>
      <c r="P1" s="746"/>
      <c r="Q1" s="746"/>
    </row>
    <row r="2" spans="1:17" x14ac:dyDescent="0.25">
      <c r="A2" s="746"/>
      <c r="B2" s="793" t="s">
        <v>197</v>
      </c>
      <c r="C2" s="794"/>
      <c r="D2" s="803"/>
      <c r="E2" s="804"/>
      <c r="F2" s="743"/>
      <c r="G2" s="746"/>
      <c r="H2" s="746"/>
      <c r="I2" s="746"/>
      <c r="J2" s="746"/>
      <c r="K2" s="746"/>
      <c r="L2" s="746"/>
      <c r="M2" s="743"/>
      <c r="N2" s="746"/>
      <c r="O2" s="746"/>
      <c r="P2" s="746"/>
      <c r="Q2" s="746"/>
    </row>
    <row r="3" spans="1:17" x14ac:dyDescent="0.25">
      <c r="A3" s="746"/>
      <c r="B3" s="904">
        <v>201.97499999999999</v>
      </c>
      <c r="C3" s="774" t="s">
        <v>131</v>
      </c>
      <c r="D3" s="805"/>
      <c r="E3" s="806"/>
      <c r="F3" s="744"/>
      <c r="G3" s="746"/>
      <c r="H3" s="746"/>
      <c r="I3" s="746"/>
      <c r="J3" s="746"/>
      <c r="K3" s="746"/>
      <c r="L3" s="746"/>
      <c r="M3" s="743"/>
      <c r="N3" s="746"/>
      <c r="O3" s="746"/>
      <c r="P3" s="746"/>
      <c r="Q3" s="746"/>
    </row>
    <row r="4" spans="1:17" x14ac:dyDescent="0.25">
      <c r="A4" s="746"/>
      <c r="B4" s="773">
        <v>2</v>
      </c>
      <c r="C4" s="774" t="s">
        <v>590</v>
      </c>
      <c r="D4" s="908"/>
      <c r="E4" s="806"/>
      <c r="F4" s="744"/>
      <c r="G4" s="746"/>
      <c r="H4" s="746"/>
      <c r="I4" s="746"/>
      <c r="J4" s="746"/>
      <c r="K4" s="746"/>
      <c r="L4" s="746"/>
      <c r="M4" s="743"/>
      <c r="N4" s="746"/>
      <c r="O4" s="746"/>
      <c r="P4" s="746"/>
      <c r="Q4" s="746"/>
    </row>
    <row r="5" spans="1:17" x14ac:dyDescent="0.25">
      <c r="A5" s="746"/>
      <c r="B5" s="903">
        <v>2000</v>
      </c>
      <c r="C5" s="774" t="s">
        <v>613</v>
      </c>
      <c r="D5" s="805"/>
      <c r="E5" s="806"/>
      <c r="F5" s="744"/>
      <c r="G5" s="746"/>
      <c r="H5" s="746"/>
      <c r="I5" s="746"/>
      <c r="J5" s="746"/>
      <c r="K5" s="746"/>
      <c r="L5" s="746"/>
      <c r="M5" s="743"/>
      <c r="N5" s="746"/>
      <c r="O5" s="746"/>
      <c r="P5" s="746"/>
      <c r="Q5" s="746"/>
    </row>
    <row r="6" spans="1:17" x14ac:dyDescent="0.25">
      <c r="A6" s="746"/>
      <c r="B6" s="775">
        <v>52.25</v>
      </c>
      <c r="C6" s="774" t="s">
        <v>132</v>
      </c>
      <c r="D6" s="805"/>
      <c r="E6" s="807"/>
      <c r="G6" s="746"/>
      <c r="H6" s="746"/>
      <c r="I6" s="746"/>
      <c r="J6" s="746"/>
      <c r="K6" s="746"/>
      <c r="L6" s="746"/>
      <c r="M6" s="743"/>
      <c r="N6" s="746"/>
      <c r="O6" s="746"/>
      <c r="P6" s="746"/>
      <c r="Q6" s="746"/>
    </row>
    <row r="7" spans="1:17" x14ac:dyDescent="0.25">
      <c r="A7" s="746"/>
      <c r="B7" s="746"/>
      <c r="C7" s="746"/>
      <c r="D7" s="746"/>
      <c r="E7" s="746"/>
      <c r="F7" s="743"/>
      <c r="G7" s="746"/>
      <c r="H7" s="746"/>
      <c r="I7" s="746"/>
      <c r="J7" s="746"/>
      <c r="K7" s="746"/>
      <c r="L7" s="746"/>
      <c r="M7" s="743"/>
      <c r="N7" s="746"/>
      <c r="O7" s="746"/>
      <c r="P7" s="746"/>
      <c r="Q7" s="746"/>
    </row>
    <row r="8" spans="1:17" s="748" customFormat="1" x14ac:dyDescent="0.25">
      <c r="B8" s="749"/>
      <c r="C8" s="749"/>
      <c r="D8" s="750"/>
      <c r="E8" s="750"/>
      <c r="F8" s="751"/>
      <c r="H8" s="750"/>
    </row>
    <row r="9" spans="1:17" s="747" customFormat="1" ht="30" customHeight="1" x14ac:dyDescent="0.25">
      <c r="D9" s="1158" t="s">
        <v>732</v>
      </c>
      <c r="E9" s="1158"/>
      <c r="F9" s="1158"/>
      <c r="G9" s="1155" t="s">
        <v>731</v>
      </c>
      <c r="H9" s="1156"/>
      <c r="I9" s="1157"/>
      <c r="J9" s="801"/>
    </row>
    <row r="10" spans="1:17" s="14" customFormat="1" ht="42.75" customHeight="1" x14ac:dyDescent="0.25">
      <c r="B10" s="786" t="s">
        <v>659</v>
      </c>
      <c r="C10" s="787" t="s">
        <v>187</v>
      </c>
      <c r="D10" s="905" t="s">
        <v>729</v>
      </c>
      <c r="E10" s="788" t="s">
        <v>172</v>
      </c>
      <c r="F10" s="789" t="s">
        <v>562</v>
      </c>
      <c r="G10" s="791" t="s">
        <v>661</v>
      </c>
      <c r="H10" s="791" t="s">
        <v>660</v>
      </c>
      <c r="I10" s="792" t="s">
        <v>662</v>
      </c>
      <c r="J10" s="802"/>
    </row>
    <row r="11" spans="1:17" s="747" customFormat="1" x14ac:dyDescent="0.25">
      <c r="B11" s="914" t="s">
        <v>577</v>
      </c>
      <c r="C11" s="776" t="s">
        <v>14</v>
      </c>
      <c r="D11" s="916">
        <v>53</v>
      </c>
      <c r="E11" s="799" t="s">
        <v>671</v>
      </c>
      <c r="F11" s="785"/>
      <c r="G11" s="920">
        <f>GHGs!K5</f>
        <v>-0.71823447173361865</v>
      </c>
      <c r="H11" s="920">
        <f>GHGs!L5</f>
        <v>-3.1100424311229413</v>
      </c>
      <c r="I11" s="920">
        <f>GHGs!M5</f>
        <v>0</v>
      </c>
    </row>
    <row r="12" spans="1:17" s="747" customFormat="1" x14ac:dyDescent="0.25">
      <c r="B12" s="914" t="s">
        <v>577</v>
      </c>
      <c r="C12" s="776" t="s">
        <v>548</v>
      </c>
      <c r="D12" s="917">
        <v>158</v>
      </c>
      <c r="E12" s="777" t="s">
        <v>291</v>
      </c>
      <c r="F12" s="781"/>
      <c r="G12" s="920">
        <f>GHGs!K6</f>
        <v>6.4744739370929338E-2</v>
      </c>
      <c r="H12" s="920">
        <f>GHGs!L6</f>
        <v>-2.854570446723625</v>
      </c>
      <c r="I12" s="920">
        <f>GHGs!M6</f>
        <v>0</v>
      </c>
    </row>
    <row r="13" spans="1:17" s="747" customFormat="1" x14ac:dyDescent="0.25">
      <c r="B13" s="914" t="s">
        <v>577</v>
      </c>
      <c r="C13" s="776" t="s">
        <v>549</v>
      </c>
      <c r="D13" s="917">
        <v>158</v>
      </c>
      <c r="E13" s="777" t="s">
        <v>291</v>
      </c>
      <c r="F13" s="781"/>
      <c r="G13" s="920">
        <f>GHGs!K7</f>
        <v>-0.65055521785456694</v>
      </c>
      <c r="H13" s="920">
        <f>GHGs!L7</f>
        <v>-3.5178448678557155</v>
      </c>
      <c r="I13" s="920">
        <f>GHGs!M7</f>
        <v>0</v>
      </c>
    </row>
    <row r="14" spans="1:17" s="747" customFormat="1" x14ac:dyDescent="0.25">
      <c r="B14" s="914" t="s">
        <v>163</v>
      </c>
      <c r="C14" s="776" t="s">
        <v>550</v>
      </c>
      <c r="D14" s="918">
        <v>322</v>
      </c>
      <c r="E14" s="778" t="s">
        <v>657</v>
      </c>
      <c r="F14" s="782" t="s">
        <v>658</v>
      </c>
      <c r="G14" s="920">
        <f>GHGs!K8</f>
        <v>0</v>
      </c>
      <c r="H14" s="920">
        <f>GHGs!L8</f>
        <v>0</v>
      </c>
      <c r="I14" s="920">
        <f>GHGs!M8</f>
        <v>0</v>
      </c>
    </row>
    <row r="15" spans="1:17" s="747" customFormat="1" x14ac:dyDescent="0.25">
      <c r="B15" s="914" t="s">
        <v>578</v>
      </c>
      <c r="C15" s="776" t="s">
        <v>551</v>
      </c>
      <c r="D15" s="917">
        <v>363.5</v>
      </c>
      <c r="E15" s="777" t="s">
        <v>291</v>
      </c>
      <c r="F15" s="781"/>
      <c r="G15" s="920">
        <f>GHGs!K9</f>
        <v>-0.65055521785456694</v>
      </c>
      <c r="H15" s="920">
        <f>GHGs!L9</f>
        <v>-3.5178448678557155</v>
      </c>
      <c r="I15" s="920">
        <f>GHGs!M9</f>
        <v>0</v>
      </c>
    </row>
    <row r="16" spans="1:17" s="747" customFormat="1" x14ac:dyDescent="0.25">
      <c r="B16" s="914" t="s">
        <v>577</v>
      </c>
      <c r="C16" s="776" t="s">
        <v>552</v>
      </c>
      <c r="D16" s="917">
        <v>30</v>
      </c>
      <c r="E16" s="799" t="s">
        <v>671</v>
      </c>
      <c r="F16" s="781" t="s">
        <v>292</v>
      </c>
      <c r="G16" s="920">
        <f>GHGs!K10</f>
        <v>3.8815165287750024E-2</v>
      </c>
      <c r="H16" s="920">
        <f>GHGs!L10</f>
        <v>-1.1083695046499848</v>
      </c>
      <c r="I16" s="920">
        <f>GHGs!M10</f>
        <v>0</v>
      </c>
    </row>
    <row r="17" spans="2:9" s="747" customFormat="1" x14ac:dyDescent="0.25">
      <c r="B17" s="914" t="s">
        <v>577</v>
      </c>
      <c r="C17" s="776" t="s">
        <v>564</v>
      </c>
      <c r="D17" s="917">
        <v>35</v>
      </c>
      <c r="E17" s="799" t="s">
        <v>671</v>
      </c>
      <c r="F17" s="781"/>
      <c r="G17" s="920">
        <f>GHGs!K11</f>
        <v>3.8815165287750024E-2</v>
      </c>
      <c r="H17" s="920">
        <f>GHGs!L11</f>
        <v>0</v>
      </c>
      <c r="I17" s="920">
        <f>GHGs!M11</f>
        <v>0</v>
      </c>
    </row>
    <row r="18" spans="2:9" s="747" customFormat="1" x14ac:dyDescent="0.25">
      <c r="B18" s="914" t="s">
        <v>163</v>
      </c>
      <c r="C18" s="776" t="s">
        <v>553</v>
      </c>
      <c r="D18" s="917">
        <v>30</v>
      </c>
      <c r="E18" s="799" t="s">
        <v>671</v>
      </c>
      <c r="F18" s="781" t="s">
        <v>292</v>
      </c>
      <c r="G18" s="920">
        <f>GHGs!K12</f>
        <v>-1.62405446313225</v>
      </c>
      <c r="H18" s="920">
        <f>GHGs!L12</f>
        <v>0</v>
      </c>
      <c r="I18" s="920">
        <f>GHGs!M12</f>
        <v>-0.19766519011403719</v>
      </c>
    </row>
    <row r="19" spans="2:9" s="747" customFormat="1" x14ac:dyDescent="0.25">
      <c r="B19" s="914" t="s">
        <v>578</v>
      </c>
      <c r="C19" s="776" t="s">
        <v>554</v>
      </c>
      <c r="D19" s="917">
        <v>50</v>
      </c>
      <c r="E19" s="777" t="s">
        <v>291</v>
      </c>
      <c r="F19" s="781"/>
      <c r="G19" s="920">
        <f>GHGs!K13</f>
        <v>3.8815165287750024E-2</v>
      </c>
      <c r="H19" s="920">
        <f>GHGs!L13</f>
        <v>-0.9816460057684695</v>
      </c>
      <c r="I19" s="920">
        <f>GHGs!M13</f>
        <v>0</v>
      </c>
    </row>
    <row r="20" spans="2:9" s="747" customFormat="1" x14ac:dyDescent="0.25">
      <c r="B20" s="914" t="s">
        <v>577</v>
      </c>
      <c r="C20" s="776" t="s">
        <v>555</v>
      </c>
      <c r="D20" s="917">
        <v>225</v>
      </c>
      <c r="E20" s="799" t="s">
        <v>671</v>
      </c>
      <c r="F20" s="780"/>
      <c r="G20" s="920">
        <f>GHGs!K14</f>
        <v>3.8815165287750024E-2</v>
      </c>
      <c r="H20" s="920">
        <f>GHGs!L14</f>
        <v>-5.3463324465747517</v>
      </c>
      <c r="I20" s="920">
        <f>GHGs!M14</f>
        <v>0</v>
      </c>
    </row>
    <row r="21" spans="2:9" s="747" customFormat="1" x14ac:dyDescent="0.25">
      <c r="B21" s="914" t="s">
        <v>577</v>
      </c>
      <c r="C21" s="776" t="s">
        <v>556</v>
      </c>
      <c r="D21" s="917">
        <v>225</v>
      </c>
      <c r="E21" s="799" t="s">
        <v>671</v>
      </c>
      <c r="F21" s="780"/>
      <c r="G21" s="920">
        <f>GHGs!K15</f>
        <v>3.8815165287750024E-2</v>
      </c>
      <c r="H21" s="920">
        <f>GHGs!L15</f>
        <v>-5.9311599711206844</v>
      </c>
      <c r="I21" s="920">
        <f>GHGs!M15</f>
        <v>0</v>
      </c>
    </row>
    <row r="22" spans="2:9" s="747" customFormat="1" x14ac:dyDescent="0.25">
      <c r="B22" s="914" t="s">
        <v>578</v>
      </c>
      <c r="C22" s="776" t="s">
        <v>557</v>
      </c>
      <c r="D22" s="917">
        <v>142.83000000000001</v>
      </c>
      <c r="E22" s="800" t="s">
        <v>672</v>
      </c>
      <c r="F22" s="780" t="s">
        <v>655</v>
      </c>
      <c r="G22" s="920">
        <f>GHGs!K16</f>
        <v>3.8815165287750024E-2</v>
      </c>
      <c r="H22" s="920">
        <f>GHGs!L16</f>
        <v>-5.638746208847718</v>
      </c>
      <c r="I22" s="920">
        <f>GHGs!M16</f>
        <v>0</v>
      </c>
    </row>
    <row r="23" spans="2:9" s="747" customFormat="1" x14ac:dyDescent="0.25">
      <c r="B23" s="914" t="s">
        <v>577</v>
      </c>
      <c r="C23" s="776" t="s">
        <v>87</v>
      </c>
      <c r="D23" s="917">
        <v>600</v>
      </c>
      <c r="E23" s="779" t="s">
        <v>291</v>
      </c>
      <c r="F23" s="783"/>
      <c r="G23" s="920">
        <f>GHGs!K17</f>
        <v>3.8815165287750024E-2</v>
      </c>
      <c r="H23" s="920">
        <f>GHGs!L17</f>
        <v>-0.27813239423289321</v>
      </c>
      <c r="I23" s="920">
        <f>GHGs!M17</f>
        <v>0</v>
      </c>
    </row>
    <row r="24" spans="2:9" s="747" customFormat="1" x14ac:dyDescent="0.25">
      <c r="B24" s="914" t="s">
        <v>578</v>
      </c>
      <c r="C24" s="776" t="s">
        <v>558</v>
      </c>
      <c r="D24" s="917">
        <v>1400</v>
      </c>
      <c r="E24" s="779" t="s">
        <v>291</v>
      </c>
      <c r="F24" s="783" t="s">
        <v>488</v>
      </c>
      <c r="G24" s="920">
        <f>GHGs!K18</f>
        <v>3.8815165287750024E-2</v>
      </c>
      <c r="H24" s="920">
        <f>GHGs!L18</f>
        <v>-0.27813239423289321</v>
      </c>
      <c r="I24" s="920">
        <f>GHGs!M18</f>
        <v>0</v>
      </c>
    </row>
    <row r="25" spans="2:9" s="747" customFormat="1" x14ac:dyDescent="0.25">
      <c r="B25" s="914" t="s">
        <v>163</v>
      </c>
      <c r="C25" s="776" t="s">
        <v>88</v>
      </c>
      <c r="D25" s="917">
        <v>486</v>
      </c>
      <c r="E25" s="779" t="s">
        <v>656</v>
      </c>
      <c r="F25" s="783"/>
      <c r="G25" s="920">
        <f>GHGs!K19</f>
        <v>0.36987386533883593</v>
      </c>
      <c r="H25" s="920">
        <f>GHGs!L19</f>
        <v>0</v>
      </c>
      <c r="I25" s="920">
        <f>GHGs!M19</f>
        <v>-0.19766519011403719</v>
      </c>
    </row>
    <row r="26" spans="2:9" s="747" customFormat="1" x14ac:dyDescent="0.25">
      <c r="B26" s="914" t="s">
        <v>163</v>
      </c>
      <c r="C26" s="776" t="s">
        <v>559</v>
      </c>
      <c r="D26" s="917">
        <v>127</v>
      </c>
      <c r="E26" s="799" t="s">
        <v>671</v>
      </c>
      <c r="F26" s="783"/>
      <c r="G26" s="920">
        <f>GHGs!K20</f>
        <v>-0.48044487301079497</v>
      </c>
      <c r="H26" s="920">
        <f>GHGs!L20</f>
        <v>0</v>
      </c>
      <c r="I26" s="920">
        <f>GHGs!M20</f>
        <v>-0.19766519011403719</v>
      </c>
    </row>
    <row r="27" spans="2:9" s="747" customFormat="1" x14ac:dyDescent="0.25">
      <c r="B27" s="914" t="s">
        <v>577</v>
      </c>
      <c r="C27" s="776" t="s">
        <v>560</v>
      </c>
      <c r="D27" s="919">
        <v>421.5</v>
      </c>
      <c r="E27" s="799" t="s">
        <v>671</v>
      </c>
      <c r="F27" s="784" t="s">
        <v>664</v>
      </c>
      <c r="G27" s="920">
        <f>GHGs!K21</f>
        <v>3.8815165287750024E-2</v>
      </c>
      <c r="H27" s="920">
        <f>GHGs!L21</f>
        <v>-2.3466861133699766</v>
      </c>
      <c r="I27" s="920">
        <f>GHGs!M21</f>
        <v>0</v>
      </c>
    </row>
    <row r="28" spans="2:9" s="747" customFormat="1" x14ac:dyDescent="0.25">
      <c r="B28" s="914" t="s">
        <v>577</v>
      </c>
      <c r="C28" s="776" t="s">
        <v>561</v>
      </c>
      <c r="D28" s="917">
        <v>169</v>
      </c>
      <c r="E28" s="799" t="s">
        <v>671</v>
      </c>
      <c r="F28" s="783" t="s">
        <v>151</v>
      </c>
      <c r="G28" s="920">
        <f>GHGs!K22</f>
        <v>-1.0767846782787647</v>
      </c>
      <c r="H28" s="920">
        <f>GHGs!L22</f>
        <v>-2.4571351019253127</v>
      </c>
      <c r="I28" s="920">
        <f>GHGs!M22</f>
        <v>0</v>
      </c>
    </row>
    <row r="29" spans="2:9" s="747" customFormat="1" x14ac:dyDescent="0.25">
      <c r="B29" s="915" t="s">
        <v>578</v>
      </c>
      <c r="C29" s="776" t="s">
        <v>563</v>
      </c>
      <c r="D29" s="919">
        <v>416.53</v>
      </c>
      <c r="E29" s="808" t="s">
        <v>671</v>
      </c>
      <c r="F29" s="854"/>
      <c r="G29" s="920">
        <f>GHGs!K23</f>
        <v>-0.16675070628269578</v>
      </c>
      <c r="H29" s="920">
        <f>GHGs!L23</f>
        <v>-0.52401440321056314</v>
      </c>
      <c r="I29" s="920">
        <f>GHGs!M23</f>
        <v>0</v>
      </c>
    </row>
    <row r="30" spans="2:9" s="747" customFormat="1" hidden="1" x14ac:dyDescent="0.25">
      <c r="B30" s="790" t="s">
        <v>578</v>
      </c>
      <c r="C30" s="855" t="s">
        <v>568</v>
      </c>
      <c r="D30" s="856">
        <f>AVERAGE(D11:D29)</f>
        <v>284.86105263157896</v>
      </c>
      <c r="E30" s="856" t="s">
        <v>663</v>
      </c>
      <c r="F30" s="856" t="s">
        <v>663</v>
      </c>
      <c r="G30" s="856" t="s">
        <v>663</v>
      </c>
      <c r="H30" s="856" t="s">
        <v>663</v>
      </c>
      <c r="I30" s="856" t="s">
        <v>663</v>
      </c>
    </row>
    <row r="31" spans="2:9" s="747" customFormat="1" x14ac:dyDescent="0.25">
      <c r="B31" s="906" t="s">
        <v>730</v>
      </c>
      <c r="C31" s="752"/>
      <c r="F31" s="744"/>
      <c r="G31" s="1160" t="s">
        <v>728</v>
      </c>
      <c r="H31" s="1160"/>
      <c r="I31" s="1160"/>
    </row>
    <row r="32" spans="2:9" s="747" customFormat="1" x14ac:dyDescent="0.25">
      <c r="B32" s="752"/>
      <c r="C32" s="752"/>
      <c r="F32" s="744"/>
    </row>
    <row r="33" spans="2:9" s="747" customFormat="1" ht="28.5" customHeight="1" x14ac:dyDescent="0.25">
      <c r="B33" s="1154" t="s">
        <v>673</v>
      </c>
      <c r="C33" s="1154"/>
      <c r="D33" s="1154"/>
      <c r="E33" s="1154"/>
      <c r="F33" s="1154"/>
      <c r="G33" s="1154"/>
      <c r="H33" s="1154"/>
      <c r="I33" s="1154"/>
    </row>
    <row r="34" spans="2:9" s="747" customFormat="1" ht="33" customHeight="1" x14ac:dyDescent="0.25">
      <c r="B34" s="1159" t="s">
        <v>733</v>
      </c>
      <c r="C34" s="1159"/>
      <c r="D34" s="1159"/>
      <c r="E34" s="1159"/>
      <c r="F34" s="1159"/>
      <c r="G34" s="1159"/>
      <c r="H34" s="1159"/>
      <c r="I34" s="1159"/>
    </row>
    <row r="35" spans="2:9" s="747" customFormat="1" ht="16.5" customHeight="1" x14ac:dyDescent="0.25">
      <c r="B35" s="1159" t="s">
        <v>668</v>
      </c>
      <c r="C35" s="1159"/>
      <c r="D35" s="1159"/>
      <c r="E35" s="1159"/>
      <c r="F35" s="1159"/>
      <c r="G35" s="1159"/>
      <c r="H35" s="1159"/>
      <c r="I35" s="1159"/>
    </row>
    <row r="36" spans="2:9" s="747" customFormat="1" ht="19.5" customHeight="1" x14ac:dyDescent="0.25">
      <c r="B36" s="1159" t="s">
        <v>669</v>
      </c>
      <c r="C36" s="1159"/>
      <c r="D36" s="1159"/>
      <c r="E36" s="1159"/>
      <c r="F36" s="1159"/>
      <c r="G36" s="1159"/>
      <c r="H36" s="1159"/>
      <c r="I36" s="1159"/>
    </row>
    <row r="37" spans="2:9" ht="36" customHeight="1" x14ac:dyDescent="0.25">
      <c r="B37" s="1150" t="s">
        <v>670</v>
      </c>
      <c r="C37" s="1151"/>
      <c r="D37" s="1151"/>
      <c r="E37" s="1151"/>
      <c r="F37" s="1151"/>
      <c r="G37" s="1151"/>
      <c r="H37" s="1151"/>
      <c r="I37" s="1151"/>
    </row>
    <row r="38" spans="2:9" ht="32.25" customHeight="1" x14ac:dyDescent="0.25">
      <c r="B38" s="1152" t="s">
        <v>674</v>
      </c>
      <c r="C38" s="1153"/>
      <c r="D38" s="1153"/>
      <c r="E38" s="1153"/>
      <c r="F38" s="1153"/>
      <c r="G38" s="1153"/>
      <c r="H38" s="1153"/>
      <c r="I38" s="1153"/>
    </row>
    <row r="40" spans="2:9" x14ac:dyDescent="0.25">
      <c r="B40" s="871" t="s">
        <v>760</v>
      </c>
    </row>
  </sheetData>
  <mergeCells count="9">
    <mergeCell ref="B37:I37"/>
    <mergeCell ref="B38:I38"/>
    <mergeCell ref="B33:I33"/>
    <mergeCell ref="G9:I9"/>
    <mergeCell ref="D9:F9"/>
    <mergeCell ref="B34:I34"/>
    <mergeCell ref="B35:I35"/>
    <mergeCell ref="B36:I36"/>
    <mergeCell ref="G31:I31"/>
  </mergeCells>
  <conditionalFormatting sqref="G11:I29">
    <cfRule type="cellIs" dxfId="2" priority="1" operator="equal">
      <formula>0</formula>
    </cfRule>
  </conditionalFormatting>
  <pageMargins left="0.7" right="0.7" top="0.75" bottom="0.75" header="0.3" footer="0.3"/>
  <pageSetup scale="6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workbookViewId="0">
      <selection activeCell="E5" sqref="E5"/>
    </sheetView>
  </sheetViews>
  <sheetFormatPr defaultRowHeight="15" x14ac:dyDescent="0.25"/>
  <cols>
    <col min="1" max="1" width="2.85546875" customWidth="1"/>
    <col min="3" max="4" width="18.85546875" customWidth="1"/>
    <col min="5" max="5" width="18.42578125" customWidth="1"/>
  </cols>
  <sheetData>
    <row r="2" spans="2:7" s="531" customFormat="1" x14ac:dyDescent="0.25">
      <c r="B2" s="531" t="s">
        <v>171</v>
      </c>
      <c r="C2" s="531" t="s">
        <v>581</v>
      </c>
      <c r="D2" s="531" t="s">
        <v>582</v>
      </c>
      <c r="E2" s="531" t="s">
        <v>580</v>
      </c>
      <c r="F2" s="531" t="s">
        <v>11</v>
      </c>
    </row>
    <row r="3" spans="2:7" s="531" customFormat="1" x14ac:dyDescent="0.25"/>
    <row r="4" spans="2:7" x14ac:dyDescent="0.25">
      <c r="B4" s="220" t="s">
        <v>21</v>
      </c>
      <c r="C4" s="220" t="s">
        <v>713</v>
      </c>
      <c r="D4" s="220" t="s">
        <v>714</v>
      </c>
      <c r="E4" s="220" t="s">
        <v>715</v>
      </c>
      <c r="F4">
        <v>1</v>
      </c>
      <c r="G4" s="564">
        <v>0.5</v>
      </c>
    </row>
    <row r="5" spans="2:7" x14ac:dyDescent="0.25">
      <c r="B5" s="220" t="s">
        <v>579</v>
      </c>
      <c r="C5" s="220" t="s">
        <v>663</v>
      </c>
      <c r="D5" s="220" t="s">
        <v>663</v>
      </c>
      <c r="E5" s="220" t="s">
        <v>663</v>
      </c>
      <c r="F5">
        <v>2</v>
      </c>
      <c r="G5" s="564">
        <v>0.75</v>
      </c>
    </row>
    <row r="6" spans="2:7" x14ac:dyDescent="0.25">
      <c r="B6" s="220" t="s">
        <v>569</v>
      </c>
      <c r="C6" s="220" t="s">
        <v>583</v>
      </c>
      <c r="D6" s="220" t="s">
        <v>583</v>
      </c>
      <c r="E6" s="220" t="s">
        <v>147</v>
      </c>
      <c r="F6">
        <v>3</v>
      </c>
      <c r="G6" s="564">
        <v>1</v>
      </c>
    </row>
    <row r="7" spans="2:7" x14ac:dyDescent="0.25">
      <c r="C7" s="220" t="s">
        <v>14</v>
      </c>
      <c r="D7" s="220" t="s">
        <v>14</v>
      </c>
      <c r="E7" s="220" t="s">
        <v>18</v>
      </c>
      <c r="F7">
        <v>4</v>
      </c>
      <c r="G7" s="564">
        <v>1.25</v>
      </c>
    </row>
    <row r="8" spans="2:7" x14ac:dyDescent="0.25">
      <c r="C8" s="220" t="s">
        <v>17</v>
      </c>
      <c r="D8" s="220" t="s">
        <v>17</v>
      </c>
      <c r="E8" s="220" t="s">
        <v>586</v>
      </c>
    </row>
    <row r="9" spans="2:7" x14ac:dyDescent="0.25">
      <c r="C9" s="220" t="s">
        <v>585</v>
      </c>
      <c r="D9" s="220" t="s">
        <v>585</v>
      </c>
    </row>
    <row r="10" spans="2:7" x14ac:dyDescent="0.25">
      <c r="C10" s="220" t="s">
        <v>13</v>
      </c>
      <c r="D10" s="220" t="s">
        <v>13</v>
      </c>
    </row>
    <row r="11" spans="2:7" x14ac:dyDescent="0.25">
      <c r="C11" s="220" t="s">
        <v>584</v>
      </c>
      <c r="D11" s="220" t="s">
        <v>584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50"/>
  <sheetViews>
    <sheetView workbookViewId="0">
      <selection activeCell="E5" sqref="E5"/>
    </sheetView>
  </sheetViews>
  <sheetFormatPr defaultRowHeight="12.75" x14ac:dyDescent="0.2"/>
  <cols>
    <col min="1" max="1" width="3.7109375" style="5" customWidth="1"/>
    <col min="2" max="2" width="31.28515625" style="5" customWidth="1"/>
    <col min="3" max="3" width="16.7109375" style="5" hidden="1" customWidth="1"/>
    <col min="4" max="6" width="16.7109375" style="5" customWidth="1"/>
    <col min="7" max="7" width="16.7109375" style="5" hidden="1" customWidth="1"/>
    <col min="8" max="8" width="3.28515625" style="5" customWidth="1"/>
    <col min="9" max="10" width="24.28515625" style="5" customWidth="1"/>
    <col min="11" max="257" width="9.140625" style="5"/>
    <col min="258" max="258" width="31.28515625" style="5" customWidth="1"/>
    <col min="259" max="259" width="0" style="5" hidden="1" customWidth="1"/>
    <col min="260" max="262" width="16.7109375" style="5" customWidth="1"/>
    <col min="263" max="263" width="0" style="5" hidden="1" customWidth="1"/>
    <col min="264" max="264" width="9.140625" style="5"/>
    <col min="265" max="266" width="24.28515625" style="5" customWidth="1"/>
    <col min="267" max="513" width="9.140625" style="5"/>
    <col min="514" max="514" width="31.28515625" style="5" customWidth="1"/>
    <col min="515" max="515" width="0" style="5" hidden="1" customWidth="1"/>
    <col min="516" max="518" width="16.7109375" style="5" customWidth="1"/>
    <col min="519" max="519" width="0" style="5" hidden="1" customWidth="1"/>
    <col min="520" max="520" width="9.140625" style="5"/>
    <col min="521" max="522" width="24.28515625" style="5" customWidth="1"/>
    <col min="523" max="769" width="9.140625" style="5"/>
    <col min="770" max="770" width="31.28515625" style="5" customWidth="1"/>
    <col min="771" max="771" width="0" style="5" hidden="1" customWidth="1"/>
    <col min="772" max="774" width="16.7109375" style="5" customWidth="1"/>
    <col min="775" max="775" width="0" style="5" hidden="1" customWidth="1"/>
    <col min="776" max="776" width="9.140625" style="5"/>
    <col min="777" max="778" width="24.28515625" style="5" customWidth="1"/>
    <col min="779" max="1025" width="9.140625" style="5"/>
    <col min="1026" max="1026" width="31.28515625" style="5" customWidth="1"/>
    <col min="1027" max="1027" width="0" style="5" hidden="1" customWidth="1"/>
    <col min="1028" max="1030" width="16.7109375" style="5" customWidth="1"/>
    <col min="1031" max="1031" width="0" style="5" hidden="1" customWidth="1"/>
    <col min="1032" max="1032" width="9.140625" style="5"/>
    <col min="1033" max="1034" width="24.28515625" style="5" customWidth="1"/>
    <col min="1035" max="1281" width="9.140625" style="5"/>
    <col min="1282" max="1282" width="31.28515625" style="5" customWidth="1"/>
    <col min="1283" max="1283" width="0" style="5" hidden="1" customWidth="1"/>
    <col min="1284" max="1286" width="16.7109375" style="5" customWidth="1"/>
    <col min="1287" max="1287" width="0" style="5" hidden="1" customWidth="1"/>
    <col min="1288" max="1288" width="9.140625" style="5"/>
    <col min="1289" max="1290" width="24.28515625" style="5" customWidth="1"/>
    <col min="1291" max="1537" width="9.140625" style="5"/>
    <col min="1538" max="1538" width="31.28515625" style="5" customWidth="1"/>
    <col min="1539" max="1539" width="0" style="5" hidden="1" customWidth="1"/>
    <col min="1540" max="1542" width="16.7109375" style="5" customWidth="1"/>
    <col min="1543" max="1543" width="0" style="5" hidden="1" customWidth="1"/>
    <col min="1544" max="1544" width="9.140625" style="5"/>
    <col min="1545" max="1546" width="24.28515625" style="5" customWidth="1"/>
    <col min="1547" max="1793" width="9.140625" style="5"/>
    <col min="1794" max="1794" width="31.28515625" style="5" customWidth="1"/>
    <col min="1795" max="1795" width="0" style="5" hidden="1" customWidth="1"/>
    <col min="1796" max="1798" width="16.7109375" style="5" customWidth="1"/>
    <col min="1799" max="1799" width="0" style="5" hidden="1" customWidth="1"/>
    <col min="1800" max="1800" width="9.140625" style="5"/>
    <col min="1801" max="1802" width="24.28515625" style="5" customWidth="1"/>
    <col min="1803" max="2049" width="9.140625" style="5"/>
    <col min="2050" max="2050" width="31.28515625" style="5" customWidth="1"/>
    <col min="2051" max="2051" width="0" style="5" hidden="1" customWidth="1"/>
    <col min="2052" max="2054" width="16.7109375" style="5" customWidth="1"/>
    <col min="2055" max="2055" width="0" style="5" hidden="1" customWidth="1"/>
    <col min="2056" max="2056" width="9.140625" style="5"/>
    <col min="2057" max="2058" width="24.28515625" style="5" customWidth="1"/>
    <col min="2059" max="2305" width="9.140625" style="5"/>
    <col min="2306" max="2306" width="31.28515625" style="5" customWidth="1"/>
    <col min="2307" max="2307" width="0" style="5" hidden="1" customWidth="1"/>
    <col min="2308" max="2310" width="16.7109375" style="5" customWidth="1"/>
    <col min="2311" max="2311" width="0" style="5" hidden="1" customWidth="1"/>
    <col min="2312" max="2312" width="9.140625" style="5"/>
    <col min="2313" max="2314" width="24.28515625" style="5" customWidth="1"/>
    <col min="2315" max="2561" width="9.140625" style="5"/>
    <col min="2562" max="2562" width="31.28515625" style="5" customWidth="1"/>
    <col min="2563" max="2563" width="0" style="5" hidden="1" customWidth="1"/>
    <col min="2564" max="2566" width="16.7109375" style="5" customWidth="1"/>
    <col min="2567" max="2567" width="0" style="5" hidden="1" customWidth="1"/>
    <col min="2568" max="2568" width="9.140625" style="5"/>
    <col min="2569" max="2570" width="24.28515625" style="5" customWidth="1"/>
    <col min="2571" max="2817" width="9.140625" style="5"/>
    <col min="2818" max="2818" width="31.28515625" style="5" customWidth="1"/>
    <col min="2819" max="2819" width="0" style="5" hidden="1" customWidth="1"/>
    <col min="2820" max="2822" width="16.7109375" style="5" customWidth="1"/>
    <col min="2823" max="2823" width="0" style="5" hidden="1" customWidth="1"/>
    <col min="2824" max="2824" width="9.140625" style="5"/>
    <col min="2825" max="2826" width="24.28515625" style="5" customWidth="1"/>
    <col min="2827" max="3073" width="9.140625" style="5"/>
    <col min="3074" max="3074" width="31.28515625" style="5" customWidth="1"/>
    <col min="3075" max="3075" width="0" style="5" hidden="1" customWidth="1"/>
    <col min="3076" max="3078" width="16.7109375" style="5" customWidth="1"/>
    <col min="3079" max="3079" width="0" style="5" hidden="1" customWidth="1"/>
    <col min="3080" max="3080" width="9.140625" style="5"/>
    <col min="3081" max="3082" width="24.28515625" style="5" customWidth="1"/>
    <col min="3083" max="3329" width="9.140625" style="5"/>
    <col min="3330" max="3330" width="31.28515625" style="5" customWidth="1"/>
    <col min="3331" max="3331" width="0" style="5" hidden="1" customWidth="1"/>
    <col min="3332" max="3334" width="16.7109375" style="5" customWidth="1"/>
    <col min="3335" max="3335" width="0" style="5" hidden="1" customWidth="1"/>
    <col min="3336" max="3336" width="9.140625" style="5"/>
    <col min="3337" max="3338" width="24.28515625" style="5" customWidth="1"/>
    <col min="3339" max="3585" width="9.140625" style="5"/>
    <col min="3586" max="3586" width="31.28515625" style="5" customWidth="1"/>
    <col min="3587" max="3587" width="0" style="5" hidden="1" customWidth="1"/>
    <col min="3588" max="3590" width="16.7109375" style="5" customWidth="1"/>
    <col min="3591" max="3591" width="0" style="5" hidden="1" customWidth="1"/>
    <col min="3592" max="3592" width="9.140625" style="5"/>
    <col min="3593" max="3594" width="24.28515625" style="5" customWidth="1"/>
    <col min="3595" max="3841" width="9.140625" style="5"/>
    <col min="3842" max="3842" width="31.28515625" style="5" customWidth="1"/>
    <col min="3843" max="3843" width="0" style="5" hidden="1" customWidth="1"/>
    <col min="3844" max="3846" width="16.7109375" style="5" customWidth="1"/>
    <col min="3847" max="3847" width="0" style="5" hidden="1" customWidth="1"/>
    <col min="3848" max="3848" width="9.140625" style="5"/>
    <col min="3849" max="3850" width="24.28515625" style="5" customWidth="1"/>
    <col min="3851" max="4097" width="9.140625" style="5"/>
    <col min="4098" max="4098" width="31.28515625" style="5" customWidth="1"/>
    <col min="4099" max="4099" width="0" style="5" hidden="1" customWidth="1"/>
    <col min="4100" max="4102" width="16.7109375" style="5" customWidth="1"/>
    <col min="4103" max="4103" width="0" style="5" hidden="1" customWidth="1"/>
    <col min="4104" max="4104" width="9.140625" style="5"/>
    <col min="4105" max="4106" width="24.28515625" style="5" customWidth="1"/>
    <col min="4107" max="4353" width="9.140625" style="5"/>
    <col min="4354" max="4354" width="31.28515625" style="5" customWidth="1"/>
    <col min="4355" max="4355" width="0" style="5" hidden="1" customWidth="1"/>
    <col min="4356" max="4358" width="16.7109375" style="5" customWidth="1"/>
    <col min="4359" max="4359" width="0" style="5" hidden="1" customWidth="1"/>
    <col min="4360" max="4360" width="9.140625" style="5"/>
    <col min="4361" max="4362" width="24.28515625" style="5" customWidth="1"/>
    <col min="4363" max="4609" width="9.140625" style="5"/>
    <col min="4610" max="4610" width="31.28515625" style="5" customWidth="1"/>
    <col min="4611" max="4611" width="0" style="5" hidden="1" customWidth="1"/>
    <col min="4612" max="4614" width="16.7109375" style="5" customWidth="1"/>
    <col min="4615" max="4615" width="0" style="5" hidden="1" customWidth="1"/>
    <col min="4616" max="4616" width="9.140625" style="5"/>
    <col min="4617" max="4618" width="24.28515625" style="5" customWidth="1"/>
    <col min="4619" max="4865" width="9.140625" style="5"/>
    <col min="4866" max="4866" width="31.28515625" style="5" customWidth="1"/>
    <col min="4867" max="4867" width="0" style="5" hidden="1" customWidth="1"/>
    <col min="4868" max="4870" width="16.7109375" style="5" customWidth="1"/>
    <col min="4871" max="4871" width="0" style="5" hidden="1" customWidth="1"/>
    <col min="4872" max="4872" width="9.140625" style="5"/>
    <col min="4873" max="4874" width="24.28515625" style="5" customWidth="1"/>
    <col min="4875" max="5121" width="9.140625" style="5"/>
    <col min="5122" max="5122" width="31.28515625" style="5" customWidth="1"/>
    <col min="5123" max="5123" width="0" style="5" hidden="1" customWidth="1"/>
    <col min="5124" max="5126" width="16.7109375" style="5" customWidth="1"/>
    <col min="5127" max="5127" width="0" style="5" hidden="1" customWidth="1"/>
    <col min="5128" max="5128" width="9.140625" style="5"/>
    <col min="5129" max="5130" width="24.28515625" style="5" customWidth="1"/>
    <col min="5131" max="5377" width="9.140625" style="5"/>
    <col min="5378" max="5378" width="31.28515625" style="5" customWidth="1"/>
    <col min="5379" max="5379" width="0" style="5" hidden="1" customWidth="1"/>
    <col min="5380" max="5382" width="16.7109375" style="5" customWidth="1"/>
    <col min="5383" max="5383" width="0" style="5" hidden="1" customWidth="1"/>
    <col min="5384" max="5384" width="9.140625" style="5"/>
    <col min="5385" max="5386" width="24.28515625" style="5" customWidth="1"/>
    <col min="5387" max="5633" width="9.140625" style="5"/>
    <col min="5634" max="5634" width="31.28515625" style="5" customWidth="1"/>
    <col min="5635" max="5635" width="0" style="5" hidden="1" customWidth="1"/>
    <col min="5636" max="5638" width="16.7109375" style="5" customWidth="1"/>
    <col min="5639" max="5639" width="0" style="5" hidden="1" customWidth="1"/>
    <col min="5640" max="5640" width="9.140625" style="5"/>
    <col min="5641" max="5642" width="24.28515625" style="5" customWidth="1"/>
    <col min="5643" max="5889" width="9.140625" style="5"/>
    <col min="5890" max="5890" width="31.28515625" style="5" customWidth="1"/>
    <col min="5891" max="5891" width="0" style="5" hidden="1" customWidth="1"/>
    <col min="5892" max="5894" width="16.7109375" style="5" customWidth="1"/>
    <col min="5895" max="5895" width="0" style="5" hidden="1" customWidth="1"/>
    <col min="5896" max="5896" width="9.140625" style="5"/>
    <col min="5897" max="5898" width="24.28515625" style="5" customWidth="1"/>
    <col min="5899" max="6145" width="9.140625" style="5"/>
    <col min="6146" max="6146" width="31.28515625" style="5" customWidth="1"/>
    <col min="6147" max="6147" width="0" style="5" hidden="1" customWidth="1"/>
    <col min="6148" max="6150" width="16.7109375" style="5" customWidth="1"/>
    <col min="6151" max="6151" width="0" style="5" hidden="1" customWidth="1"/>
    <col min="6152" max="6152" width="9.140625" style="5"/>
    <col min="6153" max="6154" width="24.28515625" style="5" customWidth="1"/>
    <col min="6155" max="6401" width="9.140625" style="5"/>
    <col min="6402" max="6402" width="31.28515625" style="5" customWidth="1"/>
    <col min="6403" max="6403" width="0" style="5" hidden="1" customWidth="1"/>
    <col min="6404" max="6406" width="16.7109375" style="5" customWidth="1"/>
    <col min="6407" max="6407" width="0" style="5" hidden="1" customWidth="1"/>
    <col min="6408" max="6408" width="9.140625" style="5"/>
    <col min="6409" max="6410" width="24.28515625" style="5" customWidth="1"/>
    <col min="6411" max="6657" width="9.140625" style="5"/>
    <col min="6658" max="6658" width="31.28515625" style="5" customWidth="1"/>
    <col min="6659" max="6659" width="0" style="5" hidden="1" customWidth="1"/>
    <col min="6660" max="6662" width="16.7109375" style="5" customWidth="1"/>
    <col min="6663" max="6663" width="0" style="5" hidden="1" customWidth="1"/>
    <col min="6664" max="6664" width="9.140625" style="5"/>
    <col min="6665" max="6666" width="24.28515625" style="5" customWidth="1"/>
    <col min="6667" max="6913" width="9.140625" style="5"/>
    <col min="6914" max="6914" width="31.28515625" style="5" customWidth="1"/>
    <col min="6915" max="6915" width="0" style="5" hidden="1" customWidth="1"/>
    <col min="6916" max="6918" width="16.7109375" style="5" customWidth="1"/>
    <col min="6919" max="6919" width="0" style="5" hidden="1" customWidth="1"/>
    <col min="6920" max="6920" width="9.140625" style="5"/>
    <col min="6921" max="6922" width="24.28515625" style="5" customWidth="1"/>
    <col min="6923" max="7169" width="9.140625" style="5"/>
    <col min="7170" max="7170" width="31.28515625" style="5" customWidth="1"/>
    <col min="7171" max="7171" width="0" style="5" hidden="1" customWidth="1"/>
    <col min="7172" max="7174" width="16.7109375" style="5" customWidth="1"/>
    <col min="7175" max="7175" width="0" style="5" hidden="1" customWidth="1"/>
    <col min="7176" max="7176" width="9.140625" style="5"/>
    <col min="7177" max="7178" width="24.28515625" style="5" customWidth="1"/>
    <col min="7179" max="7425" width="9.140625" style="5"/>
    <col min="7426" max="7426" width="31.28515625" style="5" customWidth="1"/>
    <col min="7427" max="7427" width="0" style="5" hidden="1" customWidth="1"/>
    <col min="7428" max="7430" width="16.7109375" style="5" customWidth="1"/>
    <col min="7431" max="7431" width="0" style="5" hidden="1" customWidth="1"/>
    <col min="7432" max="7432" width="9.140625" style="5"/>
    <col min="7433" max="7434" width="24.28515625" style="5" customWidth="1"/>
    <col min="7435" max="7681" width="9.140625" style="5"/>
    <col min="7682" max="7682" width="31.28515625" style="5" customWidth="1"/>
    <col min="7683" max="7683" width="0" style="5" hidden="1" customWidth="1"/>
    <col min="7684" max="7686" width="16.7109375" style="5" customWidth="1"/>
    <col min="7687" max="7687" width="0" style="5" hidden="1" customWidth="1"/>
    <col min="7688" max="7688" width="9.140625" style="5"/>
    <col min="7689" max="7690" width="24.28515625" style="5" customWidth="1"/>
    <col min="7691" max="7937" width="9.140625" style="5"/>
    <col min="7938" max="7938" width="31.28515625" style="5" customWidth="1"/>
    <col min="7939" max="7939" width="0" style="5" hidden="1" customWidth="1"/>
    <col min="7940" max="7942" width="16.7109375" style="5" customWidth="1"/>
    <col min="7943" max="7943" width="0" style="5" hidden="1" customWidth="1"/>
    <col min="7944" max="7944" width="9.140625" style="5"/>
    <col min="7945" max="7946" width="24.28515625" style="5" customWidth="1"/>
    <col min="7947" max="8193" width="9.140625" style="5"/>
    <col min="8194" max="8194" width="31.28515625" style="5" customWidth="1"/>
    <col min="8195" max="8195" width="0" style="5" hidden="1" customWidth="1"/>
    <col min="8196" max="8198" width="16.7109375" style="5" customWidth="1"/>
    <col min="8199" max="8199" width="0" style="5" hidden="1" customWidth="1"/>
    <col min="8200" max="8200" width="9.140625" style="5"/>
    <col min="8201" max="8202" width="24.28515625" style="5" customWidth="1"/>
    <col min="8203" max="8449" width="9.140625" style="5"/>
    <col min="8450" max="8450" width="31.28515625" style="5" customWidth="1"/>
    <col min="8451" max="8451" width="0" style="5" hidden="1" customWidth="1"/>
    <col min="8452" max="8454" width="16.7109375" style="5" customWidth="1"/>
    <col min="8455" max="8455" width="0" style="5" hidden="1" customWidth="1"/>
    <col min="8456" max="8456" width="9.140625" style="5"/>
    <col min="8457" max="8458" width="24.28515625" style="5" customWidth="1"/>
    <col min="8459" max="8705" width="9.140625" style="5"/>
    <col min="8706" max="8706" width="31.28515625" style="5" customWidth="1"/>
    <col min="8707" max="8707" width="0" style="5" hidden="1" customWidth="1"/>
    <col min="8708" max="8710" width="16.7109375" style="5" customWidth="1"/>
    <col min="8711" max="8711" width="0" style="5" hidden="1" customWidth="1"/>
    <col min="8712" max="8712" width="9.140625" style="5"/>
    <col min="8713" max="8714" width="24.28515625" style="5" customWidth="1"/>
    <col min="8715" max="8961" width="9.140625" style="5"/>
    <col min="8962" max="8962" width="31.28515625" style="5" customWidth="1"/>
    <col min="8963" max="8963" width="0" style="5" hidden="1" customWidth="1"/>
    <col min="8964" max="8966" width="16.7109375" style="5" customWidth="1"/>
    <col min="8967" max="8967" width="0" style="5" hidden="1" customWidth="1"/>
    <col min="8968" max="8968" width="9.140625" style="5"/>
    <col min="8969" max="8970" width="24.28515625" style="5" customWidth="1"/>
    <col min="8971" max="9217" width="9.140625" style="5"/>
    <col min="9218" max="9218" width="31.28515625" style="5" customWidth="1"/>
    <col min="9219" max="9219" width="0" style="5" hidden="1" customWidth="1"/>
    <col min="9220" max="9222" width="16.7109375" style="5" customWidth="1"/>
    <col min="9223" max="9223" width="0" style="5" hidden="1" customWidth="1"/>
    <col min="9224" max="9224" width="9.140625" style="5"/>
    <col min="9225" max="9226" width="24.28515625" style="5" customWidth="1"/>
    <col min="9227" max="9473" width="9.140625" style="5"/>
    <col min="9474" max="9474" width="31.28515625" style="5" customWidth="1"/>
    <col min="9475" max="9475" width="0" style="5" hidden="1" customWidth="1"/>
    <col min="9476" max="9478" width="16.7109375" style="5" customWidth="1"/>
    <col min="9479" max="9479" width="0" style="5" hidden="1" customWidth="1"/>
    <col min="9480" max="9480" width="9.140625" style="5"/>
    <col min="9481" max="9482" width="24.28515625" style="5" customWidth="1"/>
    <col min="9483" max="9729" width="9.140625" style="5"/>
    <col min="9730" max="9730" width="31.28515625" style="5" customWidth="1"/>
    <col min="9731" max="9731" width="0" style="5" hidden="1" customWidth="1"/>
    <col min="9732" max="9734" width="16.7109375" style="5" customWidth="1"/>
    <col min="9735" max="9735" width="0" style="5" hidden="1" customWidth="1"/>
    <col min="9736" max="9736" width="9.140625" style="5"/>
    <col min="9737" max="9738" width="24.28515625" style="5" customWidth="1"/>
    <col min="9739" max="9985" width="9.140625" style="5"/>
    <col min="9986" max="9986" width="31.28515625" style="5" customWidth="1"/>
    <col min="9987" max="9987" width="0" style="5" hidden="1" customWidth="1"/>
    <col min="9988" max="9990" width="16.7109375" style="5" customWidth="1"/>
    <col min="9991" max="9991" width="0" style="5" hidden="1" customWidth="1"/>
    <col min="9992" max="9992" width="9.140625" style="5"/>
    <col min="9993" max="9994" width="24.28515625" style="5" customWidth="1"/>
    <col min="9995" max="10241" width="9.140625" style="5"/>
    <col min="10242" max="10242" width="31.28515625" style="5" customWidth="1"/>
    <col min="10243" max="10243" width="0" style="5" hidden="1" customWidth="1"/>
    <col min="10244" max="10246" width="16.7109375" style="5" customWidth="1"/>
    <col min="10247" max="10247" width="0" style="5" hidden="1" customWidth="1"/>
    <col min="10248" max="10248" width="9.140625" style="5"/>
    <col min="10249" max="10250" width="24.28515625" style="5" customWidth="1"/>
    <col min="10251" max="10497" width="9.140625" style="5"/>
    <col min="10498" max="10498" width="31.28515625" style="5" customWidth="1"/>
    <col min="10499" max="10499" width="0" style="5" hidden="1" customWidth="1"/>
    <col min="10500" max="10502" width="16.7109375" style="5" customWidth="1"/>
    <col min="10503" max="10503" width="0" style="5" hidden="1" customWidth="1"/>
    <col min="10504" max="10504" width="9.140625" style="5"/>
    <col min="10505" max="10506" width="24.28515625" style="5" customWidth="1"/>
    <col min="10507" max="10753" width="9.140625" style="5"/>
    <col min="10754" max="10754" width="31.28515625" style="5" customWidth="1"/>
    <col min="10755" max="10755" width="0" style="5" hidden="1" customWidth="1"/>
    <col min="10756" max="10758" width="16.7109375" style="5" customWidth="1"/>
    <col min="10759" max="10759" width="0" style="5" hidden="1" customWidth="1"/>
    <col min="10760" max="10760" width="9.140625" style="5"/>
    <col min="10761" max="10762" width="24.28515625" style="5" customWidth="1"/>
    <col min="10763" max="11009" width="9.140625" style="5"/>
    <col min="11010" max="11010" width="31.28515625" style="5" customWidth="1"/>
    <col min="11011" max="11011" width="0" style="5" hidden="1" customWidth="1"/>
    <col min="11012" max="11014" width="16.7109375" style="5" customWidth="1"/>
    <col min="11015" max="11015" width="0" style="5" hidden="1" customWidth="1"/>
    <col min="11016" max="11016" width="9.140625" style="5"/>
    <col min="11017" max="11018" width="24.28515625" style="5" customWidth="1"/>
    <col min="11019" max="11265" width="9.140625" style="5"/>
    <col min="11266" max="11266" width="31.28515625" style="5" customWidth="1"/>
    <col min="11267" max="11267" width="0" style="5" hidden="1" customWidth="1"/>
    <col min="11268" max="11270" width="16.7109375" style="5" customWidth="1"/>
    <col min="11271" max="11271" width="0" style="5" hidden="1" customWidth="1"/>
    <col min="11272" max="11272" width="9.140625" style="5"/>
    <col min="11273" max="11274" width="24.28515625" style="5" customWidth="1"/>
    <col min="11275" max="11521" width="9.140625" style="5"/>
    <col min="11522" max="11522" width="31.28515625" style="5" customWidth="1"/>
    <col min="11523" max="11523" width="0" style="5" hidden="1" customWidth="1"/>
    <col min="11524" max="11526" width="16.7109375" style="5" customWidth="1"/>
    <col min="11527" max="11527" width="0" style="5" hidden="1" customWidth="1"/>
    <col min="11528" max="11528" width="9.140625" style="5"/>
    <col min="11529" max="11530" width="24.28515625" style="5" customWidth="1"/>
    <col min="11531" max="11777" width="9.140625" style="5"/>
    <col min="11778" max="11778" width="31.28515625" style="5" customWidth="1"/>
    <col min="11779" max="11779" width="0" style="5" hidden="1" customWidth="1"/>
    <col min="11780" max="11782" width="16.7109375" style="5" customWidth="1"/>
    <col min="11783" max="11783" width="0" style="5" hidden="1" customWidth="1"/>
    <col min="11784" max="11784" width="9.140625" style="5"/>
    <col min="11785" max="11786" width="24.28515625" style="5" customWidth="1"/>
    <col min="11787" max="12033" width="9.140625" style="5"/>
    <col min="12034" max="12034" width="31.28515625" style="5" customWidth="1"/>
    <col min="12035" max="12035" width="0" style="5" hidden="1" customWidth="1"/>
    <col min="12036" max="12038" width="16.7109375" style="5" customWidth="1"/>
    <col min="12039" max="12039" width="0" style="5" hidden="1" customWidth="1"/>
    <col min="12040" max="12040" width="9.140625" style="5"/>
    <col min="12041" max="12042" width="24.28515625" style="5" customWidth="1"/>
    <col min="12043" max="12289" width="9.140625" style="5"/>
    <col min="12290" max="12290" width="31.28515625" style="5" customWidth="1"/>
    <col min="12291" max="12291" width="0" style="5" hidden="1" customWidth="1"/>
    <col min="12292" max="12294" width="16.7109375" style="5" customWidth="1"/>
    <col min="12295" max="12295" width="0" style="5" hidden="1" customWidth="1"/>
    <col min="12296" max="12296" width="9.140625" style="5"/>
    <col min="12297" max="12298" width="24.28515625" style="5" customWidth="1"/>
    <col min="12299" max="12545" width="9.140625" style="5"/>
    <col min="12546" max="12546" width="31.28515625" style="5" customWidth="1"/>
    <col min="12547" max="12547" width="0" style="5" hidden="1" customWidth="1"/>
    <col min="12548" max="12550" width="16.7109375" style="5" customWidth="1"/>
    <col min="12551" max="12551" width="0" style="5" hidden="1" customWidth="1"/>
    <col min="12552" max="12552" width="9.140625" style="5"/>
    <col min="12553" max="12554" width="24.28515625" style="5" customWidth="1"/>
    <col min="12555" max="12801" width="9.140625" style="5"/>
    <col min="12802" max="12802" width="31.28515625" style="5" customWidth="1"/>
    <col min="12803" max="12803" width="0" style="5" hidden="1" customWidth="1"/>
    <col min="12804" max="12806" width="16.7109375" style="5" customWidth="1"/>
    <col min="12807" max="12807" width="0" style="5" hidden="1" customWidth="1"/>
    <col min="12808" max="12808" width="9.140625" style="5"/>
    <col min="12809" max="12810" width="24.28515625" style="5" customWidth="1"/>
    <col min="12811" max="13057" width="9.140625" style="5"/>
    <col min="13058" max="13058" width="31.28515625" style="5" customWidth="1"/>
    <col min="13059" max="13059" width="0" style="5" hidden="1" customWidth="1"/>
    <col min="13060" max="13062" width="16.7109375" style="5" customWidth="1"/>
    <col min="13063" max="13063" width="0" style="5" hidden="1" customWidth="1"/>
    <col min="13064" max="13064" width="9.140625" style="5"/>
    <col min="13065" max="13066" width="24.28515625" style="5" customWidth="1"/>
    <col min="13067" max="13313" width="9.140625" style="5"/>
    <col min="13314" max="13314" width="31.28515625" style="5" customWidth="1"/>
    <col min="13315" max="13315" width="0" style="5" hidden="1" customWidth="1"/>
    <col min="13316" max="13318" width="16.7109375" style="5" customWidth="1"/>
    <col min="13319" max="13319" width="0" style="5" hidden="1" customWidth="1"/>
    <col min="13320" max="13320" width="9.140625" style="5"/>
    <col min="13321" max="13322" width="24.28515625" style="5" customWidth="1"/>
    <col min="13323" max="13569" width="9.140625" style="5"/>
    <col min="13570" max="13570" width="31.28515625" style="5" customWidth="1"/>
    <col min="13571" max="13571" width="0" style="5" hidden="1" customWidth="1"/>
    <col min="13572" max="13574" width="16.7109375" style="5" customWidth="1"/>
    <col min="13575" max="13575" width="0" style="5" hidden="1" customWidth="1"/>
    <col min="13576" max="13576" width="9.140625" style="5"/>
    <col min="13577" max="13578" width="24.28515625" style="5" customWidth="1"/>
    <col min="13579" max="13825" width="9.140625" style="5"/>
    <col min="13826" max="13826" width="31.28515625" style="5" customWidth="1"/>
    <col min="13827" max="13827" width="0" style="5" hidden="1" customWidth="1"/>
    <col min="13828" max="13830" width="16.7109375" style="5" customWidth="1"/>
    <col min="13831" max="13831" width="0" style="5" hidden="1" customWidth="1"/>
    <col min="13832" max="13832" width="9.140625" style="5"/>
    <col min="13833" max="13834" width="24.28515625" style="5" customWidth="1"/>
    <col min="13835" max="14081" width="9.140625" style="5"/>
    <col min="14082" max="14082" width="31.28515625" style="5" customWidth="1"/>
    <col min="14083" max="14083" width="0" style="5" hidden="1" customWidth="1"/>
    <col min="14084" max="14086" width="16.7109375" style="5" customWidth="1"/>
    <col min="14087" max="14087" width="0" style="5" hidden="1" customWidth="1"/>
    <col min="14088" max="14088" width="9.140625" style="5"/>
    <col min="14089" max="14090" width="24.28515625" style="5" customWidth="1"/>
    <col min="14091" max="14337" width="9.140625" style="5"/>
    <col min="14338" max="14338" width="31.28515625" style="5" customWidth="1"/>
    <col min="14339" max="14339" width="0" style="5" hidden="1" customWidth="1"/>
    <col min="14340" max="14342" width="16.7109375" style="5" customWidth="1"/>
    <col min="14343" max="14343" width="0" style="5" hidden="1" customWidth="1"/>
    <col min="14344" max="14344" width="9.140625" style="5"/>
    <col min="14345" max="14346" width="24.28515625" style="5" customWidth="1"/>
    <col min="14347" max="14593" width="9.140625" style="5"/>
    <col min="14594" max="14594" width="31.28515625" style="5" customWidth="1"/>
    <col min="14595" max="14595" width="0" style="5" hidden="1" customWidth="1"/>
    <col min="14596" max="14598" width="16.7109375" style="5" customWidth="1"/>
    <col min="14599" max="14599" width="0" style="5" hidden="1" customWidth="1"/>
    <col min="14600" max="14600" width="9.140625" style="5"/>
    <col min="14601" max="14602" width="24.28515625" style="5" customWidth="1"/>
    <col min="14603" max="14849" width="9.140625" style="5"/>
    <col min="14850" max="14850" width="31.28515625" style="5" customWidth="1"/>
    <col min="14851" max="14851" width="0" style="5" hidden="1" customWidth="1"/>
    <col min="14852" max="14854" width="16.7109375" style="5" customWidth="1"/>
    <col min="14855" max="14855" width="0" style="5" hidden="1" customWidth="1"/>
    <col min="14856" max="14856" width="9.140625" style="5"/>
    <col min="14857" max="14858" width="24.28515625" style="5" customWidth="1"/>
    <col min="14859" max="15105" width="9.140625" style="5"/>
    <col min="15106" max="15106" width="31.28515625" style="5" customWidth="1"/>
    <col min="15107" max="15107" width="0" style="5" hidden="1" customWidth="1"/>
    <col min="15108" max="15110" width="16.7109375" style="5" customWidth="1"/>
    <col min="15111" max="15111" width="0" style="5" hidden="1" customWidth="1"/>
    <col min="15112" max="15112" width="9.140625" style="5"/>
    <col min="15113" max="15114" width="24.28515625" style="5" customWidth="1"/>
    <col min="15115" max="15361" width="9.140625" style="5"/>
    <col min="15362" max="15362" width="31.28515625" style="5" customWidth="1"/>
    <col min="15363" max="15363" width="0" style="5" hidden="1" customWidth="1"/>
    <col min="15364" max="15366" width="16.7109375" style="5" customWidth="1"/>
    <col min="15367" max="15367" width="0" style="5" hidden="1" customWidth="1"/>
    <col min="15368" max="15368" width="9.140625" style="5"/>
    <col min="15369" max="15370" width="24.28515625" style="5" customWidth="1"/>
    <col min="15371" max="15617" width="9.140625" style="5"/>
    <col min="15618" max="15618" width="31.28515625" style="5" customWidth="1"/>
    <col min="15619" max="15619" width="0" style="5" hidden="1" customWidth="1"/>
    <col min="15620" max="15622" width="16.7109375" style="5" customWidth="1"/>
    <col min="15623" max="15623" width="0" style="5" hidden="1" customWidth="1"/>
    <col min="15624" max="15624" width="9.140625" style="5"/>
    <col min="15625" max="15626" width="24.28515625" style="5" customWidth="1"/>
    <col min="15627" max="15873" width="9.140625" style="5"/>
    <col min="15874" max="15874" width="31.28515625" style="5" customWidth="1"/>
    <col min="15875" max="15875" width="0" style="5" hidden="1" customWidth="1"/>
    <col min="15876" max="15878" width="16.7109375" style="5" customWidth="1"/>
    <col min="15879" max="15879" width="0" style="5" hidden="1" customWidth="1"/>
    <col min="15880" max="15880" width="9.140625" style="5"/>
    <col min="15881" max="15882" width="24.28515625" style="5" customWidth="1"/>
    <col min="15883" max="16129" width="9.140625" style="5"/>
    <col min="16130" max="16130" width="31.28515625" style="5" customWidth="1"/>
    <col min="16131" max="16131" width="0" style="5" hidden="1" customWidth="1"/>
    <col min="16132" max="16134" width="16.7109375" style="5" customWidth="1"/>
    <col min="16135" max="16135" width="0" style="5" hidden="1" customWidth="1"/>
    <col min="16136" max="16136" width="9.140625" style="5"/>
    <col min="16137" max="16138" width="24.28515625" style="5" customWidth="1"/>
    <col min="16139" max="16384" width="9.140625" style="5"/>
  </cols>
  <sheetData>
    <row r="1" spans="2:14" ht="13.5" thickBot="1" x14ac:dyDescent="0.25"/>
    <row r="2" spans="2:14" ht="13.5" thickBot="1" x14ac:dyDescent="0.25">
      <c r="B2" s="827" t="s">
        <v>675</v>
      </c>
      <c r="C2" s="828"/>
      <c r="D2" s="828"/>
      <c r="E2" s="828"/>
      <c r="F2" s="829"/>
    </row>
    <row r="3" spans="2:14" ht="13.5" thickBot="1" x14ac:dyDescent="0.25">
      <c r="B3" s="809" t="s">
        <v>676</v>
      </c>
      <c r="C3" s="810"/>
      <c r="D3" s="810"/>
      <c r="E3" s="810"/>
      <c r="F3" s="811"/>
      <c r="G3" s="812"/>
    </row>
    <row r="4" spans="2:14" s="4" customFormat="1" ht="89.25" x14ac:dyDescent="0.2">
      <c r="B4" s="813" t="s">
        <v>187</v>
      </c>
      <c r="C4" s="814" t="s">
        <v>677</v>
      </c>
      <c r="D4" s="814" t="s">
        <v>678</v>
      </c>
      <c r="E4" s="814" t="s">
        <v>679</v>
      </c>
      <c r="F4" s="815" t="s">
        <v>680</v>
      </c>
      <c r="G4" s="4" t="s">
        <v>681</v>
      </c>
      <c r="I4" s="816" t="s">
        <v>682</v>
      </c>
      <c r="J4" s="817" t="s">
        <v>683</v>
      </c>
      <c r="K4" s="818" t="s">
        <v>678</v>
      </c>
      <c r="L4" s="818" t="s">
        <v>679</v>
      </c>
      <c r="M4" s="845" t="s">
        <v>680</v>
      </c>
      <c r="N4" s="848" t="s">
        <v>711</v>
      </c>
    </row>
    <row r="5" spans="2:14" x14ac:dyDescent="0.2">
      <c r="B5" s="819" t="s">
        <v>142</v>
      </c>
      <c r="C5" s="820">
        <v>-4.9396374907332739</v>
      </c>
      <c r="D5" s="830">
        <v>3.8815165287750024E-2</v>
      </c>
      <c r="E5" s="830">
        <v>-8.8905313956208563</v>
      </c>
      <c r="F5" s="831" t="s">
        <v>486</v>
      </c>
      <c r="G5" s="5">
        <v>4.607201666479549E-2</v>
      </c>
      <c r="I5" s="821" t="s">
        <v>14</v>
      </c>
      <c r="J5" s="822" t="s">
        <v>684</v>
      </c>
      <c r="K5" s="834">
        <v>-0.71823447173361865</v>
      </c>
      <c r="L5" s="834">
        <v>-3.1100424311229413</v>
      </c>
      <c r="M5" s="846"/>
      <c r="N5" s="849">
        <f>IF(M5="",L5-K5,M5-K5)</f>
        <v>-2.3918079593893227</v>
      </c>
    </row>
    <row r="6" spans="2:14" x14ac:dyDescent="0.2">
      <c r="B6" s="819" t="s">
        <v>685</v>
      </c>
      <c r="C6" s="820">
        <v>-7.2661055506991588</v>
      </c>
      <c r="D6" s="830">
        <v>3.8815165287750024E-2</v>
      </c>
      <c r="E6" s="830">
        <v>-6.9704112618909866</v>
      </c>
      <c r="F6" s="831" t="s">
        <v>486</v>
      </c>
      <c r="G6" s="5">
        <v>4.607201666479549E-2</v>
      </c>
      <c r="I6" s="821" t="s">
        <v>548</v>
      </c>
      <c r="J6" s="822" t="s">
        <v>137</v>
      </c>
      <c r="K6" s="834">
        <v>6.4744739370929338E-2</v>
      </c>
      <c r="L6" s="834">
        <v>-2.854570446723625</v>
      </c>
      <c r="M6" s="846"/>
      <c r="N6" s="849">
        <f t="shared" ref="N6:N23" si="0">IF(M6="",L6-K6,M6-K6)</f>
        <v>-2.9193151860945545</v>
      </c>
    </row>
    <row r="7" spans="2:14" x14ac:dyDescent="0.2">
      <c r="B7" s="819" t="s">
        <v>141</v>
      </c>
      <c r="C7" s="820">
        <v>-3.178732816298707</v>
      </c>
      <c r="D7" s="830">
        <v>3.8815165287750024E-2</v>
      </c>
      <c r="E7" s="830">
        <v>-1.8021334975286469</v>
      </c>
      <c r="F7" s="831" t="s">
        <v>486</v>
      </c>
      <c r="G7" s="5">
        <v>-1.5504625471491371</v>
      </c>
      <c r="I7" s="821" t="s">
        <v>549</v>
      </c>
      <c r="J7" s="822" t="s">
        <v>135</v>
      </c>
      <c r="K7" s="834">
        <v>-0.65055521785456694</v>
      </c>
      <c r="L7" s="834">
        <v>-3.5178448678557155</v>
      </c>
      <c r="M7" s="846"/>
      <c r="N7" s="849">
        <f t="shared" si="0"/>
        <v>-2.8672896500011484</v>
      </c>
    </row>
    <row r="8" spans="2:14" x14ac:dyDescent="0.2">
      <c r="B8" s="819" t="s">
        <v>143</v>
      </c>
      <c r="C8" s="820">
        <v>-7.2649597069920251</v>
      </c>
      <c r="D8" s="830">
        <v>3.8815165287750024E-2</v>
      </c>
      <c r="E8" s="830">
        <v>-4.8919086803503822</v>
      </c>
      <c r="F8" s="831" t="s">
        <v>486</v>
      </c>
      <c r="G8" s="5">
        <v>4.2545607167962532E-2</v>
      </c>
      <c r="I8" s="821" t="s">
        <v>550</v>
      </c>
      <c r="J8" s="822" t="s">
        <v>663</v>
      </c>
      <c r="K8" s="834"/>
      <c r="L8" s="834"/>
      <c r="M8" s="846"/>
      <c r="N8" s="849">
        <f t="shared" si="0"/>
        <v>0</v>
      </c>
    </row>
    <row r="9" spans="2:14" x14ac:dyDescent="0.2">
      <c r="B9" s="819" t="s">
        <v>17</v>
      </c>
      <c r="C9" s="820">
        <v>-0.53006279192359385</v>
      </c>
      <c r="D9" s="830">
        <v>3.8815165287750024E-2</v>
      </c>
      <c r="E9" s="830">
        <v>-0.27813239423289321</v>
      </c>
      <c r="F9" s="831" t="s">
        <v>486</v>
      </c>
      <c r="G9" s="5">
        <v>4.0429761469862754E-2</v>
      </c>
      <c r="I9" s="821" t="s">
        <v>551</v>
      </c>
      <c r="J9" s="822" t="s">
        <v>135</v>
      </c>
      <c r="K9" s="834">
        <v>-0.65055521785456694</v>
      </c>
      <c r="L9" s="834">
        <v>-3.5178448678557155</v>
      </c>
      <c r="M9" s="846"/>
      <c r="N9" s="849">
        <f t="shared" si="0"/>
        <v>-2.8672896500011484</v>
      </c>
    </row>
    <row r="10" spans="2:14" x14ac:dyDescent="0.2">
      <c r="B10" s="819" t="s">
        <v>144</v>
      </c>
      <c r="C10" s="820">
        <v>-1.4661381404796041</v>
      </c>
      <c r="D10" s="830">
        <v>3.8815165287750024E-2</v>
      </c>
      <c r="E10" s="830">
        <v>-0.85714572616557727</v>
      </c>
      <c r="F10" s="831" t="s">
        <v>486</v>
      </c>
      <c r="G10" s="5">
        <v>1.6937234313801472</v>
      </c>
      <c r="I10" s="821" t="s">
        <v>552</v>
      </c>
      <c r="J10" s="822" t="s">
        <v>145</v>
      </c>
      <c r="K10" s="834">
        <v>3.8815165287750024E-2</v>
      </c>
      <c r="L10" s="834">
        <v>-1.1083695046499848</v>
      </c>
      <c r="M10" s="846"/>
      <c r="N10" s="849">
        <f t="shared" si="0"/>
        <v>-1.1471846699377348</v>
      </c>
    </row>
    <row r="11" spans="2:14" x14ac:dyDescent="0.2">
      <c r="B11" s="819" t="s">
        <v>686</v>
      </c>
      <c r="C11" s="820">
        <v>-1.7945457067355752</v>
      </c>
      <c r="D11" s="830">
        <v>3.8815165287750024E-2</v>
      </c>
      <c r="E11" s="830" t="s">
        <v>486</v>
      </c>
      <c r="F11" s="831" t="s">
        <v>486</v>
      </c>
      <c r="G11" s="5">
        <v>1.6998170669906747</v>
      </c>
      <c r="I11" s="821" t="s">
        <v>564</v>
      </c>
      <c r="J11" s="822" t="s">
        <v>687</v>
      </c>
      <c r="K11" s="834">
        <v>3.8815165287750024E-2</v>
      </c>
      <c r="L11" s="834"/>
      <c r="M11" s="846"/>
      <c r="N11" s="849">
        <f t="shared" si="0"/>
        <v>-3.8815165287750024E-2</v>
      </c>
    </row>
    <row r="12" spans="2:14" x14ac:dyDescent="0.2">
      <c r="B12" s="819" t="s">
        <v>145</v>
      </c>
      <c r="C12" s="820">
        <v>-2.2188702624164147</v>
      </c>
      <c r="D12" s="830">
        <v>3.8815165287750024E-2</v>
      </c>
      <c r="E12" s="830">
        <v>-1.1083695046499848</v>
      </c>
      <c r="F12" s="831" t="s">
        <v>486</v>
      </c>
      <c r="G12" s="5">
        <v>1.4664980457113783</v>
      </c>
      <c r="I12" s="821" t="s">
        <v>553</v>
      </c>
      <c r="J12" s="822" t="s">
        <v>688</v>
      </c>
      <c r="K12" s="834">
        <v>-1.62405446313225</v>
      </c>
      <c r="L12" s="834"/>
      <c r="M12" s="846">
        <v>-0.19766519011403719</v>
      </c>
      <c r="N12" s="849">
        <f t="shared" si="0"/>
        <v>1.4263892730182128</v>
      </c>
    </row>
    <row r="13" spans="2:14" x14ac:dyDescent="0.2">
      <c r="B13" s="819" t="s">
        <v>687</v>
      </c>
      <c r="C13" s="820">
        <v>-1.5749730758368581</v>
      </c>
      <c r="D13" s="830">
        <v>3.8815165287750024E-2</v>
      </c>
      <c r="E13" s="830" t="s">
        <v>486</v>
      </c>
      <c r="F13" s="831" t="s">
        <v>486</v>
      </c>
      <c r="G13" s="5">
        <v>1.695923910906171</v>
      </c>
      <c r="I13" s="821" t="s">
        <v>554</v>
      </c>
      <c r="J13" s="822" t="s">
        <v>16</v>
      </c>
      <c r="K13" s="834">
        <v>3.8815165287750024E-2</v>
      </c>
      <c r="L13" s="834">
        <v>-0.9816460057684695</v>
      </c>
      <c r="M13" s="846"/>
      <c r="N13" s="849">
        <f t="shared" si="0"/>
        <v>-1.0204611710562195</v>
      </c>
    </row>
    <row r="14" spans="2:14" ht="25.5" x14ac:dyDescent="0.2">
      <c r="B14" s="819" t="s">
        <v>689</v>
      </c>
      <c r="C14" s="820">
        <v>-1.5459593484925271</v>
      </c>
      <c r="D14" s="830">
        <v>3.8815165287750024E-2</v>
      </c>
      <c r="E14" s="830" t="s">
        <v>486</v>
      </c>
      <c r="F14" s="831" t="s">
        <v>486</v>
      </c>
      <c r="G14" s="5">
        <v>1.6958110658022723</v>
      </c>
      <c r="I14" s="821" t="s">
        <v>555</v>
      </c>
      <c r="J14" s="822" t="s">
        <v>690</v>
      </c>
      <c r="K14" s="834">
        <v>3.8815165287750024E-2</v>
      </c>
      <c r="L14" s="834">
        <v>-5.3463324465747517</v>
      </c>
      <c r="M14" s="846"/>
      <c r="N14" s="849">
        <f t="shared" si="0"/>
        <v>-5.3851476118625019</v>
      </c>
    </row>
    <row r="15" spans="2:14" ht="25.5" x14ac:dyDescent="0.2">
      <c r="B15" s="819" t="s">
        <v>691</v>
      </c>
      <c r="C15" s="820">
        <v>-2.4969849718146202</v>
      </c>
      <c r="D15" s="830">
        <v>3.8815165287750024E-2</v>
      </c>
      <c r="E15" s="830" t="s">
        <v>486</v>
      </c>
      <c r="F15" s="831" t="s">
        <v>486</v>
      </c>
      <c r="G15" s="5">
        <v>2.0206574024092299</v>
      </c>
      <c r="I15" s="821" t="s">
        <v>556</v>
      </c>
      <c r="J15" s="822" t="s">
        <v>692</v>
      </c>
      <c r="K15" s="834">
        <v>3.8815165287750024E-2</v>
      </c>
      <c r="L15" s="834">
        <v>-5.9311599711206844</v>
      </c>
      <c r="M15" s="846"/>
      <c r="N15" s="849">
        <f t="shared" si="0"/>
        <v>-5.9699751364084346</v>
      </c>
    </row>
    <row r="16" spans="2:14" ht="38.25" x14ac:dyDescent="0.2">
      <c r="B16" s="819" t="s">
        <v>693</v>
      </c>
      <c r="C16" s="820">
        <v>-1.9752785865349147</v>
      </c>
      <c r="D16" s="830">
        <v>3.8815165287750024E-2</v>
      </c>
      <c r="E16" s="830" t="s">
        <v>486</v>
      </c>
      <c r="F16" s="831" t="s">
        <v>486</v>
      </c>
      <c r="G16" s="5">
        <v>0.83556755043004638</v>
      </c>
      <c r="I16" s="821" t="s">
        <v>557</v>
      </c>
      <c r="J16" s="822" t="s">
        <v>694</v>
      </c>
      <c r="K16" s="834">
        <v>3.8815165287750024E-2</v>
      </c>
      <c r="L16" s="834">
        <v>-5.638746208847718</v>
      </c>
      <c r="M16" s="846"/>
      <c r="N16" s="849">
        <f t="shared" si="0"/>
        <v>-5.6775613741354682</v>
      </c>
    </row>
    <row r="17" spans="2:14" x14ac:dyDescent="0.2">
      <c r="B17" s="819" t="s">
        <v>688</v>
      </c>
      <c r="C17" s="820">
        <v>-2.1787028121049254</v>
      </c>
      <c r="D17" s="830">
        <v>-1.62405446313225</v>
      </c>
      <c r="E17" s="830" t="s">
        <v>486</v>
      </c>
      <c r="F17" s="831">
        <v>-0.19766519011403719</v>
      </c>
      <c r="G17" s="5">
        <v>-0.44497345295020002</v>
      </c>
      <c r="I17" s="821" t="s">
        <v>87</v>
      </c>
      <c r="J17" s="822" t="s">
        <v>17</v>
      </c>
      <c r="K17" s="834">
        <v>3.8815165287750024E-2</v>
      </c>
      <c r="L17" s="834">
        <v>-0.27813239423289321</v>
      </c>
      <c r="M17" s="846"/>
      <c r="N17" s="849">
        <f t="shared" si="0"/>
        <v>-0.31694755952064324</v>
      </c>
    </row>
    <row r="18" spans="2:14" x14ac:dyDescent="0.2">
      <c r="B18" s="819" t="s">
        <v>684</v>
      </c>
      <c r="C18" s="820">
        <v>-5.5933767991243428</v>
      </c>
      <c r="D18" s="830">
        <v>-0.71823447173361865</v>
      </c>
      <c r="E18" s="830">
        <v>-3.1100424311229413</v>
      </c>
      <c r="F18" s="831" t="s">
        <v>486</v>
      </c>
      <c r="G18" s="5">
        <v>-0.33354690495067474</v>
      </c>
      <c r="I18" s="821" t="s">
        <v>558</v>
      </c>
      <c r="J18" s="822" t="s">
        <v>17</v>
      </c>
      <c r="K18" s="834">
        <v>3.8815165287750024E-2</v>
      </c>
      <c r="L18" s="834">
        <v>-0.27813239423289321</v>
      </c>
      <c r="M18" s="846"/>
      <c r="N18" s="849">
        <f t="shared" si="0"/>
        <v>-0.31694755952064324</v>
      </c>
    </row>
    <row r="19" spans="2:14" x14ac:dyDescent="0.2">
      <c r="B19" s="819" t="s">
        <v>695</v>
      </c>
      <c r="C19" s="820">
        <v>-8.6353481596421453</v>
      </c>
      <c r="D19" s="830">
        <v>-0.73028071602015698</v>
      </c>
      <c r="E19" s="830">
        <v>-3.0702976322384083</v>
      </c>
      <c r="F19" s="831" t="s">
        <v>486</v>
      </c>
      <c r="G19" s="5">
        <v>-0.23283264972112541</v>
      </c>
      <c r="I19" s="821" t="s">
        <v>88</v>
      </c>
      <c r="J19" s="822" t="s">
        <v>18</v>
      </c>
      <c r="K19" s="834">
        <v>0.36987386533883593</v>
      </c>
      <c r="L19" s="834"/>
      <c r="M19" s="846">
        <v>-0.19766519011403719</v>
      </c>
      <c r="N19" s="849">
        <f t="shared" si="0"/>
        <v>-0.56753905545287309</v>
      </c>
    </row>
    <row r="20" spans="2:14" ht="25.5" x14ac:dyDescent="0.2">
      <c r="B20" s="819" t="s">
        <v>136</v>
      </c>
      <c r="C20" s="820">
        <v>-4.8511554581932312</v>
      </c>
      <c r="D20" s="830">
        <v>-1.2423949310974347</v>
      </c>
      <c r="E20" s="830">
        <v>-2.7815204172834207</v>
      </c>
      <c r="F20" s="831" t="s">
        <v>486</v>
      </c>
      <c r="G20" s="5">
        <v>-0.38472215956871458</v>
      </c>
      <c r="I20" s="821" t="s">
        <v>559</v>
      </c>
      <c r="J20" s="822" t="s">
        <v>696</v>
      </c>
      <c r="K20" s="834">
        <v>-0.48044487301079497</v>
      </c>
      <c r="L20" s="834"/>
      <c r="M20" s="846">
        <v>-0.19766519011403719</v>
      </c>
      <c r="N20" s="849">
        <f t="shared" si="0"/>
        <v>0.28277968289675781</v>
      </c>
    </row>
    <row r="21" spans="2:14" x14ac:dyDescent="0.2">
      <c r="B21" s="819" t="s">
        <v>137</v>
      </c>
      <c r="C21" s="820">
        <v>-7.9897664049118822</v>
      </c>
      <c r="D21" s="830">
        <v>6.4744739370929338E-2</v>
      </c>
      <c r="E21" s="830">
        <v>-2.854570446723625</v>
      </c>
      <c r="F21" s="831" t="s">
        <v>486</v>
      </c>
      <c r="G21" s="5">
        <v>-0.31983622482698815</v>
      </c>
      <c r="I21" s="821" t="s">
        <v>560</v>
      </c>
      <c r="J21" s="822" t="s">
        <v>697</v>
      </c>
      <c r="K21" s="834">
        <v>3.8815165287750024E-2</v>
      </c>
      <c r="L21" s="834">
        <v>-2.3466861133699766</v>
      </c>
      <c r="M21" s="846"/>
      <c r="N21" s="849">
        <f t="shared" si="0"/>
        <v>-2.3855012786577268</v>
      </c>
    </row>
    <row r="22" spans="2:14" x14ac:dyDescent="0.2">
      <c r="B22" s="819" t="s">
        <v>140</v>
      </c>
      <c r="C22" s="820">
        <v>-6.2657684162493652</v>
      </c>
      <c r="D22" s="830">
        <v>-1.2423949310974347</v>
      </c>
      <c r="E22" s="830">
        <v>-2.6489671908057688</v>
      </c>
      <c r="F22" s="831" t="s">
        <v>486</v>
      </c>
      <c r="G22" s="5">
        <v>-0.38472215956871458</v>
      </c>
      <c r="I22" s="821" t="s">
        <v>561</v>
      </c>
      <c r="J22" s="822" t="s">
        <v>151</v>
      </c>
      <c r="K22" s="834">
        <v>-1.0767846782787647</v>
      </c>
      <c r="L22" s="834">
        <v>-2.4571351019253127</v>
      </c>
      <c r="M22" s="846"/>
      <c r="N22" s="849">
        <f t="shared" si="0"/>
        <v>-1.380350423646548</v>
      </c>
    </row>
    <row r="23" spans="2:14" ht="51.75" thickBot="1" x14ac:dyDescent="0.25">
      <c r="B23" s="819" t="s">
        <v>698</v>
      </c>
      <c r="C23" s="820">
        <v>-9.1124416665564016</v>
      </c>
      <c r="D23" s="830">
        <v>6.4744739370929338E-2</v>
      </c>
      <c r="E23" s="830">
        <v>-3.1073752591979842</v>
      </c>
      <c r="F23" s="831" t="s">
        <v>486</v>
      </c>
      <c r="G23" s="5">
        <v>-0.31983622482698815</v>
      </c>
      <c r="I23" s="823" t="s">
        <v>563</v>
      </c>
      <c r="J23" s="824" t="s">
        <v>699</v>
      </c>
      <c r="K23" s="835">
        <v>-0.16675070628269578</v>
      </c>
      <c r="L23" s="835">
        <v>-0.52401440321056314</v>
      </c>
      <c r="M23" s="847"/>
      <c r="N23" s="850">
        <f t="shared" si="0"/>
        <v>-0.35726369692786736</v>
      </c>
    </row>
    <row r="24" spans="2:14" x14ac:dyDescent="0.2">
      <c r="B24" s="819" t="s">
        <v>151</v>
      </c>
      <c r="C24" s="820">
        <v>-2.0199681727633476</v>
      </c>
      <c r="D24" s="830">
        <v>-1.0767846782787647</v>
      </c>
      <c r="E24" s="830">
        <v>-2.4571351019253127</v>
      </c>
      <c r="F24" s="831" t="s">
        <v>486</v>
      </c>
      <c r="G24" s="5">
        <v>-0.40447005275097914</v>
      </c>
    </row>
    <row r="25" spans="2:14" x14ac:dyDescent="0.2">
      <c r="B25" s="819" t="s">
        <v>700</v>
      </c>
      <c r="C25" s="820">
        <v>-2.2225453954784347</v>
      </c>
      <c r="D25" s="830">
        <v>-1.0767846782787647</v>
      </c>
      <c r="E25" s="830">
        <v>-2.4706339028973177</v>
      </c>
      <c r="F25" s="831" t="s">
        <v>486</v>
      </c>
      <c r="G25" s="5">
        <v>-0.40447005275097914</v>
      </c>
    </row>
    <row r="26" spans="2:14" x14ac:dyDescent="0.2">
      <c r="B26" s="819" t="s">
        <v>18</v>
      </c>
      <c r="C26" s="820">
        <v>0</v>
      </c>
      <c r="D26" s="830">
        <v>0.36987386533883593</v>
      </c>
      <c r="E26" s="830" t="s">
        <v>486</v>
      </c>
      <c r="F26" s="831">
        <v>-0.19766519011403719</v>
      </c>
      <c r="G26" s="5">
        <v>-6.9884319691468216E-2</v>
      </c>
    </row>
    <row r="27" spans="2:14" x14ac:dyDescent="0.2">
      <c r="B27" s="819" t="s">
        <v>147</v>
      </c>
      <c r="C27" s="820">
        <v>0</v>
      </c>
      <c r="D27" s="830">
        <v>-0.31203871048324222</v>
      </c>
      <c r="E27" s="830" t="s">
        <v>486</v>
      </c>
      <c r="F27" s="831">
        <v>-0.19766519011403719</v>
      </c>
      <c r="G27" s="5">
        <v>-9.4146017029678924E-2</v>
      </c>
    </row>
    <row r="28" spans="2:14" x14ac:dyDescent="0.2">
      <c r="B28" s="819" t="s">
        <v>701</v>
      </c>
      <c r="C28" s="820">
        <v>0</v>
      </c>
      <c r="D28" s="830">
        <v>0.1439083913445825</v>
      </c>
      <c r="E28" s="830" t="s">
        <v>486</v>
      </c>
      <c r="F28" s="831">
        <v>-0.19766519011403719</v>
      </c>
      <c r="G28" s="5">
        <v>-9.4146017029678924E-2</v>
      </c>
    </row>
    <row r="29" spans="2:14" x14ac:dyDescent="0.2">
      <c r="B29" s="819" t="s">
        <v>146</v>
      </c>
      <c r="C29" s="820">
        <v>0</v>
      </c>
      <c r="D29" s="830">
        <v>-0.67686449462575538</v>
      </c>
      <c r="E29" s="830" t="s">
        <v>486</v>
      </c>
      <c r="F29" s="831">
        <v>-0.19766519011403719</v>
      </c>
      <c r="G29" s="5">
        <v>-9.4146017029678924E-2</v>
      </c>
    </row>
    <row r="30" spans="2:14" x14ac:dyDescent="0.2">
      <c r="B30" s="819" t="s">
        <v>148</v>
      </c>
      <c r="C30" s="820">
        <v>0</v>
      </c>
      <c r="D30" s="830">
        <v>-1.0767846782787647</v>
      </c>
      <c r="E30" s="830" t="s">
        <v>486</v>
      </c>
      <c r="F30" s="831">
        <v>-0.19766519011403719</v>
      </c>
      <c r="G30" s="5">
        <v>-9.4146017029678924E-2</v>
      </c>
    </row>
    <row r="31" spans="2:14" x14ac:dyDescent="0.2">
      <c r="B31" s="819" t="s">
        <v>135</v>
      </c>
      <c r="C31" s="820" t="s">
        <v>486</v>
      </c>
      <c r="D31" s="830">
        <v>-0.65055521785456694</v>
      </c>
      <c r="E31" s="830">
        <v>-3.5178448678557155</v>
      </c>
      <c r="F31" s="831" t="s">
        <v>486</v>
      </c>
      <c r="G31" s="5">
        <v>-0.33502968961590307</v>
      </c>
    </row>
    <row r="32" spans="2:14" x14ac:dyDescent="0.2">
      <c r="B32" s="819" t="s">
        <v>702</v>
      </c>
      <c r="C32" s="820" t="s">
        <v>486</v>
      </c>
      <c r="D32" s="830">
        <v>-0.686851435476866</v>
      </c>
      <c r="E32" s="830">
        <v>-3.5178448678557155</v>
      </c>
      <c r="F32" s="831" t="s">
        <v>486</v>
      </c>
      <c r="G32" s="5">
        <v>-0.33332629277255288</v>
      </c>
    </row>
    <row r="33" spans="2:7" x14ac:dyDescent="0.2">
      <c r="B33" s="819" t="s">
        <v>138</v>
      </c>
      <c r="C33" s="820" t="s">
        <v>486</v>
      </c>
      <c r="D33" s="830">
        <v>-0.37803887704110667</v>
      </c>
      <c r="E33" s="830">
        <v>-3.5931475055414808</v>
      </c>
      <c r="F33" s="831" t="s">
        <v>486</v>
      </c>
      <c r="G33" s="5">
        <v>-0.30282651809082439</v>
      </c>
    </row>
    <row r="34" spans="2:7" x14ac:dyDescent="0.2">
      <c r="B34" s="819" t="s">
        <v>15</v>
      </c>
      <c r="C34" s="820" t="s">
        <v>486</v>
      </c>
      <c r="D34" s="830">
        <v>3.8815165287750024E-2</v>
      </c>
      <c r="E34" s="830">
        <v>-3.9733544753226573</v>
      </c>
      <c r="F34" s="831" t="s">
        <v>486</v>
      </c>
      <c r="G34" s="5">
        <v>-1.060878741061329</v>
      </c>
    </row>
    <row r="35" spans="2:7" x14ac:dyDescent="0.2">
      <c r="B35" s="819" t="s">
        <v>16</v>
      </c>
      <c r="C35" s="820" t="s">
        <v>486</v>
      </c>
      <c r="D35" s="830">
        <v>3.8815165287750024E-2</v>
      </c>
      <c r="E35" s="830">
        <v>-0.9816460057684695</v>
      </c>
      <c r="F35" s="831" t="s">
        <v>486</v>
      </c>
      <c r="G35" s="5">
        <v>1.581116160606244</v>
      </c>
    </row>
    <row r="36" spans="2:7" x14ac:dyDescent="0.2">
      <c r="B36" s="819" t="s">
        <v>703</v>
      </c>
      <c r="C36" s="820" t="s">
        <v>486</v>
      </c>
      <c r="D36" s="830">
        <v>-0.57914716688320445</v>
      </c>
      <c r="E36" s="830">
        <v>-2.7983874537970186</v>
      </c>
      <c r="F36" s="831" t="s">
        <v>486</v>
      </c>
      <c r="G36" s="5">
        <v>-0.28612756868074474</v>
      </c>
    </row>
    <row r="37" spans="2:7" x14ac:dyDescent="0.2">
      <c r="B37" s="819" t="s">
        <v>153</v>
      </c>
      <c r="C37" s="820" t="s">
        <v>486</v>
      </c>
      <c r="D37" s="830">
        <v>4.1771109732909588E-2</v>
      </c>
      <c r="E37" s="830" t="s">
        <v>486</v>
      </c>
      <c r="F37" s="831">
        <v>-0.19766519011403719</v>
      </c>
      <c r="G37" s="5">
        <v>-8.1773120910603153E-2</v>
      </c>
    </row>
    <row r="38" spans="2:7" x14ac:dyDescent="0.2">
      <c r="B38" s="819" t="s">
        <v>154</v>
      </c>
      <c r="C38" s="820" t="s">
        <v>486</v>
      </c>
      <c r="D38" s="830">
        <v>6.0648935741103964E-2</v>
      </c>
      <c r="E38" s="830" t="s">
        <v>486</v>
      </c>
      <c r="F38" s="831" t="s">
        <v>486</v>
      </c>
      <c r="G38" s="5">
        <v>6.8134068459103081E-2</v>
      </c>
    </row>
    <row r="39" spans="2:7" x14ac:dyDescent="0.2">
      <c r="B39" s="819" t="s">
        <v>152</v>
      </c>
      <c r="C39" s="820">
        <v>-3.957974686486923</v>
      </c>
      <c r="D39" s="830">
        <v>3.8815165287750024E-2</v>
      </c>
      <c r="E39" s="830">
        <v>-2.3690659877685745</v>
      </c>
      <c r="F39" s="831" t="s">
        <v>486</v>
      </c>
      <c r="G39" s="5">
        <v>1.264410039156505</v>
      </c>
    </row>
    <row r="40" spans="2:7" x14ac:dyDescent="0.2">
      <c r="B40" s="819" t="s">
        <v>697</v>
      </c>
      <c r="C40" s="820">
        <v>-54.147713875537789</v>
      </c>
      <c r="D40" s="830">
        <v>3.8815165287750024E-2</v>
      </c>
      <c r="E40" s="830">
        <v>-2.3466861133699766</v>
      </c>
      <c r="F40" s="831" t="s">
        <v>486</v>
      </c>
      <c r="G40" s="5">
        <v>-0.13273171215793444</v>
      </c>
    </row>
    <row r="41" spans="2:7" x14ac:dyDescent="0.2">
      <c r="B41" s="819" t="s">
        <v>704</v>
      </c>
      <c r="C41" s="820">
        <v>-0.28173666321938984</v>
      </c>
      <c r="D41" s="830">
        <v>3.8815165287750024E-2</v>
      </c>
      <c r="E41" s="830" t="s">
        <v>486</v>
      </c>
      <c r="F41" s="831" t="s">
        <v>486</v>
      </c>
      <c r="G41" s="5" t="s">
        <v>486</v>
      </c>
    </row>
    <row r="42" spans="2:7" x14ac:dyDescent="0.2">
      <c r="B42" s="819" t="s">
        <v>149</v>
      </c>
      <c r="C42" s="820" t="s">
        <v>486</v>
      </c>
      <c r="D42" s="830">
        <v>3.8815165287750024E-2</v>
      </c>
      <c r="E42" s="830">
        <v>-7.9349755685824922E-3</v>
      </c>
      <c r="F42" s="831" t="s">
        <v>486</v>
      </c>
      <c r="G42" s="5" t="s">
        <v>486</v>
      </c>
    </row>
    <row r="43" spans="2:7" x14ac:dyDescent="0.2">
      <c r="B43" s="819" t="s">
        <v>155</v>
      </c>
      <c r="C43" s="820" t="s">
        <v>486</v>
      </c>
      <c r="D43" s="830">
        <v>3.8815165287750024E-2</v>
      </c>
      <c r="E43" s="830">
        <v>-0.86957068383547509</v>
      </c>
      <c r="F43" s="831" t="s">
        <v>486</v>
      </c>
      <c r="G43" s="5" t="s">
        <v>486</v>
      </c>
    </row>
    <row r="44" spans="2:7" x14ac:dyDescent="0.2">
      <c r="B44" s="819" t="s">
        <v>156</v>
      </c>
      <c r="C44" s="820">
        <v>-4.3235051584546209</v>
      </c>
      <c r="D44" s="830">
        <v>3.8815165287750024E-2</v>
      </c>
      <c r="E44" s="830">
        <v>-0.39071724620750181</v>
      </c>
      <c r="F44" s="831" t="s">
        <v>486</v>
      </c>
      <c r="G44" s="5">
        <v>0.51249391935826161</v>
      </c>
    </row>
    <row r="45" spans="2:7" x14ac:dyDescent="0.2">
      <c r="B45" s="819" t="s">
        <v>705</v>
      </c>
      <c r="C45" s="820">
        <v>-0.1119512914435969</v>
      </c>
      <c r="D45" s="830">
        <v>3.8815165287750024E-2</v>
      </c>
      <c r="E45" s="830">
        <v>-8.1919012904165422E-2</v>
      </c>
      <c r="F45" s="831" t="s">
        <v>486</v>
      </c>
      <c r="G45" s="5" t="s">
        <v>486</v>
      </c>
    </row>
    <row r="46" spans="2:7" x14ac:dyDescent="0.2">
      <c r="B46" s="819" t="s">
        <v>706</v>
      </c>
      <c r="C46" s="820">
        <v>-0.20008432212324612</v>
      </c>
      <c r="D46" s="830">
        <v>3.8815165287750024E-2</v>
      </c>
      <c r="E46" s="830">
        <v>-9.0898677747262513E-2</v>
      </c>
      <c r="F46" s="831" t="s">
        <v>486</v>
      </c>
      <c r="G46" s="5">
        <v>-0.33644553823822898</v>
      </c>
    </row>
    <row r="47" spans="2:7" x14ac:dyDescent="0.2">
      <c r="B47" s="819" t="s">
        <v>707</v>
      </c>
      <c r="C47" s="820">
        <v>-0.21678167857431488</v>
      </c>
      <c r="D47" s="830">
        <v>0.12658565100203573</v>
      </c>
      <c r="E47" s="830">
        <v>3.1314553064512501E-2</v>
      </c>
      <c r="F47" s="831" t="s">
        <v>486</v>
      </c>
      <c r="G47" s="5" t="s">
        <v>486</v>
      </c>
    </row>
    <row r="48" spans="2:7" x14ac:dyDescent="0.2">
      <c r="B48" s="819" t="s">
        <v>708</v>
      </c>
      <c r="C48" s="820">
        <v>-0.39078797146905048</v>
      </c>
      <c r="D48" s="830">
        <v>3.8815165287750024E-2</v>
      </c>
      <c r="E48" s="830" t="s">
        <v>486</v>
      </c>
      <c r="F48" s="831" t="s">
        <v>486</v>
      </c>
      <c r="G48" s="5" t="s">
        <v>486</v>
      </c>
    </row>
    <row r="49" spans="2:7" x14ac:dyDescent="0.2">
      <c r="B49" s="819" t="s">
        <v>709</v>
      </c>
      <c r="C49" s="820">
        <v>-0.6201738883839879</v>
      </c>
      <c r="D49" s="830">
        <v>3.8815165287750024E-2</v>
      </c>
      <c r="E49" s="830" t="s">
        <v>486</v>
      </c>
      <c r="F49" s="831" t="s">
        <v>486</v>
      </c>
      <c r="G49" s="5">
        <v>-0.13627020330453188</v>
      </c>
    </row>
    <row r="50" spans="2:7" ht="13.5" thickBot="1" x14ac:dyDescent="0.25">
      <c r="B50" s="825" t="s">
        <v>710</v>
      </c>
      <c r="C50" s="826">
        <v>-4.0609099737045797</v>
      </c>
      <c r="D50" s="832">
        <v>6.814302243060677E-2</v>
      </c>
      <c r="E50" s="832" t="s">
        <v>486</v>
      </c>
      <c r="F50" s="833" t="s">
        <v>486</v>
      </c>
      <c r="G50" s="5">
        <v>-0.52904496154854752</v>
      </c>
    </row>
  </sheetData>
  <conditionalFormatting sqref="K5:M23">
    <cfRule type="containsText" dxfId="1" priority="2" operator="containsText" text="&quot;&quot;">
      <formula>NOT(ISERROR(SEARCH("""""",K5)))</formula>
    </cfRule>
    <cfRule type="containsBlanks" dxfId="0" priority="1">
      <formula>LEN(TRIM(K5))=0</formula>
    </cfRule>
  </conditionalFormatting>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D41"/>
  <sheetViews>
    <sheetView topLeftCell="B3" workbookViewId="0">
      <selection activeCell="E5" sqref="E5"/>
    </sheetView>
  </sheetViews>
  <sheetFormatPr defaultRowHeight="15" x14ac:dyDescent="0.25"/>
  <cols>
    <col min="1" max="1" width="0" hidden="1" customWidth="1"/>
    <col min="2" max="2" width="5.42578125" style="220" customWidth="1"/>
    <col min="4" max="4" width="21.140625" customWidth="1"/>
    <col min="5" max="6" width="15.7109375" customWidth="1"/>
    <col min="7" max="8" width="15.7109375" style="220" customWidth="1"/>
    <col min="9" max="9" width="33.140625" style="220" customWidth="1"/>
    <col min="10" max="10" width="15.7109375" style="220" customWidth="1"/>
    <col min="11" max="11" width="15.7109375" customWidth="1"/>
    <col min="12" max="12" width="3.28515625" style="220" customWidth="1"/>
    <col min="13" max="17" width="15.7109375" style="836" hidden="1" customWidth="1"/>
    <col min="18" max="18" width="3.28515625" style="836" hidden="1" customWidth="1"/>
    <col min="19" max="23" width="15.7109375" style="836" hidden="1" customWidth="1"/>
    <col min="24" max="24" width="3.28515625" style="836" hidden="1" customWidth="1"/>
    <col min="25" max="29" width="15.7109375" style="836" hidden="1" customWidth="1"/>
  </cols>
  <sheetData>
    <row r="2" spans="1:30" s="220" customFormat="1" x14ac:dyDescent="0.25">
      <c r="M2" s="836"/>
      <c r="N2" s="836"/>
      <c r="O2" s="836"/>
      <c r="P2" s="836"/>
      <c r="Q2" s="836"/>
      <c r="R2" s="836"/>
      <c r="S2" s="836"/>
      <c r="T2" s="836"/>
      <c r="U2" s="836"/>
      <c r="V2" s="836"/>
      <c r="W2" s="836"/>
      <c r="X2" s="836"/>
      <c r="Y2" s="836"/>
      <c r="Z2" s="836"/>
      <c r="AA2" s="836"/>
      <c r="AB2" s="836"/>
      <c r="AC2" s="836"/>
    </row>
    <row r="3" spans="1:30" s="220" customFormat="1" x14ac:dyDescent="0.25">
      <c r="G3" s="220" t="str">
        <f>'2.GatherData'!F15</f>
        <v>Trash</v>
      </c>
      <c r="M3" s="836" t="str">
        <f>'2.GatherData'!H15</f>
        <v>N/A</v>
      </c>
      <c r="N3" s="836"/>
      <c r="O3" s="836"/>
      <c r="P3" s="836"/>
      <c r="Q3" s="836"/>
      <c r="R3" s="836"/>
      <c r="S3" s="836" t="str">
        <f>'2.GatherData'!J15</f>
        <v>N/A</v>
      </c>
      <c r="T3" s="836"/>
      <c r="U3" s="836"/>
      <c r="V3" s="836"/>
      <c r="W3" s="836"/>
      <c r="X3" s="836"/>
      <c r="Y3" s="836" t="str">
        <f>'2.GatherData'!L15</f>
        <v>N/A</v>
      </c>
      <c r="Z3" s="836"/>
      <c r="AA3" s="836"/>
      <c r="AB3" s="836"/>
      <c r="AC3" s="836"/>
    </row>
    <row r="4" spans="1:30" s="220" customFormat="1" ht="30.75" customHeight="1" x14ac:dyDescent="0.25">
      <c r="E4" s="589"/>
      <c r="F4" s="589"/>
      <c r="G4" s="582" t="str">
        <f>'2.GatherData'!F39</f>
        <v/>
      </c>
      <c r="M4" s="836"/>
      <c r="N4" s="836"/>
      <c r="O4" s="836"/>
      <c r="P4" s="836"/>
      <c r="Q4" s="836"/>
      <c r="R4" s="836"/>
      <c r="S4" s="836"/>
      <c r="T4" s="836"/>
      <c r="U4" s="836"/>
      <c r="V4" s="836"/>
      <c r="W4" s="836"/>
      <c r="X4" s="836"/>
      <c r="Y4" s="836"/>
      <c r="Z4" s="836"/>
      <c r="AA4" s="836"/>
      <c r="AB4" s="836"/>
      <c r="AC4" s="836"/>
    </row>
    <row r="5" spans="1:30" s="531" customFormat="1" x14ac:dyDescent="0.25">
      <c r="A5" s="843" t="s">
        <v>607</v>
      </c>
      <c r="B5" s="843"/>
      <c r="C5" s="583" t="s">
        <v>610</v>
      </c>
      <c r="D5" s="583" t="s">
        <v>187</v>
      </c>
      <c r="E5" s="583" t="s">
        <v>611</v>
      </c>
      <c r="F5" s="586" t="s">
        <v>612</v>
      </c>
      <c r="G5" s="587" t="s">
        <v>83</v>
      </c>
      <c r="H5" s="583" t="s">
        <v>598</v>
      </c>
      <c r="I5" s="583" t="s">
        <v>599</v>
      </c>
      <c r="J5" s="583" t="s">
        <v>600</v>
      </c>
      <c r="K5" s="583" t="s">
        <v>609</v>
      </c>
      <c r="M5" s="837" t="s">
        <v>83</v>
      </c>
      <c r="N5" s="837" t="s">
        <v>598</v>
      </c>
      <c r="O5" s="837" t="s">
        <v>599</v>
      </c>
      <c r="P5" s="837" t="s">
        <v>600</v>
      </c>
      <c r="Q5" s="837" t="s">
        <v>601</v>
      </c>
      <c r="R5" s="838"/>
      <c r="S5" s="837" t="s">
        <v>83</v>
      </c>
      <c r="T5" s="837" t="s">
        <v>598</v>
      </c>
      <c r="U5" s="837" t="s">
        <v>599</v>
      </c>
      <c r="V5" s="837" t="s">
        <v>600</v>
      </c>
      <c r="W5" s="837" t="s">
        <v>601</v>
      </c>
      <c r="X5" s="838"/>
      <c r="Y5" s="837" t="s">
        <v>83</v>
      </c>
      <c r="Z5" s="837" t="s">
        <v>598</v>
      </c>
      <c r="AA5" s="837" t="s">
        <v>599</v>
      </c>
      <c r="AB5" s="837" t="s">
        <v>600</v>
      </c>
      <c r="AC5" s="837" t="s">
        <v>601</v>
      </c>
    </row>
    <row r="6" spans="1:30" x14ac:dyDescent="0.25">
      <c r="A6" s="844">
        <f>COUNTIF($G$6:$G$25,"&gt;"&amp;G6)</f>
        <v>0</v>
      </c>
      <c r="B6" s="844"/>
      <c r="C6" s="578" t="str">
        <f>Background_Data!B11</f>
        <v>R</v>
      </c>
      <c r="D6" s="578" t="s">
        <v>14</v>
      </c>
      <c r="E6" s="578">
        <f>Background_Data!D11</f>
        <v>53</v>
      </c>
      <c r="F6" s="851">
        <f>GHGs!N5</f>
        <v>-2.3918079593893227</v>
      </c>
      <c r="G6" s="588">
        <f>'2.GatherData'!F18</f>
        <v>0</v>
      </c>
      <c r="H6" s="578">
        <f t="shared" ref="H6:H26" si="0">G6*TActualv</f>
        <v>0</v>
      </c>
      <c r="I6" s="578">
        <f>E6*H6</f>
        <v>0</v>
      </c>
      <c r="J6" s="578">
        <f t="shared" ref="J6:J26" si="1">(I6*PUweeks)/lbsperton</f>
        <v>0</v>
      </c>
      <c r="K6" s="577">
        <f>F6*J6</f>
        <v>0</v>
      </c>
      <c r="M6" s="839">
        <f>'2.GatherData'!H18</f>
        <v>0</v>
      </c>
      <c r="N6" s="839"/>
      <c r="O6" s="839"/>
      <c r="P6" s="839"/>
      <c r="Q6" s="839"/>
      <c r="S6" s="839">
        <f>'2.GatherData'!J18</f>
        <v>0</v>
      </c>
      <c r="T6" s="839"/>
      <c r="U6" s="839"/>
      <c r="V6" s="839"/>
      <c r="W6" s="839"/>
      <c r="Y6" s="839">
        <f>'2.GatherData'!L18</f>
        <v>0</v>
      </c>
      <c r="Z6" s="839"/>
      <c r="AA6" s="839"/>
      <c r="AB6" s="839"/>
      <c r="AC6" s="839"/>
      <c r="AD6" s="220"/>
    </row>
    <row r="7" spans="1:30" x14ac:dyDescent="0.25">
      <c r="A7" s="844">
        <f t="shared" ref="A7:A25" si="2">COUNTIF($G$6:$G$25,"&gt;"&amp;G7)</f>
        <v>0</v>
      </c>
      <c r="B7" s="844"/>
      <c r="C7" s="578" t="str">
        <f>Background_Data!B12</f>
        <v>R</v>
      </c>
      <c r="D7" s="578" t="s">
        <v>548</v>
      </c>
      <c r="E7" s="578">
        <f>Background_Data!D12</f>
        <v>158</v>
      </c>
      <c r="F7" s="851">
        <f>GHGs!N6</f>
        <v>-2.9193151860945545</v>
      </c>
      <c r="G7" s="588">
        <f>'2.GatherData'!F19</f>
        <v>0</v>
      </c>
      <c r="H7" s="578">
        <f t="shared" si="0"/>
        <v>0</v>
      </c>
      <c r="I7" s="578">
        <f t="shared" ref="I7:I26" si="3">E7*H7</f>
        <v>0</v>
      </c>
      <c r="J7" s="578">
        <f t="shared" si="1"/>
        <v>0</v>
      </c>
      <c r="K7" s="577">
        <f t="shared" ref="K7:K26" si="4">F7*J7</f>
        <v>0</v>
      </c>
      <c r="M7" s="839">
        <f>'2.GatherData'!H19</f>
        <v>0</v>
      </c>
      <c r="N7" s="839"/>
      <c r="O7" s="839"/>
      <c r="P7" s="839"/>
      <c r="Q7" s="839"/>
      <c r="S7" s="839">
        <f>'2.GatherData'!J19</f>
        <v>0</v>
      </c>
      <c r="T7" s="839"/>
      <c r="U7" s="839"/>
      <c r="V7" s="839"/>
      <c r="W7" s="839"/>
      <c r="Y7" s="839">
        <f>'2.GatherData'!L19</f>
        <v>0</v>
      </c>
      <c r="Z7" s="839"/>
      <c r="AA7" s="839"/>
      <c r="AB7" s="839"/>
      <c r="AC7" s="839"/>
      <c r="AD7" s="220"/>
    </row>
    <row r="8" spans="1:30" x14ac:dyDescent="0.25">
      <c r="A8" s="844">
        <f t="shared" si="2"/>
        <v>0</v>
      </c>
      <c r="B8" s="844"/>
      <c r="C8" s="578" t="str">
        <f>Background_Data!B13</f>
        <v>R</v>
      </c>
      <c r="D8" s="578" t="s">
        <v>549</v>
      </c>
      <c r="E8" s="578">
        <f>Background_Data!D13</f>
        <v>158</v>
      </c>
      <c r="F8" s="851">
        <f>GHGs!N7</f>
        <v>-2.8672896500011484</v>
      </c>
      <c r="G8" s="588">
        <f>'2.GatherData'!F20</f>
        <v>0</v>
      </c>
      <c r="H8" s="578">
        <f t="shared" si="0"/>
        <v>0</v>
      </c>
      <c r="I8" s="578">
        <f t="shared" si="3"/>
        <v>0</v>
      </c>
      <c r="J8" s="578">
        <f t="shared" si="1"/>
        <v>0</v>
      </c>
      <c r="K8" s="577">
        <f t="shared" si="4"/>
        <v>0</v>
      </c>
      <c r="M8" s="839">
        <f>'2.GatherData'!H20</f>
        <v>0</v>
      </c>
      <c r="N8" s="839"/>
      <c r="O8" s="839"/>
      <c r="P8" s="839"/>
      <c r="Q8" s="839"/>
      <c r="S8" s="839">
        <f>'2.GatherData'!J20</f>
        <v>0</v>
      </c>
      <c r="T8" s="839"/>
      <c r="U8" s="839"/>
      <c r="V8" s="839"/>
      <c r="W8" s="839"/>
      <c r="Y8" s="839">
        <f>'2.GatherData'!L20</f>
        <v>0</v>
      </c>
      <c r="Z8" s="839"/>
      <c r="AA8" s="839"/>
      <c r="AB8" s="839"/>
      <c r="AC8" s="839"/>
      <c r="AD8" s="220"/>
    </row>
    <row r="9" spans="1:30" x14ac:dyDescent="0.25">
      <c r="A9" s="844">
        <f t="shared" si="2"/>
        <v>0</v>
      </c>
      <c r="B9" s="844"/>
      <c r="C9" s="578" t="str">
        <f>Background_Data!B14</f>
        <v>C</v>
      </c>
      <c r="D9" s="578" t="s">
        <v>550</v>
      </c>
      <c r="E9" s="578">
        <f>Background_Data!D14</f>
        <v>322</v>
      </c>
      <c r="F9" s="852">
        <f>GHGs!N8</f>
        <v>0</v>
      </c>
      <c r="G9" s="588">
        <f>'2.GatherData'!F21</f>
        <v>0</v>
      </c>
      <c r="H9" s="578">
        <f t="shared" si="0"/>
        <v>0</v>
      </c>
      <c r="I9" s="578">
        <f t="shared" si="3"/>
        <v>0</v>
      </c>
      <c r="J9" s="578">
        <f t="shared" si="1"/>
        <v>0</v>
      </c>
      <c r="K9" s="853">
        <f t="shared" si="4"/>
        <v>0</v>
      </c>
      <c r="M9" s="839">
        <f>'2.GatherData'!H21</f>
        <v>0</v>
      </c>
      <c r="N9" s="839"/>
      <c r="O9" s="839"/>
      <c r="P9" s="839"/>
      <c r="Q9" s="839"/>
      <c r="S9" s="839">
        <f>'2.GatherData'!J21</f>
        <v>0</v>
      </c>
      <c r="T9" s="839"/>
      <c r="U9" s="839"/>
      <c r="V9" s="839"/>
      <c r="W9" s="839"/>
      <c r="Y9" s="839">
        <f>'2.GatherData'!L21</f>
        <v>0</v>
      </c>
      <c r="Z9" s="839"/>
      <c r="AA9" s="839"/>
      <c r="AB9" s="839"/>
      <c r="AC9" s="839"/>
      <c r="AD9" s="220"/>
    </row>
    <row r="10" spans="1:30" x14ac:dyDescent="0.25">
      <c r="A10" s="844">
        <f t="shared" si="2"/>
        <v>0</v>
      </c>
      <c r="B10" s="844"/>
      <c r="C10" s="578" t="str">
        <f>Background_Data!B15</f>
        <v>T</v>
      </c>
      <c r="D10" s="578" t="s">
        <v>551</v>
      </c>
      <c r="E10" s="578">
        <f>Background_Data!D15</f>
        <v>363.5</v>
      </c>
      <c r="F10" s="851">
        <f>GHGs!N9</f>
        <v>-2.8672896500011484</v>
      </c>
      <c r="G10" s="588">
        <f>'2.GatherData'!F22</f>
        <v>0</v>
      </c>
      <c r="H10" s="578">
        <f t="shared" si="0"/>
        <v>0</v>
      </c>
      <c r="I10" s="578">
        <f t="shared" si="3"/>
        <v>0</v>
      </c>
      <c r="J10" s="578">
        <f t="shared" si="1"/>
        <v>0</v>
      </c>
      <c r="K10" s="577">
        <f t="shared" si="4"/>
        <v>0</v>
      </c>
      <c r="M10" s="839">
        <f>'2.GatherData'!H22</f>
        <v>0</v>
      </c>
      <c r="N10" s="839"/>
      <c r="O10" s="839"/>
      <c r="P10" s="839"/>
      <c r="Q10" s="839"/>
      <c r="S10" s="839">
        <f>'2.GatherData'!J22</f>
        <v>0</v>
      </c>
      <c r="T10" s="839"/>
      <c r="U10" s="839"/>
      <c r="V10" s="839"/>
      <c r="W10" s="839"/>
      <c r="Y10" s="839">
        <f>'2.GatherData'!L22</f>
        <v>0</v>
      </c>
      <c r="Z10" s="839"/>
      <c r="AA10" s="839"/>
      <c r="AB10" s="839"/>
      <c r="AC10" s="839"/>
      <c r="AD10" s="220"/>
    </row>
    <row r="11" spans="1:30" x14ac:dyDescent="0.25">
      <c r="A11" s="844">
        <f t="shared" si="2"/>
        <v>0</v>
      </c>
      <c r="B11" s="844"/>
      <c r="C11" s="578" t="str">
        <f>Background_Data!B16</f>
        <v>R</v>
      </c>
      <c r="D11" s="578" t="s">
        <v>552</v>
      </c>
      <c r="E11" s="578">
        <f>Background_Data!D16</f>
        <v>30</v>
      </c>
      <c r="F11" s="851">
        <f>GHGs!N10</f>
        <v>-1.1471846699377348</v>
      </c>
      <c r="G11" s="588">
        <f>'2.GatherData'!F23</f>
        <v>0</v>
      </c>
      <c r="H11" s="578">
        <f t="shared" si="0"/>
        <v>0</v>
      </c>
      <c r="I11" s="578">
        <f t="shared" si="3"/>
        <v>0</v>
      </c>
      <c r="J11" s="578">
        <f t="shared" si="1"/>
        <v>0</v>
      </c>
      <c r="K11" s="577">
        <f t="shared" si="4"/>
        <v>0</v>
      </c>
      <c r="M11" s="839">
        <f>'2.GatherData'!H23</f>
        <v>0</v>
      </c>
      <c r="N11" s="839"/>
      <c r="O11" s="839"/>
      <c r="P11" s="839"/>
      <c r="Q11" s="839"/>
      <c r="S11" s="839">
        <f>'2.GatherData'!J23</f>
        <v>0</v>
      </c>
      <c r="T11" s="839"/>
      <c r="U11" s="839"/>
      <c r="V11" s="839"/>
      <c r="W11" s="839"/>
      <c r="Y11" s="839">
        <f>'2.GatherData'!L23</f>
        <v>0</v>
      </c>
      <c r="Z11" s="839"/>
      <c r="AA11" s="839"/>
      <c r="AB11" s="839"/>
      <c r="AC11" s="839"/>
      <c r="AD11" s="220"/>
    </row>
    <row r="12" spans="1:30" x14ac:dyDescent="0.25">
      <c r="A12" s="844">
        <f t="shared" si="2"/>
        <v>0</v>
      </c>
      <c r="B12" s="844"/>
      <c r="C12" s="578" t="str">
        <f>Background_Data!B17</f>
        <v>R</v>
      </c>
      <c r="D12" s="578" t="s">
        <v>564</v>
      </c>
      <c r="E12" s="578">
        <f>Background_Data!D17</f>
        <v>35</v>
      </c>
      <c r="F12" s="851">
        <f>GHGs!N11</f>
        <v>-3.8815165287750024E-2</v>
      </c>
      <c r="G12" s="588">
        <f>'2.GatherData'!F24</f>
        <v>0</v>
      </c>
      <c r="H12" s="578">
        <f t="shared" si="0"/>
        <v>0</v>
      </c>
      <c r="I12" s="578">
        <f t="shared" si="3"/>
        <v>0</v>
      </c>
      <c r="J12" s="578">
        <f t="shared" si="1"/>
        <v>0</v>
      </c>
      <c r="K12" s="577">
        <f t="shared" si="4"/>
        <v>0</v>
      </c>
      <c r="M12" s="839">
        <f>'2.GatherData'!H24</f>
        <v>0</v>
      </c>
      <c r="N12" s="839"/>
      <c r="O12" s="839"/>
      <c r="P12" s="839"/>
      <c r="Q12" s="839"/>
      <c r="S12" s="839">
        <f>'2.GatherData'!J24</f>
        <v>0</v>
      </c>
      <c r="T12" s="839"/>
      <c r="U12" s="839"/>
      <c r="V12" s="839"/>
      <c r="W12" s="839"/>
      <c r="Y12" s="839">
        <f>'2.GatherData'!L24</f>
        <v>0</v>
      </c>
      <c r="Z12" s="839"/>
      <c r="AA12" s="839"/>
      <c r="AB12" s="839"/>
      <c r="AC12" s="839"/>
      <c r="AD12" s="220"/>
    </row>
    <row r="13" spans="1:30" x14ac:dyDescent="0.25">
      <c r="A13" s="844">
        <f t="shared" si="2"/>
        <v>0</v>
      </c>
      <c r="B13" s="844"/>
      <c r="C13" s="578" t="str">
        <f>Background_Data!B18</f>
        <v>C</v>
      </c>
      <c r="D13" s="578" t="s">
        <v>553</v>
      </c>
      <c r="E13" s="578">
        <f>Background_Data!D18</f>
        <v>30</v>
      </c>
      <c r="F13" s="851">
        <f>GHGs!N12</f>
        <v>1.4263892730182128</v>
      </c>
      <c r="G13" s="588">
        <f>'2.GatherData'!F25</f>
        <v>0</v>
      </c>
      <c r="H13" s="578">
        <f t="shared" si="0"/>
        <v>0</v>
      </c>
      <c r="I13" s="578">
        <f t="shared" si="3"/>
        <v>0</v>
      </c>
      <c r="J13" s="578">
        <f t="shared" si="1"/>
        <v>0</v>
      </c>
      <c r="K13" s="577">
        <f t="shared" si="4"/>
        <v>0</v>
      </c>
      <c r="M13" s="839">
        <f>'2.GatherData'!H25</f>
        <v>0</v>
      </c>
      <c r="N13" s="839"/>
      <c r="O13" s="839"/>
      <c r="P13" s="839"/>
      <c r="Q13" s="839"/>
      <c r="S13" s="839">
        <f>'2.GatherData'!J25</f>
        <v>0</v>
      </c>
      <c r="T13" s="839"/>
      <c r="U13" s="839"/>
      <c r="V13" s="839"/>
      <c r="W13" s="839"/>
      <c r="Y13" s="839">
        <f>'2.GatherData'!L25</f>
        <v>0</v>
      </c>
      <c r="Z13" s="839"/>
      <c r="AA13" s="839"/>
      <c r="AB13" s="839"/>
      <c r="AC13" s="839"/>
      <c r="AD13" s="220"/>
    </row>
    <row r="14" spans="1:30" x14ac:dyDescent="0.25">
      <c r="A14" s="844">
        <f t="shared" si="2"/>
        <v>0</v>
      </c>
      <c r="B14" s="844"/>
      <c r="C14" s="578" t="str">
        <f>Background_Data!B19</f>
        <v>T</v>
      </c>
      <c r="D14" s="578" t="s">
        <v>554</v>
      </c>
      <c r="E14" s="578">
        <f>Background_Data!D19</f>
        <v>50</v>
      </c>
      <c r="F14" s="851">
        <f>GHGs!N13</f>
        <v>-1.0204611710562195</v>
      </c>
      <c r="G14" s="588">
        <f>'2.GatherData'!F26</f>
        <v>0</v>
      </c>
      <c r="H14" s="578">
        <f t="shared" si="0"/>
        <v>0</v>
      </c>
      <c r="I14" s="578">
        <f t="shared" si="3"/>
        <v>0</v>
      </c>
      <c r="J14" s="578">
        <f t="shared" si="1"/>
        <v>0</v>
      </c>
      <c r="K14" s="577">
        <f t="shared" si="4"/>
        <v>0</v>
      </c>
      <c r="M14" s="839">
        <f>'2.GatherData'!H26</f>
        <v>0</v>
      </c>
      <c r="N14" s="839"/>
      <c r="O14" s="839"/>
      <c r="P14" s="839"/>
      <c r="Q14" s="839"/>
      <c r="S14" s="839">
        <f>'2.GatherData'!J26</f>
        <v>0</v>
      </c>
      <c r="T14" s="839"/>
      <c r="U14" s="839"/>
      <c r="V14" s="839"/>
      <c r="W14" s="839"/>
      <c r="Y14" s="839">
        <f>'2.GatherData'!L26</f>
        <v>0</v>
      </c>
      <c r="Z14" s="839"/>
      <c r="AA14" s="839"/>
      <c r="AB14" s="839"/>
      <c r="AC14" s="839"/>
      <c r="AD14" s="220"/>
    </row>
    <row r="15" spans="1:30" x14ac:dyDescent="0.25">
      <c r="A15" s="844">
        <f t="shared" si="2"/>
        <v>0</v>
      </c>
      <c r="B15" s="844"/>
      <c r="C15" s="578" t="str">
        <f>Background_Data!B20</f>
        <v>R</v>
      </c>
      <c r="D15" s="578" t="s">
        <v>555</v>
      </c>
      <c r="E15" s="578">
        <f>Background_Data!D20</f>
        <v>225</v>
      </c>
      <c r="F15" s="851">
        <f>GHGs!N14</f>
        <v>-5.3851476118625019</v>
      </c>
      <c r="G15" s="588">
        <f>'2.GatherData'!F27</f>
        <v>0</v>
      </c>
      <c r="H15" s="578">
        <f t="shared" si="0"/>
        <v>0</v>
      </c>
      <c r="I15" s="578">
        <f t="shared" si="3"/>
        <v>0</v>
      </c>
      <c r="J15" s="578">
        <f t="shared" si="1"/>
        <v>0</v>
      </c>
      <c r="K15" s="577">
        <f t="shared" si="4"/>
        <v>0</v>
      </c>
      <c r="M15" s="839">
        <f>'2.GatherData'!H27</f>
        <v>0</v>
      </c>
      <c r="N15" s="839"/>
      <c r="O15" s="839"/>
      <c r="P15" s="839"/>
      <c r="Q15" s="839"/>
      <c r="S15" s="839">
        <f>'2.GatherData'!J27</f>
        <v>0</v>
      </c>
      <c r="T15" s="839"/>
      <c r="U15" s="839"/>
      <c r="V15" s="839"/>
      <c r="W15" s="839"/>
      <c r="Y15" s="839">
        <f>'2.GatherData'!L27</f>
        <v>0</v>
      </c>
      <c r="Z15" s="839"/>
      <c r="AA15" s="839"/>
      <c r="AB15" s="839"/>
      <c r="AC15" s="839"/>
      <c r="AD15" s="220"/>
    </row>
    <row r="16" spans="1:30" x14ac:dyDescent="0.25">
      <c r="A16" s="844">
        <f t="shared" si="2"/>
        <v>0</v>
      </c>
      <c r="B16" s="844"/>
      <c r="C16" s="578" t="str">
        <f>Background_Data!B21</f>
        <v>R</v>
      </c>
      <c r="D16" s="578" t="s">
        <v>556</v>
      </c>
      <c r="E16" s="578">
        <f>Background_Data!D21</f>
        <v>225</v>
      </c>
      <c r="F16" s="851">
        <f>GHGs!N15</f>
        <v>-5.9699751364084346</v>
      </c>
      <c r="G16" s="588">
        <f>'2.GatherData'!F28</f>
        <v>0</v>
      </c>
      <c r="H16" s="578">
        <f t="shared" si="0"/>
        <v>0</v>
      </c>
      <c r="I16" s="578">
        <f t="shared" si="3"/>
        <v>0</v>
      </c>
      <c r="J16" s="578">
        <f t="shared" si="1"/>
        <v>0</v>
      </c>
      <c r="K16" s="577">
        <f t="shared" si="4"/>
        <v>0</v>
      </c>
      <c r="M16" s="839">
        <f>'2.GatherData'!H28</f>
        <v>0</v>
      </c>
      <c r="N16" s="839"/>
      <c r="O16" s="839"/>
      <c r="P16" s="839"/>
      <c r="Q16" s="839"/>
      <c r="S16" s="839">
        <f>'2.GatherData'!J28</f>
        <v>0</v>
      </c>
      <c r="T16" s="839"/>
      <c r="U16" s="839"/>
      <c r="V16" s="839"/>
      <c r="W16" s="839"/>
      <c r="Y16" s="839">
        <f>'2.GatherData'!L28</f>
        <v>0</v>
      </c>
      <c r="Z16" s="839"/>
      <c r="AA16" s="839"/>
      <c r="AB16" s="839"/>
      <c r="AC16" s="839"/>
      <c r="AD16" s="220"/>
    </row>
    <row r="17" spans="1:30" x14ac:dyDescent="0.25">
      <c r="A17" s="844">
        <f t="shared" si="2"/>
        <v>0</v>
      </c>
      <c r="B17" s="844"/>
      <c r="C17" s="578" t="str">
        <f>Background_Data!B22</f>
        <v>T</v>
      </c>
      <c r="D17" s="578" t="s">
        <v>557</v>
      </c>
      <c r="E17" s="578">
        <f>Background_Data!D22</f>
        <v>142.83000000000001</v>
      </c>
      <c r="F17" s="851">
        <f>GHGs!N16</f>
        <v>-5.6775613741354682</v>
      </c>
      <c r="G17" s="588">
        <f>'2.GatherData'!F29</f>
        <v>0</v>
      </c>
      <c r="H17" s="578">
        <f t="shared" si="0"/>
        <v>0</v>
      </c>
      <c r="I17" s="578">
        <f t="shared" si="3"/>
        <v>0</v>
      </c>
      <c r="J17" s="578">
        <f t="shared" si="1"/>
        <v>0</v>
      </c>
      <c r="K17" s="577">
        <f t="shared" si="4"/>
        <v>0</v>
      </c>
      <c r="M17" s="839">
        <f>'2.GatherData'!H29</f>
        <v>0</v>
      </c>
      <c r="N17" s="839"/>
      <c r="O17" s="839"/>
      <c r="P17" s="839"/>
      <c r="Q17" s="839"/>
      <c r="S17" s="839">
        <f>'2.GatherData'!J29</f>
        <v>0</v>
      </c>
      <c r="T17" s="839"/>
      <c r="U17" s="839"/>
      <c r="V17" s="839"/>
      <c r="W17" s="839"/>
      <c r="Y17" s="839">
        <f>'2.GatherData'!L29</f>
        <v>0</v>
      </c>
      <c r="Z17" s="839"/>
      <c r="AA17" s="839"/>
      <c r="AB17" s="839"/>
      <c r="AC17" s="839"/>
      <c r="AD17" s="220"/>
    </row>
    <row r="18" spans="1:30" x14ac:dyDescent="0.25">
      <c r="A18" s="844">
        <f t="shared" si="2"/>
        <v>0</v>
      </c>
      <c r="B18" s="844"/>
      <c r="C18" s="578" t="str">
        <f>Background_Data!B23</f>
        <v>R</v>
      </c>
      <c r="D18" s="578" t="s">
        <v>87</v>
      </c>
      <c r="E18" s="578">
        <f>Background_Data!D23</f>
        <v>600</v>
      </c>
      <c r="F18" s="851">
        <f>GHGs!N17</f>
        <v>-0.31694755952064324</v>
      </c>
      <c r="G18" s="588">
        <f>'2.GatherData'!F30</f>
        <v>0</v>
      </c>
      <c r="H18" s="578">
        <f t="shared" si="0"/>
        <v>0</v>
      </c>
      <c r="I18" s="578">
        <f t="shared" si="3"/>
        <v>0</v>
      </c>
      <c r="J18" s="578">
        <f t="shared" si="1"/>
        <v>0</v>
      </c>
      <c r="K18" s="577">
        <f t="shared" si="4"/>
        <v>0</v>
      </c>
      <c r="M18" s="839">
        <f>'2.GatherData'!H30</f>
        <v>0</v>
      </c>
      <c r="N18" s="839"/>
      <c r="O18" s="839"/>
      <c r="P18" s="839"/>
      <c r="Q18" s="839"/>
      <c r="S18" s="839">
        <f>'2.GatherData'!J30</f>
        <v>0</v>
      </c>
      <c r="T18" s="839"/>
      <c r="U18" s="839"/>
      <c r="V18" s="839"/>
      <c r="W18" s="839"/>
      <c r="Y18" s="839">
        <f>'2.GatherData'!L30</f>
        <v>0</v>
      </c>
      <c r="Z18" s="839"/>
      <c r="AA18" s="839"/>
      <c r="AB18" s="839"/>
      <c r="AC18" s="839"/>
      <c r="AD18" s="220"/>
    </row>
    <row r="19" spans="1:30" x14ac:dyDescent="0.25">
      <c r="A19" s="844">
        <f t="shared" si="2"/>
        <v>0</v>
      </c>
      <c r="B19" s="844"/>
      <c r="C19" s="578" t="str">
        <f>Background_Data!B24</f>
        <v>T</v>
      </c>
      <c r="D19" s="578" t="s">
        <v>558</v>
      </c>
      <c r="E19" s="578">
        <f>Background_Data!D24</f>
        <v>1400</v>
      </c>
      <c r="F19" s="851">
        <f>GHGs!N18</f>
        <v>-0.31694755952064324</v>
      </c>
      <c r="G19" s="588">
        <f>'2.GatherData'!F31</f>
        <v>0</v>
      </c>
      <c r="H19" s="578">
        <f t="shared" si="0"/>
        <v>0</v>
      </c>
      <c r="I19" s="578">
        <f t="shared" si="3"/>
        <v>0</v>
      </c>
      <c r="J19" s="578">
        <f t="shared" si="1"/>
        <v>0</v>
      </c>
      <c r="K19" s="577">
        <f t="shared" si="4"/>
        <v>0</v>
      </c>
      <c r="M19" s="839">
        <f>'2.GatherData'!H31</f>
        <v>0</v>
      </c>
      <c r="N19" s="839"/>
      <c r="O19" s="839"/>
      <c r="P19" s="839"/>
      <c r="Q19" s="839"/>
      <c r="S19" s="839">
        <f>'2.GatherData'!J31</f>
        <v>0</v>
      </c>
      <c r="T19" s="839"/>
      <c r="U19" s="839"/>
      <c r="V19" s="839"/>
      <c r="W19" s="839"/>
      <c r="Y19" s="839">
        <f>'2.GatherData'!L31</f>
        <v>0</v>
      </c>
      <c r="Z19" s="839"/>
      <c r="AA19" s="839"/>
      <c r="AB19" s="839"/>
      <c r="AC19" s="839"/>
      <c r="AD19" s="220"/>
    </row>
    <row r="20" spans="1:30" x14ac:dyDescent="0.25">
      <c r="A20" s="844">
        <f t="shared" si="2"/>
        <v>0</v>
      </c>
      <c r="B20" s="844"/>
      <c r="C20" s="578" t="str">
        <f>Background_Data!B25</f>
        <v>C</v>
      </c>
      <c r="D20" s="578" t="s">
        <v>88</v>
      </c>
      <c r="E20" s="578">
        <f>Background_Data!D25</f>
        <v>486</v>
      </c>
      <c r="F20" s="851">
        <f>GHGs!N19</f>
        <v>-0.56753905545287309</v>
      </c>
      <c r="G20" s="588">
        <f>'2.GatherData'!F32</f>
        <v>0</v>
      </c>
      <c r="H20" s="578">
        <f t="shared" si="0"/>
        <v>0</v>
      </c>
      <c r="I20" s="578">
        <f t="shared" si="3"/>
        <v>0</v>
      </c>
      <c r="J20" s="578">
        <f t="shared" si="1"/>
        <v>0</v>
      </c>
      <c r="K20" s="577">
        <f t="shared" si="4"/>
        <v>0</v>
      </c>
      <c r="M20" s="839">
        <f>'2.GatherData'!H32</f>
        <v>0</v>
      </c>
      <c r="N20" s="839"/>
      <c r="O20" s="839"/>
      <c r="P20" s="839"/>
      <c r="Q20" s="839"/>
      <c r="S20" s="839">
        <f>'2.GatherData'!J32</f>
        <v>0</v>
      </c>
      <c r="T20" s="839"/>
      <c r="U20" s="839"/>
      <c r="V20" s="839"/>
      <c r="W20" s="839"/>
      <c r="Y20" s="839">
        <f>'2.GatherData'!L32</f>
        <v>0</v>
      </c>
      <c r="Z20" s="839"/>
      <c r="AA20" s="839"/>
      <c r="AB20" s="839"/>
      <c r="AC20" s="839"/>
      <c r="AD20" s="220"/>
    </row>
    <row r="21" spans="1:30" x14ac:dyDescent="0.25">
      <c r="A21" s="844">
        <f t="shared" si="2"/>
        <v>0</v>
      </c>
      <c r="B21" s="844"/>
      <c r="C21" s="578" t="str">
        <f>Background_Data!B26</f>
        <v>C</v>
      </c>
      <c r="D21" s="578" t="s">
        <v>559</v>
      </c>
      <c r="E21" s="578">
        <f>Background_Data!D26</f>
        <v>127</v>
      </c>
      <c r="F21" s="851">
        <f>GHGs!N20</f>
        <v>0.28277968289675781</v>
      </c>
      <c r="G21" s="588">
        <f>'2.GatherData'!F33</f>
        <v>0</v>
      </c>
      <c r="H21" s="578">
        <f t="shared" si="0"/>
        <v>0</v>
      </c>
      <c r="I21" s="578">
        <f t="shared" si="3"/>
        <v>0</v>
      </c>
      <c r="J21" s="578">
        <f t="shared" si="1"/>
        <v>0</v>
      </c>
      <c r="K21" s="577">
        <f t="shared" si="4"/>
        <v>0</v>
      </c>
      <c r="M21" s="839">
        <f>'2.GatherData'!H33</f>
        <v>0</v>
      </c>
      <c r="N21" s="839"/>
      <c r="O21" s="839"/>
      <c r="P21" s="839"/>
      <c r="Q21" s="839"/>
      <c r="S21" s="839">
        <f>'2.GatherData'!J33</f>
        <v>0</v>
      </c>
      <c r="T21" s="839"/>
      <c r="U21" s="839"/>
      <c r="V21" s="839"/>
      <c r="W21" s="839"/>
      <c r="Y21" s="839">
        <f>'2.GatherData'!L33</f>
        <v>0</v>
      </c>
      <c r="Z21" s="839"/>
      <c r="AA21" s="839"/>
      <c r="AB21" s="839"/>
      <c r="AC21" s="839"/>
      <c r="AD21" s="220"/>
    </row>
    <row r="22" spans="1:30" x14ac:dyDescent="0.25">
      <c r="A22" s="844">
        <f t="shared" si="2"/>
        <v>0</v>
      </c>
      <c r="B22" s="844"/>
      <c r="C22" s="578" t="str">
        <f>Background_Data!B27</f>
        <v>R</v>
      </c>
      <c r="D22" s="578" t="s">
        <v>560</v>
      </c>
      <c r="E22" s="578">
        <f>Background_Data!D27</f>
        <v>421.5</v>
      </c>
      <c r="F22" s="851">
        <f>GHGs!N21</f>
        <v>-2.3855012786577268</v>
      </c>
      <c r="G22" s="588">
        <f>'2.GatherData'!F34</f>
        <v>0</v>
      </c>
      <c r="H22" s="578">
        <f t="shared" si="0"/>
        <v>0</v>
      </c>
      <c r="I22" s="578">
        <f t="shared" si="3"/>
        <v>0</v>
      </c>
      <c r="J22" s="578">
        <f t="shared" si="1"/>
        <v>0</v>
      </c>
      <c r="K22" s="577">
        <f t="shared" si="4"/>
        <v>0</v>
      </c>
      <c r="M22" s="839">
        <f>'2.GatherData'!H34</f>
        <v>0</v>
      </c>
      <c r="N22" s="839"/>
      <c r="O22" s="839"/>
      <c r="P22" s="839"/>
      <c r="Q22" s="839"/>
      <c r="S22" s="839">
        <f>'2.GatherData'!J34</f>
        <v>0</v>
      </c>
      <c r="T22" s="839"/>
      <c r="U22" s="839"/>
      <c r="V22" s="839"/>
      <c r="W22" s="839"/>
      <c r="Y22" s="839">
        <f>'2.GatherData'!L34</f>
        <v>0</v>
      </c>
      <c r="Z22" s="839"/>
      <c r="AA22" s="839"/>
      <c r="AB22" s="839"/>
      <c r="AC22" s="839"/>
      <c r="AD22" s="220"/>
    </row>
    <row r="23" spans="1:30" x14ac:dyDescent="0.25">
      <c r="A23" s="844">
        <f t="shared" si="2"/>
        <v>0</v>
      </c>
      <c r="B23" s="844"/>
      <c r="C23" s="578" t="str">
        <f>Background_Data!B28</f>
        <v>R</v>
      </c>
      <c r="D23" s="578" t="s">
        <v>561</v>
      </c>
      <c r="E23" s="578">
        <f>Background_Data!D28</f>
        <v>169</v>
      </c>
      <c r="F23" s="851">
        <f>GHGs!N22</f>
        <v>-1.380350423646548</v>
      </c>
      <c r="G23" s="588">
        <f>'2.GatherData'!F35</f>
        <v>0</v>
      </c>
      <c r="H23" s="578">
        <f t="shared" si="0"/>
        <v>0</v>
      </c>
      <c r="I23" s="578">
        <f t="shared" si="3"/>
        <v>0</v>
      </c>
      <c r="J23" s="578">
        <f t="shared" si="1"/>
        <v>0</v>
      </c>
      <c r="K23" s="577">
        <f t="shared" si="4"/>
        <v>0</v>
      </c>
      <c r="M23" s="839">
        <f>'2.GatherData'!H35</f>
        <v>0</v>
      </c>
      <c r="N23" s="839"/>
      <c r="O23" s="839"/>
      <c r="P23" s="839"/>
      <c r="Q23" s="839"/>
      <c r="S23" s="839">
        <f>'2.GatherData'!J35</f>
        <v>0</v>
      </c>
      <c r="T23" s="839"/>
      <c r="U23" s="839"/>
      <c r="V23" s="839"/>
      <c r="W23" s="839"/>
      <c r="Y23" s="839">
        <f>'2.GatherData'!L35</f>
        <v>0</v>
      </c>
      <c r="Z23" s="839"/>
      <c r="AA23" s="839"/>
      <c r="AB23" s="839"/>
      <c r="AC23" s="839"/>
      <c r="AD23" s="220"/>
    </row>
    <row r="24" spans="1:30" x14ac:dyDescent="0.25">
      <c r="A24" s="844">
        <f t="shared" si="2"/>
        <v>0</v>
      </c>
      <c r="B24" s="844"/>
      <c r="C24" s="578" t="str">
        <f>Background_Data!B29</f>
        <v>T</v>
      </c>
      <c r="D24" s="578" t="s">
        <v>563</v>
      </c>
      <c r="E24" s="578">
        <f>Background_Data!D29</f>
        <v>416.53</v>
      </c>
      <c r="F24" s="851">
        <f>GHGs!N23</f>
        <v>-0.35726369692786736</v>
      </c>
      <c r="G24" s="588">
        <f>'2.GatherData'!F36</f>
        <v>0</v>
      </c>
      <c r="H24" s="578">
        <f t="shared" si="0"/>
        <v>0</v>
      </c>
      <c r="I24" s="578">
        <f t="shared" si="3"/>
        <v>0</v>
      </c>
      <c r="J24" s="578">
        <f t="shared" si="1"/>
        <v>0</v>
      </c>
      <c r="K24" s="577">
        <f t="shared" si="4"/>
        <v>0</v>
      </c>
      <c r="M24" s="839">
        <f>'2.GatherData'!H36</f>
        <v>0</v>
      </c>
      <c r="N24" s="839"/>
      <c r="O24" s="839"/>
      <c r="P24" s="839"/>
      <c r="Q24" s="839"/>
      <c r="S24" s="839">
        <f>'2.GatherData'!J36</f>
        <v>0</v>
      </c>
      <c r="T24" s="839"/>
      <c r="U24" s="839"/>
      <c r="V24" s="839"/>
      <c r="W24" s="839"/>
      <c r="Y24" s="839">
        <f>'2.GatherData'!L36</f>
        <v>0</v>
      </c>
      <c r="Z24" s="839"/>
      <c r="AA24" s="839"/>
      <c r="AB24" s="839"/>
      <c r="AC24" s="839"/>
      <c r="AD24" s="220"/>
    </row>
    <row r="25" spans="1:30" x14ac:dyDescent="0.25">
      <c r="A25" s="844">
        <f t="shared" si="2"/>
        <v>0</v>
      </c>
      <c r="B25" s="844"/>
      <c r="C25" s="578" t="str">
        <f>Background_Data!B30</f>
        <v>T</v>
      </c>
      <c r="D25" s="578" t="s">
        <v>568</v>
      </c>
      <c r="E25" s="578">
        <f>Background_Data!D30</f>
        <v>284.86105263157896</v>
      </c>
      <c r="F25" s="851">
        <f>GHGs!N24</f>
        <v>0</v>
      </c>
      <c r="G25" s="588">
        <f>'2.GatherData'!F37</f>
        <v>0</v>
      </c>
      <c r="H25" s="578">
        <f t="shared" si="0"/>
        <v>0</v>
      </c>
      <c r="I25" s="578">
        <f t="shared" si="3"/>
        <v>0</v>
      </c>
      <c r="J25" s="578">
        <f t="shared" si="1"/>
        <v>0</v>
      </c>
      <c r="K25" s="577">
        <f t="shared" si="4"/>
        <v>0</v>
      </c>
      <c r="M25" s="839">
        <f>'2.GatherData'!H37</f>
        <v>0</v>
      </c>
      <c r="N25" s="839"/>
      <c r="O25" s="839"/>
      <c r="P25" s="839"/>
      <c r="Q25" s="839"/>
      <c r="S25" s="839">
        <f>'2.GatherData'!J37</f>
        <v>0</v>
      </c>
      <c r="T25" s="839"/>
      <c r="U25" s="839"/>
      <c r="V25" s="839"/>
      <c r="W25" s="839"/>
      <c r="Y25" s="839">
        <f>'2.GatherData'!L37</f>
        <v>0</v>
      </c>
      <c r="Z25" s="839"/>
      <c r="AA25" s="839"/>
      <c r="AB25" s="839"/>
      <c r="AC25" s="839"/>
      <c r="AD25" s="220"/>
    </row>
    <row r="26" spans="1:30" s="531" customFormat="1" x14ac:dyDescent="0.25">
      <c r="A26" s="838"/>
      <c r="B26" s="838"/>
      <c r="C26" s="583"/>
      <c r="D26" s="583" t="s">
        <v>565</v>
      </c>
      <c r="E26" s="583"/>
      <c r="F26" s="586"/>
      <c r="G26" s="587">
        <f>'2.GatherData'!F38</f>
        <v>0</v>
      </c>
      <c r="H26" s="578">
        <f t="shared" si="0"/>
        <v>0</v>
      </c>
      <c r="I26" s="578">
        <f t="shared" si="3"/>
        <v>0</v>
      </c>
      <c r="J26" s="578">
        <f t="shared" si="1"/>
        <v>0</v>
      </c>
      <c r="K26" s="578">
        <f t="shared" si="4"/>
        <v>0</v>
      </c>
      <c r="M26" s="837">
        <f>'2.GatherData'!H38</f>
        <v>0</v>
      </c>
      <c r="N26" s="837"/>
      <c r="O26" s="837"/>
      <c r="P26" s="837"/>
      <c r="Q26" s="837"/>
      <c r="R26" s="838"/>
      <c r="S26" s="837">
        <f>'2.GatherData'!J38</f>
        <v>0</v>
      </c>
      <c r="T26" s="837"/>
      <c r="U26" s="837"/>
      <c r="V26" s="837"/>
      <c r="W26" s="837"/>
      <c r="X26" s="838"/>
      <c r="Y26" s="837">
        <f>'2.GatherData'!L38</f>
        <v>0</v>
      </c>
      <c r="Z26" s="837"/>
      <c r="AA26" s="837"/>
      <c r="AB26" s="837"/>
      <c r="AC26" s="837"/>
    </row>
    <row r="27" spans="1:30" x14ac:dyDescent="0.25">
      <c r="C27" s="220"/>
      <c r="D27" s="220"/>
      <c r="E27" s="220"/>
      <c r="F27" s="220"/>
      <c r="K27" s="220"/>
    </row>
    <row r="28" spans="1:30" x14ac:dyDescent="0.25">
      <c r="C28" s="523" t="s">
        <v>602</v>
      </c>
      <c r="E28" s="220"/>
      <c r="F28" s="220"/>
      <c r="K28" s="220"/>
    </row>
    <row r="29" spans="1:30" s="531" customFormat="1" x14ac:dyDescent="0.25">
      <c r="C29" s="583"/>
      <c r="D29" s="583"/>
      <c r="E29" s="583" t="str">
        <f>G3</f>
        <v>Trash</v>
      </c>
      <c r="F29" s="583" t="s">
        <v>614</v>
      </c>
      <c r="G29" s="583" t="str">
        <f>M3</f>
        <v>N/A</v>
      </c>
      <c r="H29" s="583" t="str">
        <f>S3</f>
        <v>N/A</v>
      </c>
      <c r="I29" s="583" t="str">
        <f>Y3</f>
        <v>N/A</v>
      </c>
      <c r="L29" s="585"/>
      <c r="M29" s="836"/>
      <c r="N29" s="838"/>
      <c r="O29" s="838"/>
      <c r="P29" s="838"/>
      <c r="Q29" s="838"/>
      <c r="R29" s="838"/>
      <c r="S29" s="838"/>
      <c r="T29" s="838"/>
      <c r="U29" s="838"/>
      <c r="V29" s="838"/>
      <c r="W29" s="838"/>
      <c r="X29" s="838"/>
      <c r="Y29" s="838"/>
      <c r="Z29" s="838"/>
      <c r="AA29" s="838"/>
      <c r="AB29" s="838"/>
      <c r="AC29" s="838"/>
    </row>
    <row r="30" spans="1:30" x14ac:dyDescent="0.25">
      <c r="C30" s="578" t="s">
        <v>578</v>
      </c>
      <c r="D30" s="578" t="s">
        <v>202</v>
      </c>
      <c r="E30" s="578">
        <f>SUMIF(materialcat,$C30,$G$6:$G$25)*100</f>
        <v>0</v>
      </c>
      <c r="F30" s="578" t="str">
        <f>D30&amp;", "&amp;E30&amp;"%"</f>
        <v>Trash, 0%</v>
      </c>
      <c r="G30" s="578">
        <f>SUMIF(materialcat,$C30,$M$6:$M$25)</f>
        <v>0</v>
      </c>
      <c r="H30" s="578">
        <f>SUMIF(materialcat,$C30,$S$6:$S$25)</f>
        <v>0</v>
      </c>
      <c r="I30" s="578">
        <f>SUMIF(materialcat,$C30,$Y$6:$Y$25)</f>
        <v>0</v>
      </c>
      <c r="K30" s="220"/>
      <c r="L30" s="585"/>
    </row>
    <row r="31" spans="1:30" x14ac:dyDescent="0.25">
      <c r="C31" s="578" t="s">
        <v>577</v>
      </c>
      <c r="D31" s="584" t="s">
        <v>572</v>
      </c>
      <c r="E31" s="578">
        <f>SUMIF(materialcat,$C31,$G$6:$G$25)*100</f>
        <v>0</v>
      </c>
      <c r="F31" s="578" t="str">
        <f t="shared" ref="F31:F32" si="5">D31&amp;", "&amp;E31&amp;"%"</f>
        <v>Recyclables, 0%</v>
      </c>
      <c r="G31" s="578">
        <f>SUMIF(materialcat,$C31,$M$6:$M$25)</f>
        <v>0</v>
      </c>
      <c r="H31" s="578">
        <f>SUMIF(materialcat,$C31,$S$6:$S$25)</f>
        <v>0</v>
      </c>
      <c r="I31" s="578">
        <f>SUMIF(materialcat,$C31,$Y$6:$Y$25)</f>
        <v>0</v>
      </c>
      <c r="K31" s="220"/>
      <c r="L31" s="585"/>
    </row>
    <row r="32" spans="1:30" x14ac:dyDescent="0.25">
      <c r="C32" s="578" t="s">
        <v>163</v>
      </c>
      <c r="D32" s="584" t="s">
        <v>573</v>
      </c>
      <c r="E32" s="578">
        <f>SUMIF(materialcat,$C32,$G$6:$G$25)*100</f>
        <v>0</v>
      </c>
      <c r="F32" s="578" t="str">
        <f t="shared" si="5"/>
        <v>Compostables, 0%</v>
      </c>
      <c r="G32" s="578">
        <f>SUMIF(materialcat,$C32,$M$6:$M$25)</f>
        <v>0</v>
      </c>
      <c r="H32" s="578">
        <f>SUMIF(materialcat,$C32,$S$6:$S$25)</f>
        <v>0</v>
      </c>
      <c r="I32" s="578">
        <f>SUMIF(materialcat,$C32,$Y$6:$Y$25)</f>
        <v>0</v>
      </c>
      <c r="K32" s="220"/>
      <c r="L32" s="585"/>
    </row>
    <row r="33" spans="3:29" x14ac:dyDescent="0.25">
      <c r="K33" s="585"/>
      <c r="L33" s="585"/>
    </row>
    <row r="34" spans="3:29" x14ac:dyDescent="0.25">
      <c r="C34" s="220"/>
      <c r="K34" s="585"/>
      <c r="L34" s="585"/>
    </row>
    <row r="35" spans="3:29" x14ac:dyDescent="0.25">
      <c r="C35" s="523" t="s">
        <v>608</v>
      </c>
      <c r="I35" s="531" t="s">
        <v>629</v>
      </c>
      <c r="K35" s="585"/>
      <c r="L35" s="585"/>
    </row>
    <row r="36" spans="3:29" x14ac:dyDescent="0.25">
      <c r="K36" s="585"/>
      <c r="L36" s="585"/>
    </row>
    <row r="37" spans="3:29" s="220" customFormat="1" x14ac:dyDescent="0.25">
      <c r="D37" s="578"/>
      <c r="E37" s="578" t="s">
        <v>577</v>
      </c>
      <c r="F37" s="578" t="s">
        <v>163</v>
      </c>
      <c r="G37" s="578" t="s">
        <v>196</v>
      </c>
      <c r="I37" s="840" t="s">
        <v>719</v>
      </c>
      <c r="J37" s="883">
        <f>SUM('1.PlanAhead'!V23:V25)</f>
        <v>0</v>
      </c>
      <c r="K37" s="585"/>
      <c r="L37" s="585"/>
      <c r="M37" s="836"/>
      <c r="N37" s="836"/>
      <c r="O37" s="836"/>
      <c r="P37" s="836"/>
      <c r="Q37" s="836"/>
      <c r="R37" s="836"/>
      <c r="S37" s="836"/>
      <c r="T37" s="836"/>
      <c r="U37" s="836"/>
      <c r="V37" s="836"/>
      <c r="W37" s="836"/>
      <c r="X37" s="836"/>
      <c r="Y37" s="836"/>
      <c r="Z37" s="836"/>
      <c r="AA37" s="836"/>
      <c r="AB37" s="836"/>
      <c r="AC37" s="836"/>
    </row>
    <row r="38" spans="3:29" s="220" customFormat="1" x14ac:dyDescent="0.25">
      <c r="D38" s="578" t="s">
        <v>717</v>
      </c>
      <c r="E38" s="578">
        <f>SUMIF(materialcat,E$37,$H$6:$H$25)</f>
        <v>0</v>
      </c>
      <c r="F38" s="578">
        <f>SUMIF(materialcat,F$37,$H$6:$H$25)</f>
        <v>0</v>
      </c>
      <c r="G38" s="578">
        <f>SUM(E38:F38)</f>
        <v>0</v>
      </c>
      <c r="I38" s="841" t="s">
        <v>720</v>
      </c>
      <c r="J38" s="884">
        <f>G38</f>
        <v>0</v>
      </c>
      <c r="M38" s="836"/>
      <c r="N38" s="836"/>
      <c r="O38" s="836"/>
      <c r="P38" s="836"/>
      <c r="Q38" s="836"/>
      <c r="R38" s="836"/>
      <c r="S38" s="836"/>
      <c r="T38" s="836"/>
      <c r="U38" s="836"/>
      <c r="V38" s="836"/>
      <c r="W38" s="836"/>
      <c r="X38" s="836"/>
      <c r="Y38" s="836"/>
      <c r="Z38" s="836"/>
      <c r="AA38" s="836"/>
      <c r="AB38" s="836"/>
      <c r="AC38" s="836"/>
    </row>
    <row r="39" spans="3:29" s="220" customFormat="1" x14ac:dyDescent="0.25">
      <c r="D39" s="578" t="s">
        <v>604</v>
      </c>
      <c r="E39" s="578">
        <f>SUMIF(materialcat,E$37,$J$6:$J$25)</f>
        <v>0</v>
      </c>
      <c r="F39" s="578">
        <f>SUMIF(materialcat,F$37,$J$6:$J$25)</f>
        <v>0</v>
      </c>
      <c r="G39" s="578">
        <f t="shared" ref="G39:G40" si="6">SUM(E39:F39)</f>
        <v>0</v>
      </c>
      <c r="I39" s="841" t="s">
        <v>718</v>
      </c>
      <c r="J39" s="884">
        <f>'1.PlanAhead'!V27</f>
        <v>1</v>
      </c>
      <c r="M39" s="836"/>
      <c r="N39" s="836"/>
      <c r="O39" s="836"/>
      <c r="P39" s="836"/>
      <c r="Q39" s="836"/>
      <c r="R39" s="836"/>
      <c r="S39" s="836"/>
      <c r="T39" s="836"/>
      <c r="U39" s="836"/>
      <c r="V39" s="836"/>
      <c r="W39" s="836"/>
      <c r="X39" s="836"/>
      <c r="Y39" s="836"/>
      <c r="Z39" s="836"/>
      <c r="AA39" s="836"/>
      <c r="AB39" s="836"/>
      <c r="AC39" s="836"/>
    </row>
    <row r="40" spans="3:29" x14ac:dyDescent="0.25">
      <c r="D40" s="578" t="s">
        <v>605</v>
      </c>
      <c r="E40" s="578">
        <f>SUMIF(materialcat,E$37,$K$6:$K$25)</f>
        <v>0</v>
      </c>
      <c r="F40" s="578">
        <f>SUMIF(materialcat,F$37,$K$6:$K$25)</f>
        <v>0</v>
      </c>
      <c r="G40" s="578">
        <f t="shared" si="6"/>
        <v>0</v>
      </c>
      <c r="I40" s="842" t="s">
        <v>630</v>
      </c>
      <c r="J40" s="870">
        <f>SUM(J37:J38)/J39</f>
        <v>0</v>
      </c>
    </row>
    <row r="41" spans="3:29" x14ac:dyDescent="0.25">
      <c r="D41" s="578" t="s">
        <v>606</v>
      </c>
      <c r="E41" s="578"/>
      <c r="F41" s="578"/>
      <c r="G41" s="57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FF00"/>
    <pageSetUpPr fitToPage="1"/>
  </sheetPr>
  <dimension ref="A1:AD46"/>
  <sheetViews>
    <sheetView showGridLines="0" zoomScaleNormal="100" workbookViewId="0">
      <selection activeCell="L11" sqref="L11"/>
    </sheetView>
  </sheetViews>
  <sheetFormatPr defaultColWidth="0" defaultRowHeight="15" zeroHeight="1" x14ac:dyDescent="0.25"/>
  <cols>
    <col min="1" max="2" width="1.7109375" style="539" customWidth="1"/>
    <col min="3" max="3" width="17.5703125" style="539" customWidth="1"/>
    <col min="4" max="4" width="2.7109375" style="539" customWidth="1"/>
    <col min="5" max="5" width="8.42578125" style="539" customWidth="1"/>
    <col min="6" max="6" width="8.7109375" style="539" customWidth="1"/>
    <col min="7" max="7" width="10.28515625" style="539" customWidth="1"/>
    <col min="8" max="8" width="9.42578125" style="539" customWidth="1"/>
    <col min="9" max="9" width="8.7109375" style="539" customWidth="1"/>
    <col min="10" max="10" width="10.7109375" style="539" customWidth="1"/>
    <col min="11" max="11" width="3.28515625" style="539" customWidth="1"/>
    <col min="12" max="12" width="26.7109375" style="539" customWidth="1"/>
    <col min="13" max="13" width="3.28515625" style="224" customWidth="1"/>
    <col min="14" max="14" width="9.140625" style="539" hidden="1" customWidth="1"/>
    <col min="15" max="15" width="6.28515625" style="539" hidden="1" customWidth="1"/>
    <col min="16" max="16" width="44.140625" style="539" hidden="1" customWidth="1"/>
    <col min="17" max="17" width="8.85546875" style="539" hidden="1" customWidth="1"/>
    <col min="18" max="18" width="8.140625" style="539" hidden="1" customWidth="1"/>
    <col min="19" max="21" width="6.28515625" style="539" hidden="1" customWidth="1"/>
    <col min="22" max="22" width="11.85546875" style="539" hidden="1" customWidth="1"/>
    <col min="23" max="23" width="4.42578125" style="539" hidden="1" customWidth="1"/>
    <col min="24" max="24" width="11.42578125" style="539" hidden="1" customWidth="1"/>
    <col min="25" max="25" width="2.5703125" style="539" hidden="1" customWidth="1"/>
    <col min="26" max="26" width="16.28515625" style="539" hidden="1" customWidth="1"/>
    <col min="27" max="27" width="9.140625" style="539" hidden="1" customWidth="1"/>
    <col min="28" max="28" width="16.85546875" style="539" hidden="1" customWidth="1"/>
    <col min="29" max="29" width="2.5703125" style="539" hidden="1" customWidth="1"/>
    <col min="30" max="30" width="21.140625" style="539" hidden="1" customWidth="1"/>
    <col min="31" max="16384" width="9.140625" style="539" hidden="1"/>
  </cols>
  <sheetData>
    <row r="1" spans="2:13" ht="36" customHeight="1" x14ac:dyDescent="0.25">
      <c r="B1" s="656" t="s">
        <v>631</v>
      </c>
      <c r="J1" s="946"/>
      <c r="K1" s="946"/>
      <c r="L1" s="946"/>
    </row>
    <row r="2" spans="2:13" s="665" customFormat="1" ht="23.25" x14ac:dyDescent="0.35">
      <c r="B2" s="657" t="s">
        <v>541</v>
      </c>
      <c r="C2" s="664"/>
      <c r="D2" s="664"/>
      <c r="E2" s="664"/>
      <c r="F2" s="664"/>
      <c r="G2" s="664"/>
      <c r="H2" s="664"/>
      <c r="I2" s="664"/>
      <c r="J2" s="664"/>
      <c r="K2" s="664"/>
      <c r="L2" s="664"/>
      <c r="M2" s="681"/>
    </row>
    <row r="3" spans="2:13" ht="9" customHeight="1" x14ac:dyDescent="0.25">
      <c r="B3" s="541"/>
      <c r="M3" s="682"/>
    </row>
    <row r="4" spans="2:13" ht="18.75" customHeight="1" x14ac:dyDescent="0.3">
      <c r="B4" s="658"/>
      <c r="C4" s="640" t="s">
        <v>571</v>
      </c>
      <c r="D4" s="555"/>
      <c r="E4" s="555"/>
      <c r="F4" s="555"/>
      <c r="G4" s="555"/>
      <c r="H4" s="555"/>
      <c r="I4" s="555"/>
      <c r="J4" s="555"/>
      <c r="K4" s="555"/>
      <c r="L4" s="555"/>
      <c r="M4" s="683"/>
    </row>
    <row r="5" spans="2:13" ht="25.5" customHeight="1" x14ac:dyDescent="0.25">
      <c r="B5" s="541"/>
      <c r="C5" s="561" t="s">
        <v>745</v>
      </c>
      <c r="D5" s="540"/>
      <c r="M5" s="682"/>
    </row>
    <row r="6" spans="2:13" ht="18" customHeight="1" x14ac:dyDescent="0.25">
      <c r="B6" s="541"/>
      <c r="C6" s="556" t="s">
        <v>738</v>
      </c>
      <c r="D6" s="556"/>
      <c r="M6" s="682"/>
    </row>
    <row r="7" spans="2:13" ht="18" customHeight="1" x14ac:dyDescent="0.25">
      <c r="B7" s="541"/>
      <c r="C7" s="556" t="s">
        <v>739</v>
      </c>
      <c r="D7" s="556"/>
      <c r="M7" s="682"/>
    </row>
    <row r="8" spans="2:13" ht="18" customHeight="1" x14ac:dyDescent="0.25">
      <c r="B8" s="541"/>
      <c r="C8" s="556" t="s">
        <v>751</v>
      </c>
      <c r="D8" s="556"/>
      <c r="M8" s="682"/>
    </row>
    <row r="9" spans="2:13" ht="18" customHeight="1" x14ac:dyDescent="0.25">
      <c r="B9" s="541"/>
      <c r="C9" s="556" t="s">
        <v>740</v>
      </c>
      <c r="D9" s="556"/>
      <c r="M9" s="682"/>
    </row>
    <row r="10" spans="2:13" s="548" customFormat="1" ht="6.75" customHeight="1" x14ac:dyDescent="0.25">
      <c r="C10" s="562"/>
      <c r="D10" s="558"/>
      <c r="M10" s="321"/>
    </row>
    <row r="11" spans="2:13" ht="8.25" customHeight="1" x14ac:dyDescent="0.25">
      <c r="C11" s="557"/>
      <c r="D11" s="557"/>
      <c r="E11" s="949"/>
      <c r="F11" s="949"/>
      <c r="G11" s="949"/>
      <c r="H11" s="949"/>
      <c r="I11" s="949"/>
      <c r="J11" s="949"/>
    </row>
    <row r="12" spans="2:13" ht="3.75" customHeight="1" x14ac:dyDescent="0.25">
      <c r="C12" s="547"/>
      <c r="D12" s="547"/>
    </row>
    <row r="13" spans="2:13" ht="18" customHeight="1" x14ac:dyDescent="0.3">
      <c r="B13" s="658"/>
      <c r="C13" s="902" t="s">
        <v>746</v>
      </c>
    </row>
    <row r="14" spans="2:13" ht="25.5" customHeight="1" x14ac:dyDescent="0.25">
      <c r="C14" s="666" t="s">
        <v>741</v>
      </c>
      <c r="D14" s="559"/>
    </row>
    <row r="15" spans="2:13" ht="30.75" customHeight="1" x14ac:dyDescent="0.25">
      <c r="C15" s="667" t="s">
        <v>749</v>
      </c>
      <c r="D15" s="559"/>
    </row>
    <row r="16" spans="2:13" ht="35.25" customHeight="1" x14ac:dyDescent="0.25">
      <c r="C16" s="962" t="s">
        <v>742</v>
      </c>
      <c r="D16" s="963"/>
      <c r="E16" s="963"/>
      <c r="F16" s="963"/>
      <c r="G16" s="963"/>
      <c r="H16" s="963"/>
      <c r="I16" s="963"/>
      <c r="J16" s="963"/>
      <c r="K16" s="963"/>
      <c r="L16" s="964"/>
    </row>
    <row r="17" spans="1:30" s="548" customFormat="1" ht="21" customHeight="1" x14ac:dyDescent="0.25">
      <c r="C17" s="878" t="s">
        <v>743</v>
      </c>
      <c r="D17" s="879"/>
      <c r="E17" s="879"/>
      <c r="F17" s="879"/>
      <c r="G17" s="876" t="s">
        <v>716</v>
      </c>
      <c r="H17" s="880"/>
      <c r="I17" s="879"/>
      <c r="J17" s="879"/>
      <c r="K17" s="879"/>
      <c r="L17" s="881"/>
      <c r="M17" s="321"/>
    </row>
    <row r="18" spans="1:30" s="548" customFormat="1" ht="37.5" customHeight="1" x14ac:dyDescent="0.25">
      <c r="C18" s="965" t="s">
        <v>752</v>
      </c>
      <c r="D18" s="966"/>
      <c r="E18" s="966"/>
      <c r="F18" s="966"/>
      <c r="G18" s="966"/>
      <c r="H18" s="966"/>
      <c r="I18" s="966"/>
      <c r="J18" s="966"/>
      <c r="K18" s="966"/>
      <c r="L18" s="967"/>
      <c r="M18" s="321"/>
    </row>
    <row r="19" spans="1:30" ht="9.75" customHeight="1" x14ac:dyDescent="0.25">
      <c r="C19" s="874"/>
      <c r="D19" s="873"/>
      <c r="E19" s="873"/>
      <c r="F19" s="873"/>
      <c r="G19" s="875"/>
      <c r="H19" s="874"/>
      <c r="I19" s="873"/>
      <c r="J19" s="873"/>
      <c r="K19" s="873"/>
      <c r="L19" s="873"/>
    </row>
    <row r="20" spans="1:30" s="668" customFormat="1" ht="25.5" customHeight="1" x14ac:dyDescent="0.25">
      <c r="C20" s="950" t="s">
        <v>644</v>
      </c>
      <c r="D20" s="672"/>
      <c r="E20" s="958" t="s">
        <v>643</v>
      </c>
      <c r="F20" s="958"/>
      <c r="G20" s="959"/>
      <c r="H20" s="952" t="s">
        <v>256</v>
      </c>
      <c r="I20" s="954" t="s">
        <v>85</v>
      </c>
      <c r="J20" s="956" t="s">
        <v>547</v>
      </c>
      <c r="K20" s="672"/>
      <c r="L20" s="678" t="s">
        <v>576</v>
      </c>
      <c r="M20" s="669"/>
      <c r="N20" s="670"/>
    </row>
    <row r="21" spans="1:30" s="549" customFormat="1" ht="14.25" customHeight="1" x14ac:dyDescent="0.25">
      <c r="A21" s="671"/>
      <c r="B21" s="671"/>
      <c r="C21" s="951"/>
      <c r="D21" s="559"/>
      <c r="E21" s="759" t="s">
        <v>373</v>
      </c>
      <c r="F21" s="760" t="s">
        <v>171</v>
      </c>
      <c r="G21" s="760" t="s">
        <v>570</v>
      </c>
      <c r="H21" s="953"/>
      <c r="I21" s="955"/>
      <c r="J21" s="957"/>
      <c r="K21" s="676"/>
      <c r="L21" s="739" t="s">
        <v>651</v>
      </c>
      <c r="M21" s="684"/>
      <c r="N21" s="671"/>
      <c r="R21" s="549" t="s">
        <v>587</v>
      </c>
      <c r="S21" s="549" t="s">
        <v>588</v>
      </c>
      <c r="T21" s="549" t="s">
        <v>589</v>
      </c>
      <c r="U21" s="549" t="s">
        <v>591</v>
      </c>
      <c r="V21" s="549" t="s">
        <v>592</v>
      </c>
      <c r="W21" s="549" t="s">
        <v>594</v>
      </c>
      <c r="X21" s="549" t="s">
        <v>593</v>
      </c>
      <c r="Z21" s="550" t="s">
        <v>595</v>
      </c>
      <c r="AD21" s="550" t="s">
        <v>596</v>
      </c>
    </row>
    <row r="22" spans="1:30" ht="19.5" customHeight="1" x14ac:dyDescent="0.25">
      <c r="C22" s="872" t="s">
        <v>202</v>
      </c>
      <c r="D22" s="559"/>
      <c r="E22" s="888"/>
      <c r="F22" s="889" t="s">
        <v>21</v>
      </c>
      <c r="G22" s="890"/>
      <c r="H22" s="888"/>
      <c r="I22" s="888"/>
      <c r="J22" s="928"/>
      <c r="K22" s="571"/>
      <c r="L22" s="677"/>
      <c r="M22" s="685"/>
      <c r="Q22" s="576" t="s">
        <v>202</v>
      </c>
      <c r="R22" s="576">
        <f>IF(F22="gal",galpercy,1)</f>
        <v>1</v>
      </c>
      <c r="S22" s="576">
        <f>E22/R22</f>
        <v>0</v>
      </c>
      <c r="T22" s="897" t="b">
        <v>0</v>
      </c>
      <c r="U22" s="576">
        <f>S22*IF(T22,2,1)</f>
        <v>0</v>
      </c>
      <c r="V22" s="577">
        <f>U22*H22*I22</f>
        <v>0</v>
      </c>
      <c r="W22" s="897">
        <v>3</v>
      </c>
      <c r="X22" s="577">
        <f>V22*VLOOKUP(W22,fullness,2)</f>
        <v>0</v>
      </c>
      <c r="Z22" s="577" t="s">
        <v>202</v>
      </c>
      <c r="AA22" s="579">
        <f>V22/$V$27*100</f>
        <v>0</v>
      </c>
      <c r="AB22" s="577" t="str">
        <f>IF(Z22="","",Z22&amp;", "&amp;AA22&amp;"%")</f>
        <v>Trash, 0%</v>
      </c>
      <c r="AD22" s="580">
        <f>SUM(V23:V25)/V27</f>
        <v>0</v>
      </c>
    </row>
    <row r="23" spans="1:30" ht="19.5" customHeight="1" x14ac:dyDescent="0.25">
      <c r="C23" s="885" t="s">
        <v>713</v>
      </c>
      <c r="D23" s="559"/>
      <c r="E23" s="891"/>
      <c r="F23" s="921" t="s">
        <v>21</v>
      </c>
      <c r="G23" s="892"/>
      <c r="H23" s="891"/>
      <c r="I23" s="891"/>
      <c r="J23" s="929"/>
      <c r="K23" s="571"/>
      <c r="L23" s="673"/>
      <c r="M23" s="685"/>
      <c r="Q23" s="576" t="s">
        <v>566</v>
      </c>
      <c r="R23" s="576">
        <f>IF(F23="gal",galpercy,1)</f>
        <v>1</v>
      </c>
      <c r="S23" s="576">
        <f t="shared" ref="S23:S25" si="0">E23/R23</f>
        <v>0</v>
      </c>
      <c r="T23" s="897" t="b">
        <v>0</v>
      </c>
      <c r="U23" s="576">
        <f t="shared" ref="U23:U25" si="1">S23*IF(T23,2,1)</f>
        <v>0</v>
      </c>
      <c r="V23" s="577">
        <f t="shared" ref="V23:V25" si="2">U23*H23*I23</f>
        <v>0</v>
      </c>
      <c r="W23" s="897">
        <v>3</v>
      </c>
      <c r="X23" s="577">
        <f>V23*VLOOKUP(W23,fullness,2)</f>
        <v>0</v>
      </c>
      <c r="Z23" s="577" t="str">
        <f>IF(OR(C23="Recycle 1 (select)",C23="N/A"),"",C23)</f>
        <v/>
      </c>
      <c r="AA23" s="579">
        <f t="shared" ref="AA23:AA25" si="3">V23/$V$27*100</f>
        <v>0</v>
      </c>
      <c r="AB23" s="577" t="str">
        <f t="shared" ref="AB23:AB25" si="4">IF(Z23="","",Z23&amp;", "&amp;AA23&amp;"%")</f>
        <v/>
      </c>
    </row>
    <row r="24" spans="1:30" ht="19.5" customHeight="1" x14ac:dyDescent="0.25">
      <c r="C24" s="886" t="s">
        <v>714</v>
      </c>
      <c r="D24" s="559"/>
      <c r="E24" s="893"/>
      <c r="F24" s="922" t="s">
        <v>21</v>
      </c>
      <c r="G24" s="894"/>
      <c r="H24" s="893"/>
      <c r="I24" s="893"/>
      <c r="J24" s="930"/>
      <c r="K24" s="571"/>
      <c r="L24" s="674"/>
      <c r="M24" s="685"/>
      <c r="Q24" s="576" t="s">
        <v>567</v>
      </c>
      <c r="R24" s="576">
        <f>IF(F24="gal",galpercy,1)</f>
        <v>1</v>
      </c>
      <c r="S24" s="576">
        <f t="shared" si="0"/>
        <v>0</v>
      </c>
      <c r="T24" s="897" t="b">
        <v>0</v>
      </c>
      <c r="U24" s="576">
        <f t="shared" si="1"/>
        <v>0</v>
      </c>
      <c r="V24" s="577">
        <f t="shared" si="2"/>
        <v>0</v>
      </c>
      <c r="W24" s="897">
        <v>3</v>
      </c>
      <c r="X24" s="577">
        <f>V24*VLOOKUP(W24,fullness,2)</f>
        <v>0</v>
      </c>
      <c r="Z24" s="577" t="str">
        <f>IF(OR(C24="N/A",C24="Recycle 2 (select)"),"",C24)</f>
        <v/>
      </c>
      <c r="AA24" s="579">
        <f t="shared" si="3"/>
        <v>0</v>
      </c>
      <c r="AB24" s="577" t="str">
        <f t="shared" si="4"/>
        <v/>
      </c>
    </row>
    <row r="25" spans="1:30" ht="19.5" customHeight="1" x14ac:dyDescent="0.25">
      <c r="C25" s="887" t="s">
        <v>715</v>
      </c>
      <c r="D25" s="559"/>
      <c r="E25" s="895"/>
      <c r="F25" s="923" t="s">
        <v>21</v>
      </c>
      <c r="G25" s="896"/>
      <c r="H25" s="895"/>
      <c r="I25" s="895"/>
      <c r="J25" s="931"/>
      <c r="K25" s="571"/>
      <c r="L25" s="675"/>
      <c r="M25" s="685"/>
      <c r="Q25" s="576" t="s">
        <v>26</v>
      </c>
      <c r="R25" s="576">
        <f>IF(F25="gal",galpercy,1)</f>
        <v>1</v>
      </c>
      <c r="S25" s="576">
        <f t="shared" si="0"/>
        <v>0</v>
      </c>
      <c r="T25" s="897" t="b">
        <v>0</v>
      </c>
      <c r="U25" s="576">
        <f t="shared" si="1"/>
        <v>0</v>
      </c>
      <c r="V25" s="577">
        <f t="shared" si="2"/>
        <v>0</v>
      </c>
      <c r="W25" s="897">
        <v>3</v>
      </c>
      <c r="X25" s="577">
        <f>V25*VLOOKUP(W25,fullness,2)</f>
        <v>0</v>
      </c>
      <c r="Z25" s="577" t="str">
        <f>IF(OR(C25="N/A",C25="Compost (select)"),"",C25)</f>
        <v/>
      </c>
      <c r="AA25" s="579">
        <f t="shared" si="3"/>
        <v>0</v>
      </c>
      <c r="AB25" s="577" t="str">
        <f t="shared" si="4"/>
        <v/>
      </c>
    </row>
    <row r="26" spans="1:30" ht="19.5" customHeight="1" x14ac:dyDescent="0.25">
      <c r="C26" s="859"/>
      <c r="D26" s="559"/>
      <c r="E26" s="860"/>
      <c r="F26" s="861"/>
      <c r="G26" s="862"/>
      <c r="H26" s="960" t="s">
        <v>712</v>
      </c>
      <c r="I26" s="961"/>
      <c r="J26" s="863">
        <f>SUM(J22:J25)</f>
        <v>0</v>
      </c>
      <c r="K26" s="571"/>
      <c r="L26" s="571"/>
      <c r="M26" s="570"/>
      <c r="Q26" s="857"/>
      <c r="R26" s="857"/>
      <c r="S26" s="857"/>
      <c r="T26" s="857"/>
      <c r="U26" s="857"/>
      <c r="W26" s="857"/>
      <c r="AA26" s="858"/>
    </row>
    <row r="27" spans="1:30" ht="9.75" customHeight="1" x14ac:dyDescent="0.25">
      <c r="C27" s="563"/>
      <c r="D27" s="559"/>
      <c r="E27" s="570"/>
      <c r="F27" s="570"/>
      <c r="G27" s="570"/>
      <c r="H27" s="570"/>
      <c r="I27" s="570"/>
      <c r="J27" s="571"/>
      <c r="K27" s="571"/>
      <c r="L27" s="571"/>
      <c r="M27" s="685"/>
      <c r="U27" s="543"/>
      <c r="V27" s="543">
        <f>IF(SUM(V22:V25)=0,1,SUM(V22:V25))</f>
        <v>1</v>
      </c>
      <c r="W27" s="543"/>
      <c r="X27" s="543">
        <f>SUM(X22:X25)</f>
        <v>0</v>
      </c>
      <c r="Y27" s="543"/>
    </row>
    <row r="28" spans="1:30" ht="11.25" customHeight="1" x14ac:dyDescent="0.25">
      <c r="A28" s="224"/>
      <c r="B28" s="224"/>
      <c r="C28" s="560"/>
      <c r="D28" s="560"/>
    </row>
    <row r="29" spans="1:30" s="641" customFormat="1" ht="18.75" customHeight="1" x14ac:dyDescent="0.3">
      <c r="A29" s="642"/>
      <c r="B29" s="645"/>
      <c r="C29" s="679" t="s">
        <v>744</v>
      </c>
      <c r="D29" s="645"/>
      <c r="E29" s="645"/>
      <c r="F29" s="645"/>
      <c r="G29" s="645"/>
      <c r="H29" s="645"/>
      <c r="I29" s="645"/>
      <c r="J29" s="645"/>
      <c r="K29" s="645"/>
      <c r="L29" s="645"/>
      <c r="M29" s="642"/>
    </row>
    <row r="30" spans="1:30" ht="57.75" customHeight="1" x14ac:dyDescent="0.25">
      <c r="A30" s="224"/>
      <c r="B30" s="647"/>
      <c r="C30" s="968" t="s">
        <v>754</v>
      </c>
      <c r="D30" s="968"/>
      <c r="E30" s="968"/>
      <c r="F30" s="968"/>
      <c r="G30" s="968"/>
      <c r="H30" s="968"/>
      <c r="I30" s="968"/>
      <c r="J30" s="680"/>
      <c r="K30" s="680"/>
      <c r="L30" s="680"/>
    </row>
    <row r="31" spans="1:30" x14ac:dyDescent="0.25">
      <c r="A31" s="224"/>
      <c r="B31" s="680"/>
      <c r="C31" s="948" t="s">
        <v>645</v>
      </c>
      <c r="D31" s="948"/>
      <c r="E31" s="948"/>
      <c r="F31" s="948" t="s">
        <v>646</v>
      </c>
      <c r="G31" s="948"/>
      <c r="H31" s="948"/>
      <c r="I31" s="948"/>
      <c r="J31" s="680"/>
      <c r="K31" s="680"/>
      <c r="L31" s="680"/>
    </row>
    <row r="32" spans="1:30" ht="78.75" customHeight="1" x14ac:dyDescent="0.25">
      <c r="A32" s="224"/>
      <c r="B32" s="680"/>
      <c r="C32" s="947" t="s">
        <v>665</v>
      </c>
      <c r="D32" s="947"/>
      <c r="E32" s="947"/>
      <c r="F32" s="945" t="s">
        <v>666</v>
      </c>
      <c r="G32" s="945"/>
      <c r="H32" s="945"/>
      <c r="I32" s="688"/>
      <c r="J32" s="688"/>
      <c r="K32" s="688"/>
      <c r="L32" s="686"/>
      <c r="M32" s="687"/>
    </row>
    <row r="33" spans="2:13" ht="6" customHeight="1" x14ac:dyDescent="0.25"/>
    <row r="34" spans="2:13" ht="6" customHeight="1" x14ac:dyDescent="0.25">
      <c r="B34" s="221"/>
      <c r="C34" s="567"/>
      <c r="D34" s="543"/>
      <c r="E34" s="569"/>
      <c r="F34" s="567"/>
      <c r="G34" s="567"/>
      <c r="H34" s="567"/>
      <c r="I34" s="567"/>
      <c r="J34" s="567"/>
      <c r="K34" s="567"/>
      <c r="L34" s="567"/>
    </row>
    <row r="35" spans="2:13" ht="18" customHeight="1" x14ac:dyDescent="0.25">
      <c r="B35" s="535"/>
      <c r="C35" s="567"/>
      <c r="D35" s="567"/>
      <c r="E35" s="567"/>
      <c r="F35" s="567"/>
      <c r="G35" s="567"/>
      <c r="H35" s="567"/>
      <c r="I35" s="567"/>
      <c r="J35" s="567"/>
      <c r="K35" s="567"/>
      <c r="L35" s="567"/>
    </row>
    <row r="36" spans="2:13" x14ac:dyDescent="0.25">
      <c r="B36" s="535"/>
      <c r="C36" s="567"/>
      <c r="D36" s="567"/>
      <c r="E36" s="567"/>
      <c r="F36" s="567"/>
      <c r="G36" s="567"/>
      <c r="H36" s="567"/>
      <c r="I36" s="567"/>
      <c r="J36" s="567"/>
      <c r="K36" s="567"/>
      <c r="L36" s="567"/>
    </row>
    <row r="37" spans="2:13" x14ac:dyDescent="0.25">
      <c r="B37" s="535"/>
      <c r="C37" s="567"/>
      <c r="D37" s="567"/>
      <c r="E37" s="567"/>
      <c r="F37" s="567"/>
      <c r="G37" s="567"/>
      <c r="H37" s="567"/>
      <c r="I37" s="567"/>
      <c r="J37" s="567"/>
      <c r="K37" s="567"/>
      <c r="L37" s="567"/>
    </row>
    <row r="38" spans="2:13" x14ac:dyDescent="0.25">
      <c r="B38" s="689"/>
      <c r="C38" s="639"/>
      <c r="D38" s="639"/>
      <c r="E38" s="639"/>
      <c r="F38" s="639"/>
      <c r="G38" s="639"/>
      <c r="H38" s="639"/>
      <c r="I38" s="639"/>
      <c r="J38" s="639"/>
      <c r="K38" s="639"/>
      <c r="L38" s="639"/>
    </row>
    <row r="39" spans="2:13" s="548" customFormat="1" ht="18.75" customHeight="1" x14ac:dyDescent="0.25">
      <c r="B39" s="910" t="s">
        <v>760</v>
      </c>
      <c r="M39" s="321"/>
    </row>
    <row r="40" spans="2:13" ht="9.75" customHeight="1" x14ac:dyDescent="0.25"/>
    <row r="41" spans="2:13" hidden="1" x14ac:dyDescent="0.25"/>
    <row r="42" spans="2:13" hidden="1" x14ac:dyDescent="0.25"/>
    <row r="43" spans="2:13" hidden="1" x14ac:dyDescent="0.25"/>
    <row r="44" spans="2:13" hidden="1" x14ac:dyDescent="0.25"/>
    <row r="45" spans="2:13" hidden="1" x14ac:dyDescent="0.25"/>
    <row r="46" spans="2:13" hidden="1" x14ac:dyDescent="0.25"/>
  </sheetData>
  <sheetProtection algorithmName="SHA-512" hashValue="K+Bs3UxZFhH7gjWUTFNVlA+Ar+PODjhlh7SqnGN8aqtIFyJRtdrcWoKVFXME1LBftrdtGbawvqUk6ceZj2hvkQ==" saltValue="XaQBYTU1vYJ7C1VZOCaa1Q==" spinCount="100000" sheet="1" objects="1" scenarios="1"/>
  <mergeCells count="15">
    <mergeCell ref="F32:H32"/>
    <mergeCell ref="J1:L1"/>
    <mergeCell ref="C32:E32"/>
    <mergeCell ref="C31:E31"/>
    <mergeCell ref="F31:I31"/>
    <mergeCell ref="E11:J11"/>
    <mergeCell ref="C20:C21"/>
    <mergeCell ref="H20:H21"/>
    <mergeCell ref="I20:I21"/>
    <mergeCell ref="J20:J21"/>
    <mergeCell ref="E20:G20"/>
    <mergeCell ref="H26:I26"/>
    <mergeCell ref="C16:L16"/>
    <mergeCell ref="C18:L18"/>
    <mergeCell ref="C30:I30"/>
  </mergeCells>
  <conditionalFormatting sqref="N20">
    <cfRule type="expression" dxfId="104" priority="14">
      <formula>#REF!="yes"</formula>
    </cfRule>
  </conditionalFormatting>
  <conditionalFormatting sqref="C23">
    <cfRule type="expression" dxfId="103" priority="7">
      <formula>RIGHT($C$23,3)="se)"</formula>
    </cfRule>
  </conditionalFormatting>
  <conditionalFormatting sqref="C24">
    <cfRule type="expression" dxfId="102" priority="6">
      <formula>RIGHT($C$24,3)="se)"</formula>
    </cfRule>
  </conditionalFormatting>
  <conditionalFormatting sqref="C25:C26">
    <cfRule type="expression" dxfId="101" priority="5">
      <formula>RIGHT($C$25,3)="se)"</formula>
    </cfRule>
  </conditionalFormatting>
  <conditionalFormatting sqref="C22:J25">
    <cfRule type="containsText" dxfId="100" priority="4" operator="containsText" text="(select)">
      <formula>NOT(ISERROR(SEARCH("(select)",C22)))</formula>
    </cfRule>
  </conditionalFormatting>
  <conditionalFormatting sqref="C22:L25">
    <cfRule type="containsText" dxfId="99" priority="3" operator="containsText" text="N/A">
      <formula>NOT(ISERROR(SEARCH("N/A",C22)))</formula>
    </cfRule>
  </conditionalFormatting>
  <conditionalFormatting sqref="H22:J25">
    <cfRule type="containsBlanks" dxfId="98" priority="2">
      <formula>LEN(TRIM(H22))=0</formula>
    </cfRule>
  </conditionalFormatting>
  <conditionalFormatting sqref="E22:E25">
    <cfRule type="containsBlanks" dxfId="97" priority="1">
      <formula>LEN(TRIM(E22))=0</formula>
    </cfRule>
  </conditionalFormatting>
  <dataValidations count="4">
    <dataValidation type="list" allowBlank="1" showInputMessage="1" showErrorMessage="1" sqref="F22:F26">
      <formula1>units</formula1>
    </dataValidation>
    <dataValidation type="list" allowBlank="1" showInputMessage="1" showErrorMessage="1" sqref="C23">
      <formula1>rtypes1</formula1>
    </dataValidation>
    <dataValidation type="list" allowBlank="1" showInputMessage="1" showErrorMessage="1" sqref="C24">
      <formula1>rtypes2</formula1>
    </dataValidation>
    <dataValidation type="list" allowBlank="1" showInputMessage="1" showErrorMessage="1" sqref="C25:C26">
      <formula1>ctypes</formula1>
    </dataValidation>
  </dataValidations>
  <pageMargins left="0.7" right="0.7" top="0.75" bottom="0.75" header="0.3" footer="0.3"/>
  <pageSetup scale="7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89" r:id="rId4" name="Check Box 29">
              <controlPr defaultSize="0" autoFill="0" autoLine="0" autoPict="0">
                <anchor moveWithCells="1">
                  <from>
                    <xdr:col>2</xdr:col>
                    <xdr:colOff>400050</xdr:colOff>
                    <xdr:row>8</xdr:row>
                    <xdr:rowOff>9525</xdr:rowOff>
                  </from>
                  <to>
                    <xdr:col>2</xdr:col>
                    <xdr:colOff>704850</xdr:colOff>
                    <xdr:row>9</xdr:row>
                    <xdr:rowOff>0</xdr:rowOff>
                  </to>
                </anchor>
              </controlPr>
            </control>
          </mc:Choice>
        </mc:AlternateContent>
        <mc:AlternateContent xmlns:mc="http://schemas.openxmlformats.org/markup-compatibility/2006">
          <mc:Choice Requires="x14">
            <control shapeId="40990" r:id="rId5" name="Check Box 30">
              <controlPr defaultSize="0" autoFill="0" autoLine="0" autoPict="0">
                <anchor moveWithCells="1">
                  <from>
                    <xdr:col>2</xdr:col>
                    <xdr:colOff>400050</xdr:colOff>
                    <xdr:row>5</xdr:row>
                    <xdr:rowOff>9525</xdr:rowOff>
                  </from>
                  <to>
                    <xdr:col>2</xdr:col>
                    <xdr:colOff>704850</xdr:colOff>
                    <xdr:row>6</xdr:row>
                    <xdr:rowOff>0</xdr:rowOff>
                  </to>
                </anchor>
              </controlPr>
            </control>
          </mc:Choice>
        </mc:AlternateContent>
        <mc:AlternateContent xmlns:mc="http://schemas.openxmlformats.org/markup-compatibility/2006">
          <mc:Choice Requires="x14">
            <control shapeId="40991" r:id="rId6" name="Check Box 31">
              <controlPr defaultSize="0" autoFill="0" autoLine="0" autoPict="0">
                <anchor moveWithCells="1">
                  <from>
                    <xdr:col>2</xdr:col>
                    <xdr:colOff>400050</xdr:colOff>
                    <xdr:row>6</xdr:row>
                    <xdr:rowOff>9525</xdr:rowOff>
                  </from>
                  <to>
                    <xdr:col>2</xdr:col>
                    <xdr:colOff>704850</xdr:colOff>
                    <xdr:row>7</xdr:row>
                    <xdr:rowOff>0</xdr:rowOff>
                  </to>
                </anchor>
              </controlPr>
            </control>
          </mc:Choice>
        </mc:AlternateContent>
        <mc:AlternateContent xmlns:mc="http://schemas.openxmlformats.org/markup-compatibility/2006">
          <mc:Choice Requires="x14">
            <control shapeId="40992" r:id="rId7" name="Check Box 32">
              <controlPr defaultSize="0" autoFill="0" autoLine="0" autoPict="0">
                <anchor moveWithCells="1">
                  <from>
                    <xdr:col>2</xdr:col>
                    <xdr:colOff>400050</xdr:colOff>
                    <xdr:row>7</xdr:row>
                    <xdr:rowOff>9525</xdr:rowOff>
                  </from>
                  <to>
                    <xdr:col>2</xdr:col>
                    <xdr:colOff>704850</xdr:colOff>
                    <xdr:row>8</xdr:row>
                    <xdr:rowOff>0</xdr:rowOff>
                  </to>
                </anchor>
              </controlPr>
            </control>
          </mc:Choice>
        </mc:AlternateContent>
        <mc:AlternateContent xmlns:mc="http://schemas.openxmlformats.org/markup-compatibility/2006">
          <mc:Choice Requires="x14">
            <control shapeId="40996" r:id="rId8" name="Check Box 36">
              <controlPr defaultSize="0" autoFill="0" autoLine="0" autoPict="0">
                <anchor moveWithCells="1">
                  <from>
                    <xdr:col>6</xdr:col>
                    <xdr:colOff>190500</xdr:colOff>
                    <xdr:row>21</xdr:row>
                    <xdr:rowOff>19050</xdr:rowOff>
                  </from>
                  <to>
                    <xdr:col>6</xdr:col>
                    <xdr:colOff>495300</xdr:colOff>
                    <xdr:row>21</xdr:row>
                    <xdr:rowOff>238125</xdr:rowOff>
                  </to>
                </anchor>
              </controlPr>
            </control>
          </mc:Choice>
        </mc:AlternateContent>
        <mc:AlternateContent xmlns:mc="http://schemas.openxmlformats.org/markup-compatibility/2006">
          <mc:Choice Requires="x14">
            <control shapeId="40997" r:id="rId9" name="Check Box 37">
              <controlPr defaultSize="0" autoFill="0" autoLine="0" autoPict="0">
                <anchor moveWithCells="1">
                  <from>
                    <xdr:col>6</xdr:col>
                    <xdr:colOff>190500</xdr:colOff>
                    <xdr:row>22</xdr:row>
                    <xdr:rowOff>19050</xdr:rowOff>
                  </from>
                  <to>
                    <xdr:col>6</xdr:col>
                    <xdr:colOff>495300</xdr:colOff>
                    <xdr:row>22</xdr:row>
                    <xdr:rowOff>238125</xdr:rowOff>
                  </to>
                </anchor>
              </controlPr>
            </control>
          </mc:Choice>
        </mc:AlternateContent>
        <mc:AlternateContent xmlns:mc="http://schemas.openxmlformats.org/markup-compatibility/2006">
          <mc:Choice Requires="x14">
            <control shapeId="40998" r:id="rId10" name="Check Box 38">
              <controlPr defaultSize="0" autoFill="0" autoLine="0" autoPict="0">
                <anchor moveWithCells="1">
                  <from>
                    <xdr:col>6</xdr:col>
                    <xdr:colOff>190500</xdr:colOff>
                    <xdr:row>23</xdr:row>
                    <xdr:rowOff>19050</xdr:rowOff>
                  </from>
                  <to>
                    <xdr:col>6</xdr:col>
                    <xdr:colOff>495300</xdr:colOff>
                    <xdr:row>23</xdr:row>
                    <xdr:rowOff>238125</xdr:rowOff>
                  </to>
                </anchor>
              </controlPr>
            </control>
          </mc:Choice>
        </mc:AlternateContent>
        <mc:AlternateContent xmlns:mc="http://schemas.openxmlformats.org/markup-compatibility/2006">
          <mc:Choice Requires="x14">
            <control shapeId="40999" r:id="rId11" name="Check Box 39">
              <controlPr defaultSize="0" autoFill="0" autoLine="0" autoPict="0">
                <anchor moveWithCells="1">
                  <from>
                    <xdr:col>6</xdr:col>
                    <xdr:colOff>190500</xdr:colOff>
                    <xdr:row>24</xdr:row>
                    <xdr:rowOff>19050</xdr:rowOff>
                  </from>
                  <to>
                    <xdr:col>6</xdr:col>
                    <xdr:colOff>495300</xdr:colOff>
                    <xdr:row>24</xdr:row>
                    <xdr:rowOff>238125</xdr:rowOff>
                  </to>
                </anchor>
              </controlPr>
            </control>
          </mc:Choice>
        </mc:AlternateContent>
        <mc:AlternateContent xmlns:mc="http://schemas.openxmlformats.org/markup-compatibility/2006">
          <mc:Choice Requires="x14">
            <control shapeId="41000" r:id="rId12" name="Option Button 40">
              <controlPr defaultSize="0" autoFill="0" autoLine="0" autoPict="0">
                <anchor moveWithCells="1">
                  <from>
                    <xdr:col>11</xdr:col>
                    <xdr:colOff>219075</xdr:colOff>
                    <xdr:row>21</xdr:row>
                    <xdr:rowOff>19050</xdr:rowOff>
                  </from>
                  <to>
                    <xdr:col>11</xdr:col>
                    <xdr:colOff>523875</xdr:colOff>
                    <xdr:row>21</xdr:row>
                    <xdr:rowOff>238125</xdr:rowOff>
                  </to>
                </anchor>
              </controlPr>
            </control>
          </mc:Choice>
        </mc:AlternateContent>
        <mc:AlternateContent xmlns:mc="http://schemas.openxmlformats.org/markup-compatibility/2006">
          <mc:Choice Requires="x14">
            <control shapeId="41001" r:id="rId13" name="Option Button 41">
              <controlPr defaultSize="0" autoFill="0" autoLine="0" autoPict="0">
                <anchor moveWithCells="1">
                  <from>
                    <xdr:col>11</xdr:col>
                    <xdr:colOff>742950</xdr:colOff>
                    <xdr:row>21</xdr:row>
                    <xdr:rowOff>19050</xdr:rowOff>
                  </from>
                  <to>
                    <xdr:col>11</xdr:col>
                    <xdr:colOff>1047750</xdr:colOff>
                    <xdr:row>21</xdr:row>
                    <xdr:rowOff>238125</xdr:rowOff>
                  </to>
                </anchor>
              </controlPr>
            </control>
          </mc:Choice>
        </mc:AlternateContent>
        <mc:AlternateContent xmlns:mc="http://schemas.openxmlformats.org/markup-compatibility/2006">
          <mc:Choice Requires="x14">
            <control shapeId="41002" r:id="rId14" name="Option Button 42">
              <controlPr defaultSize="0" autoFill="0" autoLine="0" autoPict="0">
                <anchor moveWithCells="1">
                  <from>
                    <xdr:col>11</xdr:col>
                    <xdr:colOff>1076325</xdr:colOff>
                    <xdr:row>21</xdr:row>
                    <xdr:rowOff>19050</xdr:rowOff>
                  </from>
                  <to>
                    <xdr:col>11</xdr:col>
                    <xdr:colOff>1381125</xdr:colOff>
                    <xdr:row>21</xdr:row>
                    <xdr:rowOff>238125</xdr:rowOff>
                  </to>
                </anchor>
              </controlPr>
            </control>
          </mc:Choice>
        </mc:AlternateContent>
        <mc:AlternateContent xmlns:mc="http://schemas.openxmlformats.org/markup-compatibility/2006">
          <mc:Choice Requires="x14">
            <control shapeId="41003" r:id="rId15" name="Option Button 43">
              <controlPr defaultSize="0" autoFill="0" autoLine="0" autoPict="0">
                <anchor moveWithCells="1">
                  <from>
                    <xdr:col>11</xdr:col>
                    <xdr:colOff>1447800</xdr:colOff>
                    <xdr:row>21</xdr:row>
                    <xdr:rowOff>19050</xdr:rowOff>
                  </from>
                  <to>
                    <xdr:col>11</xdr:col>
                    <xdr:colOff>1752600</xdr:colOff>
                    <xdr:row>21</xdr:row>
                    <xdr:rowOff>238125</xdr:rowOff>
                  </to>
                </anchor>
              </controlPr>
            </control>
          </mc:Choice>
        </mc:AlternateContent>
        <mc:AlternateContent xmlns:mc="http://schemas.openxmlformats.org/markup-compatibility/2006">
          <mc:Choice Requires="x14">
            <control shapeId="41004" r:id="rId16" name="Option Button 44">
              <controlPr defaultSize="0" autoFill="0" autoLine="0" autoPict="0">
                <anchor moveWithCells="1">
                  <from>
                    <xdr:col>11</xdr:col>
                    <xdr:colOff>219075</xdr:colOff>
                    <xdr:row>24</xdr:row>
                    <xdr:rowOff>19050</xdr:rowOff>
                  </from>
                  <to>
                    <xdr:col>11</xdr:col>
                    <xdr:colOff>523875</xdr:colOff>
                    <xdr:row>24</xdr:row>
                    <xdr:rowOff>238125</xdr:rowOff>
                  </to>
                </anchor>
              </controlPr>
            </control>
          </mc:Choice>
        </mc:AlternateContent>
        <mc:AlternateContent xmlns:mc="http://schemas.openxmlformats.org/markup-compatibility/2006">
          <mc:Choice Requires="x14">
            <control shapeId="41005" r:id="rId17" name="Option Button 45">
              <controlPr defaultSize="0" autoFill="0" autoLine="0" autoPict="0">
                <anchor moveWithCells="1">
                  <from>
                    <xdr:col>11</xdr:col>
                    <xdr:colOff>742950</xdr:colOff>
                    <xdr:row>24</xdr:row>
                    <xdr:rowOff>19050</xdr:rowOff>
                  </from>
                  <to>
                    <xdr:col>11</xdr:col>
                    <xdr:colOff>1047750</xdr:colOff>
                    <xdr:row>24</xdr:row>
                    <xdr:rowOff>238125</xdr:rowOff>
                  </to>
                </anchor>
              </controlPr>
            </control>
          </mc:Choice>
        </mc:AlternateContent>
        <mc:AlternateContent xmlns:mc="http://schemas.openxmlformats.org/markup-compatibility/2006">
          <mc:Choice Requires="x14">
            <control shapeId="41006" r:id="rId18" name="Option Button 46">
              <controlPr defaultSize="0" autoFill="0" autoLine="0" autoPict="0">
                <anchor moveWithCells="1">
                  <from>
                    <xdr:col>11</xdr:col>
                    <xdr:colOff>1076325</xdr:colOff>
                    <xdr:row>24</xdr:row>
                    <xdr:rowOff>19050</xdr:rowOff>
                  </from>
                  <to>
                    <xdr:col>11</xdr:col>
                    <xdr:colOff>1381125</xdr:colOff>
                    <xdr:row>24</xdr:row>
                    <xdr:rowOff>238125</xdr:rowOff>
                  </to>
                </anchor>
              </controlPr>
            </control>
          </mc:Choice>
        </mc:AlternateContent>
        <mc:AlternateContent xmlns:mc="http://schemas.openxmlformats.org/markup-compatibility/2006">
          <mc:Choice Requires="x14">
            <control shapeId="41007" r:id="rId19" name="Option Button 47">
              <controlPr defaultSize="0" autoFill="0" autoLine="0" autoPict="0">
                <anchor moveWithCells="1">
                  <from>
                    <xdr:col>11</xdr:col>
                    <xdr:colOff>1447800</xdr:colOff>
                    <xdr:row>24</xdr:row>
                    <xdr:rowOff>19050</xdr:rowOff>
                  </from>
                  <to>
                    <xdr:col>11</xdr:col>
                    <xdr:colOff>1752600</xdr:colOff>
                    <xdr:row>24</xdr:row>
                    <xdr:rowOff>238125</xdr:rowOff>
                  </to>
                </anchor>
              </controlPr>
            </control>
          </mc:Choice>
        </mc:AlternateContent>
        <mc:AlternateContent xmlns:mc="http://schemas.openxmlformats.org/markup-compatibility/2006">
          <mc:Choice Requires="x14">
            <control shapeId="41008" r:id="rId20" name="Option Button 48">
              <controlPr defaultSize="0" autoFill="0" autoLine="0" autoPict="0">
                <anchor moveWithCells="1">
                  <from>
                    <xdr:col>11</xdr:col>
                    <xdr:colOff>219075</xdr:colOff>
                    <xdr:row>22</xdr:row>
                    <xdr:rowOff>19050</xdr:rowOff>
                  </from>
                  <to>
                    <xdr:col>11</xdr:col>
                    <xdr:colOff>523875</xdr:colOff>
                    <xdr:row>22</xdr:row>
                    <xdr:rowOff>238125</xdr:rowOff>
                  </to>
                </anchor>
              </controlPr>
            </control>
          </mc:Choice>
        </mc:AlternateContent>
        <mc:AlternateContent xmlns:mc="http://schemas.openxmlformats.org/markup-compatibility/2006">
          <mc:Choice Requires="x14">
            <control shapeId="41009" r:id="rId21" name="Option Button 49">
              <controlPr defaultSize="0" autoFill="0" autoLine="0" autoPict="0">
                <anchor moveWithCells="1">
                  <from>
                    <xdr:col>11</xdr:col>
                    <xdr:colOff>742950</xdr:colOff>
                    <xdr:row>22</xdr:row>
                    <xdr:rowOff>19050</xdr:rowOff>
                  </from>
                  <to>
                    <xdr:col>11</xdr:col>
                    <xdr:colOff>1047750</xdr:colOff>
                    <xdr:row>22</xdr:row>
                    <xdr:rowOff>238125</xdr:rowOff>
                  </to>
                </anchor>
              </controlPr>
            </control>
          </mc:Choice>
        </mc:AlternateContent>
        <mc:AlternateContent xmlns:mc="http://schemas.openxmlformats.org/markup-compatibility/2006">
          <mc:Choice Requires="x14">
            <control shapeId="41010" r:id="rId22" name="Option Button 50">
              <controlPr defaultSize="0" autoFill="0" autoLine="0" autoPict="0">
                <anchor moveWithCells="1">
                  <from>
                    <xdr:col>11</xdr:col>
                    <xdr:colOff>1076325</xdr:colOff>
                    <xdr:row>22</xdr:row>
                    <xdr:rowOff>19050</xdr:rowOff>
                  </from>
                  <to>
                    <xdr:col>11</xdr:col>
                    <xdr:colOff>1381125</xdr:colOff>
                    <xdr:row>22</xdr:row>
                    <xdr:rowOff>238125</xdr:rowOff>
                  </to>
                </anchor>
              </controlPr>
            </control>
          </mc:Choice>
        </mc:AlternateContent>
        <mc:AlternateContent xmlns:mc="http://schemas.openxmlformats.org/markup-compatibility/2006">
          <mc:Choice Requires="x14">
            <control shapeId="41011" r:id="rId23" name="Option Button 51">
              <controlPr defaultSize="0" autoFill="0" autoLine="0" autoPict="0">
                <anchor moveWithCells="1">
                  <from>
                    <xdr:col>11</xdr:col>
                    <xdr:colOff>1447800</xdr:colOff>
                    <xdr:row>22</xdr:row>
                    <xdr:rowOff>19050</xdr:rowOff>
                  </from>
                  <to>
                    <xdr:col>11</xdr:col>
                    <xdr:colOff>1752600</xdr:colOff>
                    <xdr:row>22</xdr:row>
                    <xdr:rowOff>238125</xdr:rowOff>
                  </to>
                </anchor>
              </controlPr>
            </control>
          </mc:Choice>
        </mc:AlternateContent>
        <mc:AlternateContent xmlns:mc="http://schemas.openxmlformats.org/markup-compatibility/2006">
          <mc:Choice Requires="x14">
            <control shapeId="41012" r:id="rId24" name="Option Button 52">
              <controlPr defaultSize="0" autoFill="0" autoLine="0" autoPict="0">
                <anchor moveWithCells="1">
                  <from>
                    <xdr:col>11</xdr:col>
                    <xdr:colOff>219075</xdr:colOff>
                    <xdr:row>23</xdr:row>
                    <xdr:rowOff>19050</xdr:rowOff>
                  </from>
                  <to>
                    <xdr:col>11</xdr:col>
                    <xdr:colOff>523875</xdr:colOff>
                    <xdr:row>23</xdr:row>
                    <xdr:rowOff>238125</xdr:rowOff>
                  </to>
                </anchor>
              </controlPr>
            </control>
          </mc:Choice>
        </mc:AlternateContent>
        <mc:AlternateContent xmlns:mc="http://schemas.openxmlformats.org/markup-compatibility/2006">
          <mc:Choice Requires="x14">
            <control shapeId="41013" r:id="rId25" name="Option Button 53">
              <controlPr defaultSize="0" autoFill="0" autoLine="0" autoPict="0">
                <anchor moveWithCells="1">
                  <from>
                    <xdr:col>11</xdr:col>
                    <xdr:colOff>742950</xdr:colOff>
                    <xdr:row>23</xdr:row>
                    <xdr:rowOff>19050</xdr:rowOff>
                  </from>
                  <to>
                    <xdr:col>11</xdr:col>
                    <xdr:colOff>1047750</xdr:colOff>
                    <xdr:row>23</xdr:row>
                    <xdr:rowOff>238125</xdr:rowOff>
                  </to>
                </anchor>
              </controlPr>
            </control>
          </mc:Choice>
        </mc:AlternateContent>
        <mc:AlternateContent xmlns:mc="http://schemas.openxmlformats.org/markup-compatibility/2006">
          <mc:Choice Requires="x14">
            <control shapeId="41014" r:id="rId26" name="Option Button 54">
              <controlPr defaultSize="0" autoFill="0" autoLine="0" autoPict="0">
                <anchor moveWithCells="1">
                  <from>
                    <xdr:col>11</xdr:col>
                    <xdr:colOff>1076325</xdr:colOff>
                    <xdr:row>23</xdr:row>
                    <xdr:rowOff>19050</xdr:rowOff>
                  </from>
                  <to>
                    <xdr:col>11</xdr:col>
                    <xdr:colOff>1381125</xdr:colOff>
                    <xdr:row>23</xdr:row>
                    <xdr:rowOff>238125</xdr:rowOff>
                  </to>
                </anchor>
              </controlPr>
            </control>
          </mc:Choice>
        </mc:AlternateContent>
        <mc:AlternateContent xmlns:mc="http://schemas.openxmlformats.org/markup-compatibility/2006">
          <mc:Choice Requires="x14">
            <control shapeId="41015" r:id="rId27" name="Option Button 55">
              <controlPr defaultSize="0" autoFill="0" autoLine="0" autoPict="0">
                <anchor moveWithCells="1">
                  <from>
                    <xdr:col>11</xdr:col>
                    <xdr:colOff>1447800</xdr:colOff>
                    <xdr:row>23</xdr:row>
                    <xdr:rowOff>19050</xdr:rowOff>
                  </from>
                  <to>
                    <xdr:col>11</xdr:col>
                    <xdr:colOff>1752600</xdr:colOff>
                    <xdr:row>23</xdr:row>
                    <xdr:rowOff>238125</xdr:rowOff>
                  </to>
                </anchor>
              </controlPr>
            </control>
          </mc:Choice>
        </mc:AlternateContent>
        <mc:AlternateContent xmlns:mc="http://schemas.openxmlformats.org/markup-compatibility/2006">
          <mc:Choice Requires="x14">
            <control shapeId="41017" r:id="rId28" name="Group Box 57">
              <controlPr defaultSize="0" autoFill="0" autoPict="0">
                <anchor moveWithCells="1">
                  <from>
                    <xdr:col>11</xdr:col>
                    <xdr:colOff>0</xdr:colOff>
                    <xdr:row>21</xdr:row>
                    <xdr:rowOff>0</xdr:rowOff>
                  </from>
                  <to>
                    <xdr:col>12</xdr:col>
                    <xdr:colOff>0</xdr:colOff>
                    <xdr:row>22</xdr:row>
                    <xdr:rowOff>0</xdr:rowOff>
                  </to>
                </anchor>
              </controlPr>
            </control>
          </mc:Choice>
        </mc:AlternateContent>
        <mc:AlternateContent xmlns:mc="http://schemas.openxmlformats.org/markup-compatibility/2006">
          <mc:Choice Requires="x14">
            <control shapeId="41018" r:id="rId29" name="Group Box 58">
              <controlPr defaultSize="0" autoFill="0" autoPict="0">
                <anchor moveWithCells="1">
                  <from>
                    <xdr:col>11</xdr:col>
                    <xdr:colOff>0</xdr:colOff>
                    <xdr:row>22</xdr:row>
                    <xdr:rowOff>0</xdr:rowOff>
                  </from>
                  <to>
                    <xdr:col>12</xdr:col>
                    <xdr:colOff>0</xdr:colOff>
                    <xdr:row>23</xdr:row>
                    <xdr:rowOff>0</xdr:rowOff>
                  </to>
                </anchor>
              </controlPr>
            </control>
          </mc:Choice>
        </mc:AlternateContent>
        <mc:AlternateContent xmlns:mc="http://schemas.openxmlformats.org/markup-compatibility/2006">
          <mc:Choice Requires="x14">
            <control shapeId="41020" r:id="rId30" name="Group Box 60">
              <controlPr defaultSize="0" autoFill="0" autoPict="0">
                <anchor moveWithCells="1">
                  <from>
                    <xdr:col>11</xdr:col>
                    <xdr:colOff>0</xdr:colOff>
                    <xdr:row>23</xdr:row>
                    <xdr:rowOff>0</xdr:rowOff>
                  </from>
                  <to>
                    <xdr:col>12</xdr:col>
                    <xdr:colOff>0</xdr:colOff>
                    <xdr:row>24</xdr:row>
                    <xdr:rowOff>0</xdr:rowOff>
                  </to>
                </anchor>
              </controlPr>
            </control>
          </mc:Choice>
        </mc:AlternateContent>
        <mc:AlternateContent xmlns:mc="http://schemas.openxmlformats.org/markup-compatibility/2006">
          <mc:Choice Requires="x14">
            <control shapeId="41021" r:id="rId31" name="Group Box 61">
              <controlPr defaultSize="0" autoFill="0" autoPict="0">
                <anchor moveWithCells="1">
                  <from>
                    <xdr:col>11</xdr:col>
                    <xdr:colOff>0</xdr:colOff>
                    <xdr:row>24</xdr:row>
                    <xdr:rowOff>0</xdr:rowOff>
                  </from>
                  <to>
                    <xdr:col>12</xdr:col>
                    <xdr:colOff>0</xdr:colOff>
                    <xdr:row>25</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70C0"/>
    <pageSetUpPr fitToPage="1"/>
  </sheetPr>
  <dimension ref="A1:S47"/>
  <sheetViews>
    <sheetView showGridLines="0" topLeftCell="A2" zoomScaleNormal="100" zoomScaleSheetLayoutView="110" workbookViewId="0">
      <selection activeCell="N16" sqref="N16"/>
    </sheetView>
  </sheetViews>
  <sheetFormatPr defaultColWidth="0" defaultRowHeight="15" zeroHeight="1" x14ac:dyDescent="0.25"/>
  <cols>
    <col min="1" max="1" width="1.7109375" style="535" customWidth="1"/>
    <col min="2" max="2" width="2.140625" style="535" customWidth="1"/>
    <col min="3" max="3" width="27.140625" style="535" customWidth="1"/>
    <col min="4" max="4" width="2.140625" style="535" customWidth="1"/>
    <col min="5" max="5" width="5.42578125" style="535" customWidth="1"/>
    <col min="6" max="6" width="12.42578125" style="535" customWidth="1"/>
    <col min="7" max="7" width="3.140625" style="535" customWidth="1"/>
    <col min="8" max="8" width="12.42578125" style="535" customWidth="1"/>
    <col min="9" max="9" width="3.140625" style="535" customWidth="1"/>
    <col min="10" max="10" width="12.42578125" style="535" customWidth="1"/>
    <col min="11" max="11" width="3.140625" style="535" customWidth="1"/>
    <col min="12" max="12" width="12.42578125" style="535" customWidth="1"/>
    <col min="13" max="13" width="3.140625" style="535" customWidth="1"/>
    <col min="14" max="14" width="6.7109375" style="535" customWidth="1"/>
    <col min="15" max="15" width="2.7109375" style="535" customWidth="1"/>
    <col min="16" max="16384" width="9.140625" style="535" hidden="1"/>
  </cols>
  <sheetData>
    <row r="1" spans="2:19" ht="3" hidden="1" customHeight="1" x14ac:dyDescent="0.25"/>
    <row r="2" spans="2:19" ht="35.25" customHeight="1" x14ac:dyDescent="0.25">
      <c r="B2" s="656" t="s">
        <v>631</v>
      </c>
      <c r="J2" s="742"/>
      <c r="K2" s="742"/>
      <c r="L2" s="742"/>
      <c r="M2" s="742"/>
      <c r="N2" s="742"/>
      <c r="O2" s="742"/>
    </row>
    <row r="3" spans="2:19" ht="23.25" x14ac:dyDescent="0.3">
      <c r="B3" s="637" t="s">
        <v>647</v>
      </c>
      <c r="C3" s="659"/>
      <c r="D3" s="659"/>
      <c r="E3" s="638"/>
      <c r="F3" s="638"/>
      <c r="G3" s="638"/>
      <c r="H3" s="638"/>
      <c r="I3" s="638"/>
      <c r="J3" s="638"/>
      <c r="K3" s="638"/>
      <c r="L3" s="638"/>
      <c r="M3" s="638"/>
      <c r="N3" s="638"/>
      <c r="O3" s="742"/>
    </row>
    <row r="4" spans="2:19" ht="9.75" customHeight="1" x14ac:dyDescent="0.25">
      <c r="B4" s="566"/>
      <c r="O4" s="742"/>
    </row>
    <row r="5" spans="2:19" s="539" customFormat="1" ht="21" customHeight="1" x14ac:dyDescent="0.3">
      <c r="B5" s="691" t="s">
        <v>648</v>
      </c>
      <c r="C5" s="641"/>
      <c r="D5" s="641"/>
      <c r="E5" s="641"/>
      <c r="F5" s="641"/>
      <c r="G5" s="641"/>
      <c r="H5" s="641"/>
      <c r="I5" s="555"/>
      <c r="J5" s="555"/>
      <c r="K5" s="555"/>
      <c r="L5" s="555"/>
      <c r="M5" s="555"/>
      <c r="N5" s="555"/>
      <c r="O5" s="742"/>
    </row>
    <row r="6" spans="2:19" ht="9" customHeight="1" x14ac:dyDescent="0.25">
      <c r="B6" s="539"/>
      <c r="C6" s="633"/>
      <c r="D6" s="633"/>
      <c r="E6" s="539"/>
      <c r="F6" s="539"/>
      <c r="G6" s="539"/>
      <c r="H6" s="539"/>
      <c r="I6" s="539"/>
      <c r="J6" s="539"/>
      <c r="K6" s="539"/>
      <c r="L6" s="539"/>
      <c r="M6" s="539"/>
      <c r="N6" s="539"/>
      <c r="O6" s="742"/>
    </row>
    <row r="7" spans="2:19" s="539" customFormat="1" ht="20.100000000000001" customHeight="1" x14ac:dyDescent="0.25">
      <c r="C7" s="877" t="s">
        <v>125</v>
      </c>
      <c r="D7" s="553"/>
      <c r="E7" s="973"/>
      <c r="F7" s="973"/>
      <c r="G7" s="973"/>
      <c r="H7" s="973"/>
      <c r="I7" s="973"/>
      <c r="J7" s="550"/>
      <c r="K7" s="550"/>
      <c r="L7" s="550"/>
      <c r="M7" s="550"/>
      <c r="N7" s="543"/>
      <c r="O7" s="742"/>
    </row>
    <row r="8" spans="2:19" s="539" customFormat="1" ht="5.0999999999999996" customHeight="1" x14ac:dyDescent="0.25">
      <c r="C8" s="877"/>
      <c r="D8" s="553"/>
      <c r="E8" s="708"/>
      <c r="F8" s="708"/>
      <c r="G8" s="708"/>
      <c r="H8" s="708"/>
      <c r="I8" s="708"/>
      <c r="J8" s="554"/>
      <c r="K8" s="554"/>
      <c r="L8" s="554"/>
      <c r="M8" s="554"/>
      <c r="N8" s="543"/>
      <c r="O8" s="742"/>
    </row>
    <row r="9" spans="2:19" s="539" customFormat="1" ht="19.5" customHeight="1" x14ac:dyDescent="0.25">
      <c r="B9" s="542"/>
      <c r="C9" s="874" t="s">
        <v>652</v>
      </c>
      <c r="D9" s="709"/>
      <c r="E9" s="972" t="s">
        <v>757</v>
      </c>
      <c r="F9" s="972"/>
      <c r="G9" s="710"/>
      <c r="H9" s="710"/>
      <c r="I9" s="710"/>
      <c r="J9" s="546"/>
      <c r="K9" s="546"/>
      <c r="L9" s="546"/>
      <c r="M9" s="546"/>
      <c r="N9" s="544"/>
      <c r="O9" s="546"/>
    </row>
    <row r="10" spans="2:19" s="539" customFormat="1" ht="5.0999999999999996" customHeight="1" x14ac:dyDescent="0.25">
      <c r="C10" s="877"/>
      <c r="D10" s="553"/>
      <c r="E10" s="708"/>
      <c r="F10" s="708"/>
      <c r="G10" s="708"/>
      <c r="H10" s="708"/>
      <c r="I10" s="708"/>
      <c r="J10" s="554"/>
      <c r="K10" s="554"/>
      <c r="L10" s="554"/>
      <c r="M10" s="554"/>
      <c r="N10" s="543"/>
    </row>
    <row r="11" spans="2:19" s="539" customFormat="1" ht="60.75" customHeight="1" x14ac:dyDescent="0.25">
      <c r="B11" s="542"/>
      <c r="C11" s="874" t="s">
        <v>562</v>
      </c>
      <c r="D11" s="709"/>
      <c r="E11" s="975"/>
      <c r="F11" s="976"/>
      <c r="G11" s="976"/>
      <c r="H11" s="976"/>
      <c r="I11" s="977"/>
      <c r="J11" s="546"/>
      <c r="K11" s="546"/>
      <c r="L11" s="546"/>
      <c r="M11" s="546"/>
      <c r="N11" s="544"/>
      <c r="O11" s="546"/>
      <c r="S11"/>
    </row>
    <row r="12" spans="2:19" s="539" customFormat="1" ht="13.5" customHeight="1" x14ac:dyDescent="0.25">
      <c r="E12" s="554"/>
      <c r="F12" s="554"/>
      <c r="G12" s="554"/>
      <c r="H12" s="554"/>
      <c r="I12" s="554"/>
      <c r="J12" s="554"/>
      <c r="K12" s="554"/>
      <c r="L12" s="554"/>
      <c r="M12" s="554"/>
      <c r="N12" s="543"/>
      <c r="S12"/>
    </row>
    <row r="13" spans="2:19" s="641" customFormat="1" ht="18.75" customHeight="1" x14ac:dyDescent="0.3">
      <c r="B13" s="691" t="s">
        <v>753</v>
      </c>
    </row>
    <row r="14" spans="2:19" s="539" customFormat="1" ht="8.25" customHeight="1" x14ac:dyDescent="0.25">
      <c r="C14" s="543"/>
      <c r="D14" s="543"/>
      <c r="E14" s="554"/>
      <c r="F14" s="554"/>
      <c r="G14" s="554"/>
      <c r="H14" s="554"/>
      <c r="I14" s="554"/>
      <c r="J14" s="554"/>
      <c r="K14" s="554"/>
      <c r="L14" s="554"/>
      <c r="M14" s="554"/>
      <c r="N14" s="543"/>
    </row>
    <row r="15" spans="2:19" s="545" customFormat="1" ht="33.75" customHeight="1" x14ac:dyDescent="0.3">
      <c r="B15" s="572"/>
      <c r="C15" s="694" t="s">
        <v>597</v>
      </c>
      <c r="D15" s="551"/>
      <c r="E15" s="544"/>
      <c r="F15" s="795" t="s">
        <v>202</v>
      </c>
      <c r="G15" s="692"/>
      <c r="H15" s="697" t="str">
        <f>IF('1.PlanAhead'!Z23="","N/A",'1.PlanAhead'!Z23)</f>
        <v>N/A</v>
      </c>
      <c r="I15" s="692"/>
      <c r="J15" s="696" t="str">
        <f>IF('1.PlanAhead'!Z24="","N/A",'1.PlanAhead'!Z24)</f>
        <v>N/A</v>
      </c>
      <c r="K15" s="692"/>
      <c r="L15" s="695" t="str">
        <f>IF('1.PlanAhead'!Z25="","N/A",'1.PlanAhead'!Z25)</f>
        <v>N/A</v>
      </c>
      <c r="M15" s="546"/>
      <c r="N15" s="544"/>
      <c r="O15" s="546"/>
    </row>
    <row r="16" spans="2:19" s="539" customFormat="1" ht="12.75" customHeight="1" x14ac:dyDescent="0.3">
      <c r="C16" s="693"/>
      <c r="D16" s="543"/>
      <c r="E16" s="554"/>
      <c r="G16" s="554"/>
      <c r="H16" s="554"/>
      <c r="I16" s="554"/>
      <c r="J16" s="554"/>
      <c r="K16" s="554"/>
      <c r="L16" s="554"/>
      <c r="M16" s="554"/>
      <c r="N16" s="543"/>
    </row>
    <row r="17" spans="2:15" s="539" customFormat="1" ht="5.0999999999999996" customHeight="1" x14ac:dyDescent="0.25">
      <c r="C17" s="543"/>
      <c r="D17" s="543"/>
      <c r="E17" s="554"/>
      <c r="F17" s="554"/>
      <c r="G17" s="554"/>
      <c r="H17" s="554"/>
      <c r="I17" s="554"/>
      <c r="J17" s="554"/>
      <c r="K17" s="554"/>
      <c r="L17" s="554"/>
      <c r="M17" s="554"/>
      <c r="N17" s="543"/>
    </row>
    <row r="18" spans="2:15" s="539" customFormat="1" ht="15" customHeight="1" x14ac:dyDescent="0.25">
      <c r="B18" s="573"/>
      <c r="C18" s="552" t="s">
        <v>14</v>
      </c>
      <c r="D18" s="552"/>
      <c r="F18" s="898"/>
      <c r="G18" s="635"/>
      <c r="H18" s="898"/>
      <c r="I18" s="635"/>
      <c r="J18" s="898"/>
      <c r="K18" s="635"/>
      <c r="L18" s="898"/>
      <c r="M18" s="974"/>
      <c r="N18" s="974"/>
      <c r="O18" s="974"/>
    </row>
    <row r="19" spans="2:15" s="539" customFormat="1" ht="15" customHeight="1" x14ac:dyDescent="0.25">
      <c r="B19" s="573"/>
      <c r="C19" s="552" t="s">
        <v>548</v>
      </c>
      <c r="D19" s="552"/>
      <c r="F19" s="898"/>
      <c r="G19" s="635"/>
      <c r="H19" s="898"/>
      <c r="I19" s="635"/>
      <c r="J19" s="898"/>
      <c r="K19" s="635"/>
      <c r="L19" s="898"/>
      <c r="M19" s="974"/>
      <c r="N19" s="974"/>
      <c r="O19" s="974"/>
    </row>
    <row r="20" spans="2:15" s="539" customFormat="1" ht="15" customHeight="1" x14ac:dyDescent="0.25">
      <c r="B20" s="573"/>
      <c r="C20" s="552" t="s">
        <v>549</v>
      </c>
      <c r="D20" s="552"/>
      <c r="F20" s="898"/>
      <c r="G20" s="635"/>
      <c r="H20" s="898"/>
      <c r="I20" s="635"/>
      <c r="J20" s="898"/>
      <c r="K20" s="635"/>
      <c r="L20" s="898"/>
      <c r="M20" s="974"/>
      <c r="N20" s="974"/>
      <c r="O20" s="974"/>
    </row>
    <row r="21" spans="2:15" s="539" customFormat="1" ht="15" customHeight="1" x14ac:dyDescent="0.25">
      <c r="B21" s="573"/>
      <c r="C21" s="552" t="s">
        <v>550</v>
      </c>
      <c r="D21" s="552"/>
      <c r="F21" s="898"/>
      <c r="G21" s="635"/>
      <c r="H21" s="898"/>
      <c r="I21" s="635"/>
      <c r="J21" s="898"/>
      <c r="K21" s="635"/>
      <c r="L21" s="898"/>
      <c r="M21" s="974"/>
      <c r="N21" s="974"/>
      <c r="O21" s="974"/>
    </row>
    <row r="22" spans="2:15" s="537" customFormat="1" ht="15" customHeight="1" x14ac:dyDescent="0.25">
      <c r="B22" s="575"/>
      <c r="C22" s="552" t="s">
        <v>633</v>
      </c>
      <c r="D22" s="552"/>
      <c r="F22" s="882"/>
      <c r="G22" s="698"/>
      <c r="H22" s="882"/>
      <c r="I22" s="698"/>
      <c r="J22" s="882"/>
      <c r="K22" s="698"/>
      <c r="L22" s="882"/>
      <c r="M22" s="974"/>
      <c r="N22" s="974"/>
      <c r="O22" s="974"/>
    </row>
    <row r="23" spans="2:15" s="537" customFormat="1" ht="15" customHeight="1" x14ac:dyDescent="0.25">
      <c r="B23" s="575"/>
      <c r="C23" s="552" t="s">
        <v>552</v>
      </c>
      <c r="D23" s="552"/>
      <c r="F23" s="882"/>
      <c r="G23" s="699"/>
      <c r="H23" s="882"/>
      <c r="I23" s="699"/>
      <c r="J23" s="882"/>
      <c r="K23" s="699"/>
      <c r="L23" s="882"/>
      <c r="M23" s="547"/>
      <c r="N23" s="547"/>
      <c r="O23" s="547"/>
    </row>
    <row r="24" spans="2:15" s="537" customFormat="1" ht="15" customHeight="1" x14ac:dyDescent="0.25">
      <c r="B24" s="575"/>
      <c r="C24" s="552" t="s">
        <v>564</v>
      </c>
      <c r="D24" s="552"/>
      <c r="F24" s="882"/>
      <c r="G24" s="700"/>
      <c r="H24" s="882"/>
      <c r="I24" s="700"/>
      <c r="J24" s="882"/>
      <c r="K24" s="700"/>
      <c r="L24" s="882"/>
      <c r="M24" s="971"/>
      <c r="N24" s="971"/>
      <c r="O24" s="971"/>
    </row>
    <row r="25" spans="2:15" s="537" customFormat="1" ht="15" customHeight="1" x14ac:dyDescent="0.25">
      <c r="B25" s="575"/>
      <c r="C25" s="552" t="s">
        <v>553</v>
      </c>
      <c r="D25" s="552"/>
      <c r="F25" s="882"/>
      <c r="G25" s="699"/>
      <c r="H25" s="882"/>
      <c r="I25" s="699"/>
      <c r="J25" s="882"/>
      <c r="K25" s="699"/>
      <c r="L25" s="882"/>
      <c r="M25" s="971"/>
      <c r="N25" s="971"/>
      <c r="O25" s="971"/>
    </row>
    <row r="26" spans="2:15" s="537" customFormat="1" ht="15" customHeight="1" x14ac:dyDescent="0.25">
      <c r="B26" s="575"/>
      <c r="C26" s="552" t="s">
        <v>634</v>
      </c>
      <c r="D26" s="552"/>
      <c r="F26" s="899"/>
      <c r="G26" s="701"/>
      <c r="H26" s="899"/>
      <c r="I26" s="701"/>
      <c r="J26" s="899"/>
      <c r="K26" s="701"/>
      <c r="L26" s="899"/>
      <c r="M26" s="971"/>
      <c r="N26" s="971"/>
      <c r="O26" s="971"/>
    </row>
    <row r="27" spans="2:15" ht="15" customHeight="1" x14ac:dyDescent="0.25">
      <c r="B27" s="574"/>
      <c r="C27" s="552" t="s">
        <v>555</v>
      </c>
      <c r="D27" s="552"/>
      <c r="F27" s="882"/>
      <c r="G27" s="699"/>
      <c r="H27" s="882"/>
      <c r="I27" s="699"/>
      <c r="J27" s="882"/>
      <c r="K27" s="699"/>
      <c r="L27" s="882"/>
      <c r="M27" s="971"/>
      <c r="N27" s="971"/>
      <c r="O27" s="971"/>
    </row>
    <row r="28" spans="2:15" ht="15" customHeight="1" x14ac:dyDescent="0.25">
      <c r="B28" s="573"/>
      <c r="C28" s="552" t="s">
        <v>556</v>
      </c>
      <c r="D28" s="552"/>
      <c r="F28" s="882"/>
      <c r="G28" s="699"/>
      <c r="H28" s="882"/>
      <c r="I28" s="699"/>
      <c r="J28" s="882"/>
      <c r="K28" s="699"/>
      <c r="L28" s="882"/>
      <c r="M28" s="971"/>
      <c r="N28" s="971"/>
      <c r="O28" s="971"/>
    </row>
    <row r="29" spans="2:15" ht="15" customHeight="1" x14ac:dyDescent="0.25">
      <c r="B29" s="574"/>
      <c r="C29" s="552" t="s">
        <v>635</v>
      </c>
      <c r="D29" s="552"/>
      <c r="F29" s="900"/>
      <c r="G29" s="699"/>
      <c r="H29" s="900"/>
      <c r="I29" s="699"/>
      <c r="J29" s="900"/>
      <c r="K29" s="699"/>
      <c r="L29" s="900"/>
      <c r="M29" s="970"/>
      <c r="N29" s="971"/>
      <c r="O29" s="971"/>
    </row>
    <row r="30" spans="2:15" ht="15" customHeight="1" x14ac:dyDescent="0.25">
      <c r="B30" s="574"/>
      <c r="C30" s="552" t="s">
        <v>87</v>
      </c>
      <c r="D30" s="552"/>
      <c r="F30" s="901"/>
      <c r="G30" s="702"/>
      <c r="H30" s="901"/>
      <c r="I30" s="702"/>
      <c r="J30" s="901"/>
      <c r="K30" s="702"/>
      <c r="L30" s="901"/>
      <c r="M30" s="971"/>
      <c r="N30" s="971"/>
      <c r="O30" s="971"/>
    </row>
    <row r="31" spans="2:15" ht="15" customHeight="1" x14ac:dyDescent="0.25">
      <c r="B31" s="574"/>
      <c r="C31" s="552" t="s">
        <v>636</v>
      </c>
      <c r="D31" s="552"/>
      <c r="F31" s="882"/>
      <c r="G31" s="699"/>
      <c r="H31" s="882"/>
      <c r="I31" s="699"/>
      <c r="J31" s="882"/>
      <c r="K31" s="699"/>
      <c r="L31" s="882"/>
      <c r="M31" s="971"/>
      <c r="N31" s="971"/>
      <c r="O31" s="971"/>
    </row>
    <row r="32" spans="2:15" ht="15" customHeight="1" x14ac:dyDescent="0.25">
      <c r="B32" s="574"/>
      <c r="C32" s="552" t="s">
        <v>88</v>
      </c>
      <c r="D32" s="552"/>
      <c r="F32" s="900"/>
      <c r="G32" s="699"/>
      <c r="H32" s="900"/>
      <c r="I32" s="699"/>
      <c r="J32" s="900"/>
      <c r="K32" s="699"/>
      <c r="L32" s="900"/>
      <c r="M32" s="971"/>
      <c r="N32" s="971"/>
      <c r="O32" s="971"/>
    </row>
    <row r="33" spans="2:15" ht="15" customHeight="1" x14ac:dyDescent="0.25">
      <c r="B33" s="574"/>
      <c r="C33" s="552" t="s">
        <v>559</v>
      </c>
      <c r="D33" s="552"/>
      <c r="F33" s="882"/>
      <c r="G33" s="699"/>
      <c r="H33" s="882"/>
      <c r="I33" s="699"/>
      <c r="J33" s="882"/>
      <c r="K33" s="699"/>
      <c r="L33" s="882"/>
      <c r="M33" s="971"/>
      <c r="N33" s="971"/>
      <c r="O33" s="971"/>
    </row>
    <row r="34" spans="2:15" ht="15" customHeight="1" x14ac:dyDescent="0.25">
      <c r="B34" s="574"/>
      <c r="C34" s="552" t="s">
        <v>560</v>
      </c>
      <c r="D34" s="552"/>
      <c r="F34" s="882"/>
      <c r="G34" s="699"/>
      <c r="H34" s="882"/>
      <c r="I34" s="699"/>
      <c r="J34" s="882"/>
      <c r="K34" s="699"/>
      <c r="L34" s="882"/>
      <c r="M34" s="539"/>
      <c r="N34" s="539"/>
    </row>
    <row r="35" spans="2:15" ht="15" customHeight="1" x14ac:dyDescent="0.25">
      <c r="B35" s="574"/>
      <c r="C35" s="552" t="s">
        <v>561</v>
      </c>
      <c r="D35" s="552"/>
      <c r="F35" s="882"/>
      <c r="G35" s="699"/>
      <c r="H35" s="882"/>
      <c r="I35" s="699"/>
      <c r="J35" s="882"/>
      <c r="K35" s="699"/>
      <c r="L35" s="882"/>
      <c r="M35" s="539"/>
      <c r="N35" s="539"/>
    </row>
    <row r="36" spans="2:15" ht="15" customHeight="1" x14ac:dyDescent="0.25">
      <c r="B36" s="574"/>
      <c r="C36" s="552" t="s">
        <v>637</v>
      </c>
      <c r="D36" s="552"/>
      <c r="F36" s="882"/>
      <c r="G36" s="699"/>
      <c r="H36" s="882"/>
      <c r="I36" s="699"/>
      <c r="J36" s="882"/>
      <c r="K36" s="699"/>
      <c r="L36" s="882"/>
      <c r="M36" s="539"/>
      <c r="N36" s="539"/>
    </row>
    <row r="37" spans="2:15" ht="15" customHeight="1" x14ac:dyDescent="0.25">
      <c r="B37" s="574"/>
      <c r="C37" s="552" t="s">
        <v>638</v>
      </c>
      <c r="D37" s="552"/>
      <c r="F37" s="882"/>
      <c r="G37" s="699"/>
      <c r="H37" s="882"/>
      <c r="I37" s="699"/>
      <c r="J37" s="882"/>
      <c r="K37" s="699"/>
      <c r="L37" s="882"/>
      <c r="M37" s="539"/>
      <c r="N37" s="539"/>
    </row>
    <row r="38" spans="2:15" s="690" customFormat="1" ht="30.75" customHeight="1" x14ac:dyDescent="0.35">
      <c r="B38" s="550"/>
      <c r="C38" s="969" t="s">
        <v>565</v>
      </c>
      <c r="D38" s="969"/>
      <c r="F38" s="796">
        <f>SUM(F18:F37)</f>
        <v>0</v>
      </c>
      <c r="G38" s="703">
        <v>0</v>
      </c>
      <c r="H38" s="704">
        <f>SUM(H18:H37)</f>
        <v>0</v>
      </c>
      <c r="I38" s="703">
        <v>0</v>
      </c>
      <c r="J38" s="705">
        <f>SUM(J18:J37)</f>
        <v>0</v>
      </c>
      <c r="K38" s="703">
        <v>0</v>
      </c>
      <c r="L38" s="706">
        <f>SUM(L18:L37)</f>
        <v>0</v>
      </c>
      <c r="M38" s="550"/>
      <c r="N38" s="550"/>
    </row>
    <row r="39" spans="2:15" ht="26.25" customHeight="1" x14ac:dyDescent="0.25">
      <c r="F39" s="581" t="str">
        <f>IF(COUNTIF($F$38:$L$38,0)+COUNTIF($F$38:$L$38,1)=7,"","**One or more of the audits does not add up to 100%")</f>
        <v/>
      </c>
      <c r="G39" s="566"/>
      <c r="H39" s="566"/>
      <c r="I39" s="566"/>
      <c r="J39" s="566"/>
      <c r="K39" s="566"/>
      <c r="L39" s="566"/>
    </row>
    <row r="40" spans="2:15" x14ac:dyDescent="0.25">
      <c r="B40" s="539"/>
      <c r="C40" s="539"/>
      <c r="D40" s="539"/>
      <c r="E40" s="539"/>
      <c r="F40" s="539"/>
      <c r="G40" s="539"/>
      <c r="H40" s="539"/>
      <c r="I40" s="539"/>
      <c r="J40" s="539"/>
      <c r="K40" s="539"/>
      <c r="L40" s="539"/>
      <c r="M40" s="539"/>
      <c r="N40" s="539"/>
    </row>
    <row r="41" spans="2:15" x14ac:dyDescent="0.25">
      <c r="B41" s="539"/>
      <c r="D41" s="567"/>
      <c r="E41" s="567"/>
      <c r="F41" s="567"/>
      <c r="G41" s="567"/>
      <c r="H41" s="567"/>
      <c r="I41" s="567"/>
      <c r="J41" s="567"/>
      <c r="K41" s="567"/>
      <c r="L41" s="567"/>
      <c r="M41" s="567"/>
      <c r="N41" s="539"/>
    </row>
    <row r="42" spans="2:15" x14ac:dyDescent="0.25">
      <c r="B42" s="539"/>
      <c r="D42" s="567"/>
      <c r="E42" s="567"/>
      <c r="F42" s="567"/>
      <c r="G42" s="567"/>
      <c r="H42" s="567"/>
      <c r="I42" s="567"/>
      <c r="J42" s="567"/>
      <c r="K42" s="567"/>
      <c r="L42" s="567"/>
      <c r="M42" s="567"/>
      <c r="N42" s="539"/>
    </row>
    <row r="43" spans="2:15" x14ac:dyDescent="0.25">
      <c r="B43" s="539"/>
      <c r="D43" s="567"/>
      <c r="E43" s="567"/>
      <c r="F43" s="567"/>
      <c r="G43" s="567"/>
      <c r="H43" s="567"/>
      <c r="I43" s="567"/>
      <c r="J43" s="567"/>
      <c r="K43" s="567"/>
      <c r="L43" s="567"/>
      <c r="M43" s="567"/>
      <c r="N43" s="539"/>
    </row>
    <row r="44" spans="2:15" x14ac:dyDescent="0.25">
      <c r="B44" s="707"/>
      <c r="C44" s="689"/>
      <c r="D44" s="639"/>
      <c r="E44" s="639"/>
      <c r="F44" s="639"/>
      <c r="G44" s="639"/>
      <c r="H44" s="639"/>
      <c r="I44" s="639"/>
      <c r="J44" s="639"/>
      <c r="K44" s="639"/>
      <c r="L44" s="639"/>
      <c r="M44" s="639"/>
      <c r="N44" s="707"/>
    </row>
    <row r="45" spans="2:15" x14ac:dyDescent="0.25">
      <c r="B45" s="871" t="s">
        <v>760</v>
      </c>
      <c r="C45" s="539"/>
      <c r="D45" s="539"/>
      <c r="E45" s="539"/>
      <c r="F45" s="539"/>
      <c r="G45" s="539"/>
      <c r="H45" s="539"/>
      <c r="I45" s="539"/>
      <c r="J45" s="539"/>
      <c r="K45" s="539"/>
      <c r="L45" s="539"/>
      <c r="M45" s="539"/>
      <c r="N45" s="539"/>
    </row>
    <row r="46" spans="2:15" hidden="1" x14ac:dyDescent="0.25">
      <c r="B46" s="539"/>
      <c r="C46" s="539"/>
      <c r="D46" s="539"/>
      <c r="E46" s="539"/>
      <c r="F46" s="539"/>
      <c r="G46" s="539"/>
      <c r="H46" s="539"/>
      <c r="I46" s="539"/>
      <c r="J46" s="539"/>
      <c r="K46" s="539"/>
      <c r="L46" s="539"/>
      <c r="M46" s="539"/>
      <c r="N46" s="539"/>
    </row>
    <row r="47" spans="2:15" x14ac:dyDescent="0.25"/>
  </sheetData>
  <sheetProtection algorithmName="SHA-512" hashValue="QzerMFyWyaZ8eVJgnBzNItRoEEVQExUTJFpRX2KIt5CzP7l3XOY8hC7TiAdMXEqraIOk+HVshkoz0oZLHCj77g==" saltValue="HpOfKT1HmPweJxu59WKmXA==" spinCount="100000" sheet="1" objects="1" scenarios="1"/>
  <mergeCells count="7">
    <mergeCell ref="C38:D38"/>
    <mergeCell ref="M29:O33"/>
    <mergeCell ref="E9:F9"/>
    <mergeCell ref="E7:I7"/>
    <mergeCell ref="M18:O22"/>
    <mergeCell ref="M24:O28"/>
    <mergeCell ref="E11:I11"/>
  </mergeCells>
  <conditionalFormatting sqref="E9:F9">
    <cfRule type="containsText" dxfId="96" priority="1" operator="containsText" text="MM/DD/YY">
      <formula>NOT(ISERROR(SEARCH("MM/DD/YY",E9)))</formula>
    </cfRule>
  </conditionalFormatting>
  <dataValidations count="1">
    <dataValidation type="decimal" allowBlank="1" showInputMessage="1" showErrorMessage="1" error="Only perecentages between 0% and 100% are allowed. You may need to enter the value as a decimal. For example, 10% is entered as .1" sqref="F18:F37 H18:H37 J18:J37 L18:L37">
      <formula1>0</formula1>
      <formula2>1</formula2>
    </dataValidation>
  </dataValidations>
  <pageMargins left="0.25" right="0.25" top="0.5" bottom="0.5" header="0.3" footer="0.3"/>
  <pageSetup scale="9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A1:N60"/>
  <sheetViews>
    <sheetView showGridLines="0" zoomScaleNormal="100" zoomScalePageLayoutView="80" workbookViewId="0">
      <selection activeCell="M12" sqref="M12"/>
    </sheetView>
  </sheetViews>
  <sheetFormatPr defaultColWidth="0" defaultRowHeight="15.75" zeroHeight="1" x14ac:dyDescent="0.25"/>
  <cols>
    <col min="1" max="2" width="1.7109375" style="123" customWidth="1"/>
    <col min="3" max="3" width="20.140625" style="123" customWidth="1"/>
    <col min="4" max="4" width="11.85546875" style="123" customWidth="1"/>
    <col min="5" max="5" width="12.140625" style="123" customWidth="1"/>
    <col min="6" max="6" width="7.28515625" style="123" customWidth="1"/>
    <col min="7" max="7" width="10" style="123" customWidth="1"/>
    <col min="8" max="8" width="7.140625" style="123" customWidth="1"/>
    <col min="9" max="9" width="8.42578125" style="123" customWidth="1"/>
    <col min="10" max="10" width="2.5703125" style="123" customWidth="1"/>
    <col min="11" max="11" width="9.5703125" style="123" customWidth="1"/>
    <col min="12" max="12" width="18.7109375" style="123" customWidth="1"/>
    <col min="13" max="13" width="3.28515625" style="123" customWidth="1"/>
    <col min="14" max="14" width="2.28515625" style="123" customWidth="1"/>
    <col min="15" max="16384" width="9.140625" style="123" hidden="1"/>
  </cols>
  <sheetData>
    <row r="1" spans="1:13" s="167" customFormat="1" ht="36" customHeight="1" x14ac:dyDescent="0.25">
      <c r="B1" s="656" t="s">
        <v>631</v>
      </c>
      <c r="C1" s="656"/>
      <c r="D1" s="656"/>
      <c r="E1" s="656"/>
      <c r="F1" s="536"/>
      <c r="G1" s="536"/>
      <c r="H1" s="991"/>
      <c r="I1" s="991"/>
      <c r="J1" s="991"/>
      <c r="K1" s="991"/>
      <c r="L1" s="169"/>
    </row>
    <row r="2" spans="1:13" s="660" customFormat="1" ht="23.25" x14ac:dyDescent="0.35">
      <c r="B2" s="637" t="s">
        <v>654</v>
      </c>
      <c r="C2" s="661"/>
      <c r="D2" s="662"/>
      <c r="E2" s="662"/>
      <c r="F2" s="662"/>
      <c r="G2" s="662"/>
      <c r="H2" s="662"/>
      <c r="I2" s="662"/>
      <c r="J2" s="662"/>
      <c r="K2" s="662"/>
      <c r="L2" s="757"/>
      <c r="M2" s="758"/>
    </row>
    <row r="3" spans="1:13" s="594" customFormat="1" ht="25.5" customHeight="1" x14ac:dyDescent="0.35">
      <c r="C3" s="741">
        <f>'2.GatherData'!E7</f>
        <v>0</v>
      </c>
      <c r="D3" s="595"/>
      <c r="E3" s="595"/>
      <c r="F3" s="595"/>
      <c r="G3" s="595"/>
      <c r="H3" s="595"/>
      <c r="I3" s="595"/>
      <c r="J3" s="595"/>
      <c r="K3" s="595"/>
      <c r="L3" s="595"/>
    </row>
    <row r="4" spans="1:13" s="593" customFormat="1" ht="3.75" customHeight="1" x14ac:dyDescent="0.25">
      <c r="A4" s="596"/>
      <c r="B4" s="596"/>
      <c r="C4" s="597"/>
      <c r="G4" s="598"/>
      <c r="H4" s="995"/>
      <c r="I4" s="995"/>
      <c r="J4" s="995"/>
      <c r="K4" s="995"/>
      <c r="L4" s="995"/>
      <c r="M4" s="599"/>
    </row>
    <row r="5" spans="1:13" s="615" customFormat="1" ht="21" customHeight="1" x14ac:dyDescent="0.25">
      <c r="A5" s="735"/>
      <c r="B5" s="735"/>
      <c r="C5" s="736" t="s">
        <v>734</v>
      </c>
      <c r="D5" s="994" t="str">
        <f>'2.GatherData'!E9</f>
        <v>MM/DD/YY</v>
      </c>
      <c r="E5" s="994"/>
      <c r="F5" s="994"/>
      <c r="G5" s="737"/>
      <c r="H5" s="737"/>
      <c r="I5" s="737"/>
      <c r="J5" s="737"/>
      <c r="K5" s="737"/>
      <c r="L5" s="737"/>
      <c r="M5" s="738"/>
    </row>
    <row r="6" spans="1:13" s="593" customFormat="1" ht="25.5" customHeight="1" x14ac:dyDescent="0.3">
      <c r="A6" s="596"/>
      <c r="B6" s="596"/>
      <c r="C6" s="731" t="s">
        <v>574</v>
      </c>
      <c r="D6" s="600"/>
      <c r="E6" s="600"/>
      <c r="F6" s="600"/>
      <c r="G6" s="600"/>
      <c r="H6" s="600"/>
      <c r="I6" s="600"/>
      <c r="J6" s="600"/>
      <c r="K6" s="600"/>
      <c r="L6" s="600"/>
      <c r="M6" s="599"/>
    </row>
    <row r="7" spans="1:13" s="593" customFormat="1" ht="1.5" customHeight="1" x14ac:dyDescent="0.25">
      <c r="A7" s="596"/>
      <c r="B7" s="596"/>
      <c r="C7" s="598"/>
      <c r="D7" s="601"/>
      <c r="E7" s="602"/>
      <c r="F7" s="602"/>
      <c r="G7" s="603"/>
      <c r="H7" s="992"/>
      <c r="I7" s="992"/>
      <c r="J7" s="992"/>
      <c r="K7" s="992"/>
      <c r="L7" s="123"/>
      <c r="M7" s="599"/>
    </row>
    <row r="8" spans="1:13" s="607" customFormat="1" ht="30.75" customHeight="1" x14ac:dyDescent="0.2">
      <c r="A8" s="604"/>
      <c r="B8" s="604"/>
      <c r="C8" s="605"/>
      <c r="D8" s="718" t="s">
        <v>575</v>
      </c>
      <c r="E8" s="718" t="s">
        <v>617</v>
      </c>
      <c r="F8" s="718" t="s">
        <v>618</v>
      </c>
      <c r="G8" s="718" t="s">
        <v>616</v>
      </c>
      <c r="H8" s="719" t="s">
        <v>547</v>
      </c>
      <c r="I8" s="606"/>
      <c r="J8" s="606"/>
      <c r="K8" s="990" t="s">
        <v>619</v>
      </c>
      <c r="L8" s="990"/>
      <c r="M8" s="732"/>
    </row>
    <row r="9" spans="1:13" s="593" customFormat="1" ht="20.25" customHeight="1" x14ac:dyDescent="0.25">
      <c r="A9" s="596"/>
      <c r="B9" s="596"/>
      <c r="C9" s="740" t="s">
        <v>202</v>
      </c>
      <c r="D9" s="797" t="str">
        <f>'1.PlanAhead'!E22&amp;" "&amp;'1.PlanAhead'!F22</f>
        <v xml:space="preserve"> (select)</v>
      </c>
      <c r="E9" s="797" t="str">
        <f>IF('1.PlanAhead'!T22, "Y", "N")</f>
        <v>N</v>
      </c>
      <c r="F9" s="797">
        <f>'1.PlanAhead'!H22</f>
        <v>0</v>
      </c>
      <c r="G9" s="797">
        <f>'1.PlanAhead'!I22</f>
        <v>0</v>
      </c>
      <c r="H9" s="798">
        <f>'1.PlanAhead'!J22</f>
        <v>0</v>
      </c>
      <c r="I9" s="602"/>
      <c r="J9" s="602"/>
      <c r="K9" s="989">
        <f>'1.PlanAhead'!AD22</f>
        <v>0</v>
      </c>
      <c r="L9" s="996"/>
      <c r="M9" s="636"/>
    </row>
    <row r="10" spans="1:13" s="593" customFormat="1" ht="20.25" customHeight="1" x14ac:dyDescent="0.25">
      <c r="A10" s="596"/>
      <c r="B10" s="596"/>
      <c r="C10" s="740" t="str">
        <f>'1.PlanAhead'!Z23</f>
        <v/>
      </c>
      <c r="D10" s="797" t="str">
        <f>'1.PlanAhead'!E23&amp;" "&amp;'1.PlanAhead'!F23</f>
        <v xml:space="preserve"> (select)</v>
      </c>
      <c r="E10" s="797" t="str">
        <f>IF('1.PlanAhead'!T23, "Y", "N")</f>
        <v>N</v>
      </c>
      <c r="F10" s="797">
        <f>'1.PlanAhead'!H23</f>
        <v>0</v>
      </c>
      <c r="G10" s="797">
        <f>'1.PlanAhead'!I23</f>
        <v>0</v>
      </c>
      <c r="H10" s="798">
        <f>'1.PlanAhead'!J23</f>
        <v>0</v>
      </c>
      <c r="I10" s="602"/>
      <c r="J10" s="602"/>
      <c r="K10" s="996"/>
      <c r="L10" s="996"/>
      <c r="M10" s="608"/>
    </row>
    <row r="11" spans="1:13" s="593" customFormat="1" ht="20.25" customHeight="1" x14ac:dyDescent="0.25">
      <c r="A11" s="596"/>
      <c r="B11" s="596"/>
      <c r="C11" s="740" t="str">
        <f>'1.PlanAhead'!Z24</f>
        <v/>
      </c>
      <c r="D11" s="797" t="str">
        <f>'1.PlanAhead'!E24&amp;" "&amp;'1.PlanAhead'!F24</f>
        <v xml:space="preserve"> (select)</v>
      </c>
      <c r="E11" s="797" t="str">
        <f>IF('1.PlanAhead'!T24, "Y", "N")</f>
        <v>N</v>
      </c>
      <c r="F11" s="797">
        <f>'1.PlanAhead'!H24</f>
        <v>0</v>
      </c>
      <c r="G11" s="797">
        <f>'1.PlanAhead'!I24</f>
        <v>0</v>
      </c>
      <c r="H11" s="798">
        <f>'1.PlanAhead'!J24</f>
        <v>0</v>
      </c>
      <c r="I11" s="609"/>
      <c r="J11" s="609"/>
      <c r="K11" s="996"/>
      <c r="L11" s="996"/>
      <c r="M11" s="592"/>
    </row>
    <row r="12" spans="1:13" s="593" customFormat="1" ht="20.25" customHeight="1" x14ac:dyDescent="0.25">
      <c r="A12" s="596"/>
      <c r="B12" s="596"/>
      <c r="C12" s="740" t="str">
        <f>'1.PlanAhead'!Z25</f>
        <v/>
      </c>
      <c r="D12" s="797" t="str">
        <f>'1.PlanAhead'!E25&amp;" "&amp;'1.PlanAhead'!F25</f>
        <v xml:space="preserve"> (select)</v>
      </c>
      <c r="E12" s="797" t="str">
        <f>IF('1.PlanAhead'!T25, "Y", "N")</f>
        <v>N</v>
      </c>
      <c r="F12" s="797">
        <f>'1.PlanAhead'!H25</f>
        <v>0</v>
      </c>
      <c r="G12" s="797">
        <f>'1.PlanAhead'!I25</f>
        <v>0</v>
      </c>
      <c r="H12" s="798">
        <f>'1.PlanAhead'!J25</f>
        <v>0</v>
      </c>
      <c r="I12" s="610"/>
      <c r="J12" s="610"/>
      <c r="K12" s="996"/>
      <c r="L12" s="996"/>
      <c r="M12" s="592"/>
    </row>
    <row r="13" spans="1:13" s="594" customFormat="1" ht="20.25" customHeight="1" x14ac:dyDescent="0.25">
      <c r="A13" s="628"/>
      <c r="B13" s="628"/>
      <c r="C13" s="866"/>
      <c r="D13" s="864"/>
      <c r="E13" s="864"/>
      <c r="F13" s="864"/>
      <c r="G13" s="869" t="s">
        <v>712</v>
      </c>
      <c r="H13" s="865">
        <f>'1.PlanAhead'!J26</f>
        <v>0</v>
      </c>
      <c r="I13" s="867"/>
      <c r="J13" s="867"/>
      <c r="K13" s="868"/>
      <c r="L13" s="868"/>
    </row>
    <row r="14" spans="1:13" s="593" customFormat="1" ht="8.25" customHeight="1" x14ac:dyDescent="0.25">
      <c r="A14" s="596"/>
      <c r="B14" s="596"/>
      <c r="C14" s="611"/>
      <c r="D14" s="606"/>
      <c r="E14" s="606"/>
      <c r="F14" s="606"/>
      <c r="G14" s="598"/>
      <c r="H14" s="610"/>
      <c r="I14" s="610"/>
      <c r="J14" s="610"/>
      <c r="K14" s="602"/>
      <c r="L14" s="592"/>
      <c r="M14" s="599"/>
    </row>
    <row r="15" spans="1:13" s="593" customFormat="1" ht="22.5" customHeight="1" x14ac:dyDescent="0.3">
      <c r="A15" s="596"/>
      <c r="B15" s="596"/>
      <c r="C15" s="725" t="s">
        <v>735</v>
      </c>
      <c r="D15" s="726"/>
      <c r="E15" s="726"/>
      <c r="F15" s="726"/>
      <c r="G15" s="727"/>
      <c r="H15" s="728" t="s">
        <v>615</v>
      </c>
      <c r="I15" s="729"/>
      <c r="J15" s="730"/>
      <c r="K15" s="733"/>
      <c r="L15" s="734"/>
      <c r="M15" s="599"/>
    </row>
    <row r="16" spans="1:13" s="593" customFormat="1" ht="9" customHeight="1" x14ac:dyDescent="0.25">
      <c r="A16" s="596"/>
      <c r="B16" s="596"/>
      <c r="C16" s="598"/>
      <c r="D16" s="992"/>
      <c r="E16" s="992"/>
      <c r="F16" s="992"/>
      <c r="G16" s="606"/>
      <c r="H16" s="606"/>
      <c r="I16" s="606"/>
      <c r="J16" s="606"/>
      <c r="K16" s="598"/>
      <c r="L16" s="598"/>
      <c r="M16" s="599"/>
    </row>
    <row r="17" spans="1:13" s="593" customFormat="1" ht="7.5" customHeight="1" x14ac:dyDescent="0.25">
      <c r="A17" s="596"/>
      <c r="B17" s="596"/>
      <c r="C17" s="612"/>
      <c r="D17" s="993"/>
      <c r="E17" s="993"/>
      <c r="F17" s="993"/>
      <c r="G17" s="993"/>
      <c r="H17" s="993"/>
      <c r="I17" s="993"/>
      <c r="J17" s="993"/>
      <c r="K17" s="993"/>
      <c r="L17" s="993"/>
      <c r="M17" s="596"/>
    </row>
    <row r="18" spans="1:13" s="593" customFormat="1" ht="18" customHeight="1" x14ac:dyDescent="0.25">
      <c r="A18" s="123"/>
      <c r="B18" s="596"/>
      <c r="D18" s="600"/>
      <c r="E18" s="596"/>
      <c r="F18" s="613"/>
      <c r="G18" s="596"/>
      <c r="H18" s="591"/>
      <c r="I18" s="596"/>
      <c r="J18" s="596"/>
      <c r="K18" s="711" t="str">
        <f>C10</f>
        <v/>
      </c>
      <c r="L18" s="712"/>
      <c r="M18" s="123"/>
    </row>
    <row r="19" spans="1:13" s="593" customFormat="1" ht="18" customHeight="1" x14ac:dyDescent="0.25">
      <c r="A19" s="123"/>
      <c r="B19" s="596"/>
      <c r="C19" s="614"/>
      <c r="D19" s="600"/>
      <c r="E19" s="596"/>
      <c r="F19" s="613"/>
      <c r="G19" s="596"/>
      <c r="I19" s="590"/>
      <c r="J19" s="590"/>
      <c r="K19" s="590"/>
      <c r="L19" s="123"/>
      <c r="M19" s="123"/>
    </row>
    <row r="20" spans="1:13" s="593" customFormat="1" ht="18" customHeight="1" x14ac:dyDescent="0.25">
      <c r="A20" s="123"/>
      <c r="B20" s="596"/>
      <c r="C20" s="614"/>
      <c r="D20" s="600"/>
      <c r="E20" s="596"/>
      <c r="F20" s="613"/>
      <c r="G20" s="596"/>
      <c r="H20" s="590"/>
      <c r="I20" s="590"/>
      <c r="J20" s="590"/>
      <c r="K20" s="590"/>
      <c r="L20" s="123"/>
      <c r="M20" s="123"/>
    </row>
    <row r="21" spans="1:13" s="593" customFormat="1" ht="18" customHeight="1" x14ac:dyDescent="0.25">
      <c r="A21" s="123"/>
      <c r="B21" s="596"/>
      <c r="C21" s="614"/>
      <c r="D21" s="600"/>
      <c r="E21" s="596"/>
      <c r="F21" s="613"/>
      <c r="G21" s="596"/>
      <c r="H21" s="590"/>
      <c r="I21" s="590"/>
      <c r="J21" s="590"/>
      <c r="K21" s="590"/>
      <c r="L21" s="123"/>
      <c r="M21" s="123"/>
    </row>
    <row r="22" spans="1:13" s="593" customFormat="1" ht="18" customHeight="1" x14ac:dyDescent="0.25">
      <c r="A22" s="123"/>
      <c r="B22" s="596"/>
      <c r="C22" s="614"/>
      <c r="D22" s="600"/>
      <c r="E22" s="596"/>
      <c r="F22" s="613"/>
      <c r="G22" s="596"/>
      <c r="H22" s="631"/>
      <c r="I22" s="631"/>
      <c r="J22" s="631"/>
      <c r="K22" s="713" t="str">
        <f>C11</f>
        <v/>
      </c>
      <c r="L22" s="714"/>
      <c r="M22" s="123"/>
    </row>
    <row r="23" spans="1:13" s="593" customFormat="1" ht="18" customHeight="1" x14ac:dyDescent="0.25">
      <c r="A23" s="123"/>
      <c r="B23" s="596"/>
      <c r="C23" s="614"/>
      <c r="D23" s="600"/>
      <c r="E23" s="596"/>
      <c r="F23" s="613"/>
      <c r="G23" s="596"/>
      <c r="H23" s="631"/>
      <c r="I23" s="631"/>
      <c r="J23" s="631"/>
      <c r="K23" s="631"/>
      <c r="L23" s="123"/>
      <c r="M23" s="123"/>
    </row>
    <row r="24" spans="1:13" s="593" customFormat="1" ht="18" customHeight="1" x14ac:dyDescent="0.25">
      <c r="A24" s="123"/>
      <c r="B24" s="596"/>
      <c r="C24" s="614"/>
      <c r="D24" s="600"/>
      <c r="E24" s="596"/>
      <c r="F24" s="613"/>
      <c r="G24" s="596"/>
      <c r="H24" s="631"/>
      <c r="I24" s="631"/>
      <c r="J24" s="631"/>
      <c r="K24" s="631"/>
      <c r="L24" s="123"/>
      <c r="M24" s="123"/>
    </row>
    <row r="25" spans="1:13" s="593" customFormat="1" ht="18" customHeight="1" x14ac:dyDescent="0.25">
      <c r="A25" s="123"/>
      <c r="B25" s="596"/>
      <c r="C25" s="614"/>
      <c r="D25" s="600"/>
      <c r="E25" s="596"/>
      <c r="F25" s="613"/>
      <c r="G25" s="596"/>
      <c r="H25" s="632"/>
      <c r="I25" s="632"/>
      <c r="J25" s="632"/>
      <c r="K25" s="632"/>
      <c r="L25" s="123"/>
      <c r="M25" s="123"/>
    </row>
    <row r="26" spans="1:13" s="593" customFormat="1" ht="18" customHeight="1" x14ac:dyDescent="0.25">
      <c r="A26" s="123"/>
      <c r="B26" s="596"/>
      <c r="C26" s="614"/>
      <c r="D26" s="600"/>
      <c r="E26" s="596"/>
      <c r="F26" s="613"/>
      <c r="G26" s="596"/>
      <c r="H26" s="632"/>
      <c r="I26" s="632"/>
      <c r="J26" s="632"/>
      <c r="K26" s="715" t="str">
        <f>C12</f>
        <v/>
      </c>
      <c r="L26" s="716"/>
      <c r="M26" s="123"/>
    </row>
    <row r="27" spans="1:13" s="593" customFormat="1" ht="10.5" customHeight="1" x14ac:dyDescent="0.25">
      <c r="A27" s="123"/>
      <c r="B27" s="596"/>
      <c r="C27" s="614"/>
      <c r="D27" s="600"/>
      <c r="E27" s="596"/>
      <c r="F27" s="613"/>
      <c r="G27" s="596"/>
      <c r="H27" s="632"/>
      <c r="I27" s="632"/>
      <c r="J27" s="632"/>
      <c r="K27" s="632"/>
      <c r="L27" s="123"/>
      <c r="M27" s="123"/>
    </row>
    <row r="28" spans="1:13" s="593" customFormat="1" ht="18" customHeight="1" x14ac:dyDescent="0.25">
      <c r="A28" s="123"/>
      <c r="B28" s="596"/>
      <c r="C28" s="614"/>
      <c r="D28" s="600"/>
      <c r="E28" s="596"/>
      <c r="F28" s="613"/>
      <c r="G28" s="596"/>
      <c r="H28" s="596"/>
      <c r="I28" s="596"/>
      <c r="J28" s="596"/>
      <c r="K28" s="596"/>
      <c r="L28" s="123"/>
      <c r="M28" s="123"/>
    </row>
    <row r="29" spans="1:13" s="593" customFormat="1" ht="8.25" customHeight="1" x14ac:dyDescent="0.25">
      <c r="A29" s="123"/>
      <c r="B29" s="596"/>
      <c r="C29" s="614"/>
      <c r="D29" s="600"/>
      <c r="E29" s="596"/>
      <c r="F29" s="613"/>
      <c r="G29" s="596"/>
      <c r="H29" s="596"/>
      <c r="I29" s="596"/>
      <c r="J29" s="596"/>
      <c r="K29" s="596"/>
      <c r="L29" s="123"/>
      <c r="M29" s="123"/>
    </row>
    <row r="30" spans="1:13" s="593" customFormat="1" ht="22.5" customHeight="1" x14ac:dyDescent="0.25">
      <c r="A30" s="123"/>
      <c r="B30" s="596"/>
      <c r="C30" s="717" t="s">
        <v>620</v>
      </c>
      <c r="D30" s="600"/>
      <c r="E30" s="596"/>
      <c r="F30" s="613"/>
      <c r="G30" s="596"/>
      <c r="H30" s="596"/>
      <c r="I30" s="596"/>
      <c r="J30" s="596"/>
      <c r="K30" s="596"/>
      <c r="L30" s="123"/>
      <c r="M30" s="123"/>
    </row>
    <row r="31" spans="1:13" s="593" customFormat="1" ht="18" customHeight="1" x14ac:dyDescent="0.25">
      <c r="A31" s="123"/>
      <c r="B31" s="596"/>
      <c r="C31" s="979" t="str">
        <f>IF('2.GatherData'!E11="","",'2.GatherData'!E11)</f>
        <v/>
      </c>
      <c r="D31" s="980"/>
      <c r="E31" s="980"/>
      <c r="F31" s="980"/>
      <c r="G31" s="980"/>
      <c r="H31" s="980"/>
      <c r="I31" s="980"/>
      <c r="J31" s="980"/>
      <c r="K31" s="980"/>
      <c r="L31" s="980"/>
      <c r="M31" s="981"/>
    </row>
    <row r="32" spans="1:13" s="593" customFormat="1" ht="10.5" customHeight="1" x14ac:dyDescent="0.25">
      <c r="A32" s="123"/>
      <c r="B32" s="596"/>
      <c r="C32" s="982"/>
      <c r="D32" s="983"/>
      <c r="E32" s="983"/>
      <c r="F32" s="983"/>
      <c r="G32" s="983"/>
      <c r="H32" s="983"/>
      <c r="I32" s="983"/>
      <c r="J32" s="983"/>
      <c r="K32" s="983"/>
      <c r="L32" s="983"/>
      <c r="M32" s="984"/>
    </row>
    <row r="33" spans="1:13" s="593" customFormat="1" ht="18" customHeight="1" x14ac:dyDescent="0.25">
      <c r="A33" s="123"/>
      <c r="B33" s="596"/>
      <c r="C33" s="985"/>
      <c r="D33" s="986"/>
      <c r="E33" s="986"/>
      <c r="F33" s="986"/>
      <c r="G33" s="986"/>
      <c r="H33" s="986"/>
      <c r="I33" s="986"/>
      <c r="J33" s="986"/>
      <c r="K33" s="986"/>
      <c r="L33" s="986"/>
      <c r="M33" s="987"/>
    </row>
    <row r="34" spans="1:13" s="593" customFormat="1" ht="8.25" customHeight="1" x14ac:dyDescent="0.25">
      <c r="A34" s="123"/>
      <c r="B34" s="596"/>
      <c r="C34" s="618"/>
      <c r="D34" s="618"/>
      <c r="E34" s="618"/>
      <c r="F34" s="618"/>
      <c r="G34" s="618"/>
      <c r="H34" s="618"/>
      <c r="I34" s="618"/>
      <c r="J34" s="618"/>
      <c r="K34" s="618"/>
      <c r="L34" s="618"/>
      <c r="M34" s="618"/>
    </row>
    <row r="35" spans="1:13" s="593" customFormat="1" ht="18" customHeight="1" x14ac:dyDescent="0.25">
      <c r="A35" s="123"/>
      <c r="B35" s="596"/>
      <c r="C35" s="720" t="s">
        <v>639</v>
      </c>
      <c r="D35" s="600"/>
      <c r="E35" s="596"/>
      <c r="F35" s="613"/>
      <c r="G35" s="596"/>
      <c r="H35" s="596"/>
      <c r="I35" s="596"/>
      <c r="J35" s="596"/>
      <c r="K35" s="596"/>
      <c r="L35" s="123"/>
      <c r="M35" s="123"/>
    </row>
    <row r="36" spans="1:13" s="593" customFormat="1" ht="8.25" customHeight="1" x14ac:dyDescent="0.25">
      <c r="A36" s="123"/>
      <c r="B36" s="596"/>
      <c r="C36" s="614"/>
      <c r="D36" s="600"/>
      <c r="E36" s="596"/>
      <c r="F36" s="613"/>
      <c r="G36" s="596"/>
      <c r="H36" s="596"/>
      <c r="I36" s="596"/>
      <c r="J36" s="596"/>
      <c r="K36" s="596"/>
      <c r="L36" s="123"/>
      <c r="M36" s="123"/>
    </row>
    <row r="37" spans="1:13" s="593" customFormat="1" ht="18" customHeight="1" x14ac:dyDescent="0.25">
      <c r="A37" s="123"/>
      <c r="B37" s="596"/>
      <c r="C37" s="622" t="s">
        <v>621</v>
      </c>
      <c r="D37" s="623"/>
      <c r="E37" s="623"/>
      <c r="F37" s="622"/>
      <c r="G37" s="623"/>
      <c r="H37" s="623"/>
      <c r="I37" s="623"/>
      <c r="J37" s="627"/>
      <c r="K37" s="990" t="s">
        <v>628</v>
      </c>
      <c r="L37" s="990"/>
      <c r="M37" s="592"/>
    </row>
    <row r="38" spans="1:13" s="593" customFormat="1" ht="18" customHeight="1" x14ac:dyDescent="0.25">
      <c r="A38" s="123"/>
      <c r="B38" s="596"/>
      <c r="C38" s="614"/>
      <c r="E38" s="624" t="s">
        <v>737</v>
      </c>
      <c r="F38" s="721">
        <f>calcs!E38</f>
        <v>0</v>
      </c>
      <c r="G38" s="625" t="s">
        <v>623</v>
      </c>
      <c r="H38" s="596"/>
      <c r="I38" s="596"/>
      <c r="J38" s="628"/>
      <c r="K38" s="990"/>
      <c r="L38" s="990"/>
      <c r="M38" s="592"/>
    </row>
    <row r="39" spans="1:13" s="593" customFormat="1" ht="18" customHeight="1" x14ac:dyDescent="0.25">
      <c r="A39" s="123"/>
      <c r="B39" s="596"/>
      <c r="C39" s="614"/>
      <c r="E39" s="624" t="s">
        <v>603</v>
      </c>
      <c r="F39" s="721">
        <f>calcs!E39</f>
        <v>0</v>
      </c>
      <c r="G39" s="988" t="s">
        <v>626</v>
      </c>
      <c r="H39" s="988"/>
      <c r="I39" s="988"/>
      <c r="J39" s="629"/>
      <c r="K39" s="989">
        <f>calcs!J40</f>
        <v>0</v>
      </c>
      <c r="L39" s="989"/>
      <c r="M39" s="592"/>
    </row>
    <row r="40" spans="1:13" s="593" customFormat="1" ht="18" customHeight="1" x14ac:dyDescent="0.25">
      <c r="A40" s="123"/>
      <c r="B40" s="596"/>
      <c r="C40" s="614"/>
      <c r="E40" s="624"/>
      <c r="F40" s="721"/>
      <c r="G40" s="988"/>
      <c r="H40" s="988"/>
      <c r="I40" s="988"/>
      <c r="J40" s="629"/>
      <c r="K40" s="989"/>
      <c r="L40" s="989"/>
      <c r="M40" s="592"/>
    </row>
    <row r="41" spans="1:13" s="593" customFormat="1" ht="18" customHeight="1" x14ac:dyDescent="0.25">
      <c r="A41" s="123"/>
      <c r="B41" s="596"/>
      <c r="C41" s="614"/>
      <c r="E41" s="624" t="s">
        <v>624</v>
      </c>
      <c r="F41" s="721">
        <f>-calcs!E40</f>
        <v>0</v>
      </c>
      <c r="G41" s="625" t="s">
        <v>625</v>
      </c>
      <c r="H41" s="596"/>
      <c r="I41" s="596"/>
      <c r="J41" s="628"/>
      <c r="K41" s="989"/>
      <c r="L41" s="989"/>
      <c r="M41" s="592"/>
    </row>
    <row r="42" spans="1:13" s="593" customFormat="1" ht="18" customHeight="1" x14ac:dyDescent="0.25">
      <c r="A42" s="123"/>
      <c r="B42" s="596"/>
      <c r="C42" s="614"/>
      <c r="D42" s="600"/>
      <c r="E42" s="596"/>
      <c r="F42" s="613"/>
      <c r="G42" s="596"/>
      <c r="H42" s="596"/>
      <c r="I42" s="596"/>
      <c r="J42" s="628"/>
      <c r="K42" s="989"/>
      <c r="L42" s="989"/>
      <c r="M42" s="592"/>
    </row>
    <row r="43" spans="1:13" s="593" customFormat="1" ht="18" customHeight="1" x14ac:dyDescent="0.25">
      <c r="A43" s="123"/>
      <c r="B43" s="596"/>
      <c r="C43" s="621" t="s">
        <v>622</v>
      </c>
      <c r="D43" s="620"/>
      <c r="E43" s="620"/>
      <c r="F43" s="619"/>
      <c r="G43" s="620"/>
      <c r="H43" s="620"/>
      <c r="I43" s="620"/>
      <c r="J43" s="630"/>
      <c r="K43" s="592"/>
      <c r="L43" s="592"/>
      <c r="M43" s="592"/>
    </row>
    <row r="44" spans="1:13" s="593" customFormat="1" ht="18" customHeight="1" x14ac:dyDescent="0.25">
      <c r="A44" s="123"/>
      <c r="B44" s="596"/>
      <c r="C44" s="614"/>
      <c r="D44" s="600"/>
      <c r="E44" s="624" t="s">
        <v>737</v>
      </c>
      <c r="F44" s="721">
        <f>calcs!F38</f>
        <v>0</v>
      </c>
      <c r="G44" s="625" t="s">
        <v>623</v>
      </c>
      <c r="H44" s="596"/>
      <c r="I44" s="596"/>
      <c r="J44" s="596"/>
      <c r="K44" s="596"/>
      <c r="L44" s="123"/>
      <c r="M44" s="123"/>
    </row>
    <row r="45" spans="1:13" s="593" customFormat="1" ht="18" customHeight="1" x14ac:dyDescent="0.25">
      <c r="A45" s="123"/>
      <c r="B45" s="596"/>
      <c r="C45" s="614"/>
      <c r="D45" s="600"/>
      <c r="E45" s="624" t="s">
        <v>603</v>
      </c>
      <c r="F45" s="721">
        <f>calcs!F39</f>
        <v>0</v>
      </c>
      <c r="G45" s="988" t="s">
        <v>627</v>
      </c>
      <c r="H45" s="988"/>
      <c r="I45" s="988"/>
      <c r="J45" s="626"/>
      <c r="K45" s="596"/>
      <c r="L45" s="123"/>
      <c r="M45" s="123"/>
    </row>
    <row r="46" spans="1:13" s="593" customFormat="1" ht="18" customHeight="1" x14ac:dyDescent="0.25">
      <c r="A46" s="123"/>
      <c r="B46" s="596"/>
      <c r="C46" s="614"/>
      <c r="D46" s="600"/>
      <c r="E46" s="624"/>
      <c r="F46" s="722"/>
      <c r="G46" s="988"/>
      <c r="H46" s="988"/>
      <c r="I46" s="988"/>
      <c r="J46" s="626"/>
      <c r="K46" s="596"/>
      <c r="L46" s="123"/>
      <c r="M46" s="123"/>
    </row>
    <row r="47" spans="1:13" s="593" customFormat="1" ht="18" customHeight="1" x14ac:dyDescent="0.25">
      <c r="A47" s="123"/>
      <c r="B47" s="596"/>
      <c r="C47" s="614"/>
      <c r="D47" s="600"/>
      <c r="E47" s="624" t="s">
        <v>624</v>
      </c>
      <c r="F47" s="721">
        <f>-calcs!F40</f>
        <v>0</v>
      </c>
      <c r="G47" s="625" t="s">
        <v>625</v>
      </c>
      <c r="H47" s="596"/>
      <c r="I47" s="596"/>
      <c r="J47" s="596"/>
      <c r="K47" s="596"/>
      <c r="L47" s="123"/>
      <c r="M47" s="123"/>
    </row>
    <row r="48" spans="1:13" s="593" customFormat="1" ht="3" customHeight="1" x14ac:dyDescent="0.25">
      <c r="A48" s="123"/>
      <c r="B48" s="596"/>
      <c r="C48" s="614"/>
      <c r="D48" s="600"/>
      <c r="E48" s="596"/>
      <c r="F48" s="613"/>
      <c r="G48" s="596"/>
      <c r="H48" s="596"/>
      <c r="I48" s="596"/>
      <c r="J48" s="596"/>
      <c r="K48" s="596"/>
      <c r="L48" s="123"/>
      <c r="M48" s="123"/>
    </row>
    <row r="49" spans="1:13" s="593" customFormat="1" ht="3" customHeight="1" x14ac:dyDescent="0.25">
      <c r="A49" s="123"/>
      <c r="B49" s="596"/>
      <c r="C49" s="634"/>
      <c r="D49" s="600"/>
      <c r="E49" s="596"/>
      <c r="F49" s="613"/>
      <c r="G49" s="596"/>
      <c r="H49" s="596"/>
      <c r="I49" s="596"/>
      <c r="J49" s="596"/>
      <c r="K49" s="596"/>
      <c r="L49" s="123"/>
      <c r="M49" s="123"/>
    </row>
    <row r="50" spans="1:13" s="593" customFormat="1" ht="3" customHeight="1" x14ac:dyDescent="0.25">
      <c r="A50" s="123"/>
      <c r="B50" s="596"/>
      <c r="C50" s="614"/>
      <c r="D50" s="600"/>
      <c r="E50" s="596"/>
      <c r="F50" s="613"/>
      <c r="G50" s="596"/>
      <c r="H50" s="596"/>
      <c r="I50" s="596"/>
      <c r="J50" s="596"/>
      <c r="K50" s="596"/>
      <c r="L50" s="123"/>
      <c r="M50" s="123"/>
    </row>
    <row r="51" spans="1:13" ht="9.75" customHeight="1" x14ac:dyDescent="0.25"/>
    <row r="52" spans="1:13" s="593" customFormat="1" ht="42" customHeight="1" x14ac:dyDescent="0.25">
      <c r="A52" s="123"/>
      <c r="B52" s="123"/>
      <c r="C52" s="978" t="s">
        <v>736</v>
      </c>
      <c r="D52" s="978"/>
      <c r="E52" s="978"/>
      <c r="F52" s="978"/>
      <c r="G52" s="978"/>
      <c r="H52" s="978"/>
      <c r="I52" s="978"/>
      <c r="J52" s="723"/>
      <c r="K52" s="907"/>
      <c r="L52" s="723"/>
      <c r="M52" s="723"/>
    </row>
    <row r="53" spans="1:13" s="593" customFormat="1" ht="4.5" customHeight="1" x14ac:dyDescent="0.25">
      <c r="A53" s="123"/>
      <c r="B53" s="123"/>
      <c r="C53" s="123"/>
      <c r="D53" s="123"/>
      <c r="E53" s="123"/>
      <c r="F53" s="123"/>
      <c r="G53" s="123"/>
      <c r="H53" s="123"/>
      <c r="I53" s="123"/>
      <c r="J53" s="123"/>
      <c r="K53" s="123"/>
      <c r="L53" s="123"/>
      <c r="M53" s="123"/>
    </row>
    <row r="54" spans="1:13" s="593" customFormat="1" ht="10.5" customHeight="1" x14ac:dyDescent="0.25">
      <c r="A54" s="123"/>
      <c r="B54" s="123"/>
      <c r="C54" s="123"/>
      <c r="D54" s="123"/>
      <c r="E54" s="123"/>
      <c r="F54" s="123"/>
      <c r="G54" s="123"/>
      <c r="H54" s="123"/>
      <c r="I54" s="123"/>
      <c r="J54" s="123"/>
      <c r="K54" s="123"/>
      <c r="L54" s="123"/>
      <c r="M54" s="123"/>
    </row>
    <row r="55" spans="1:13" s="593" customFormat="1" x14ac:dyDescent="0.25">
      <c r="A55" s="123"/>
      <c r="B55" s="123"/>
      <c r="C55" s="123"/>
      <c r="D55" s="123"/>
      <c r="E55" s="123"/>
      <c r="F55" s="123"/>
      <c r="G55" s="123"/>
      <c r="H55" s="123"/>
      <c r="I55" s="123"/>
      <c r="J55" s="123"/>
      <c r="K55" s="123"/>
      <c r="L55" s="123"/>
      <c r="M55" s="123"/>
    </row>
    <row r="56" spans="1:13" s="593" customFormat="1" x14ac:dyDescent="0.25">
      <c r="A56" s="123"/>
      <c r="B56" s="123"/>
      <c r="C56" s="123"/>
      <c r="D56" s="123"/>
      <c r="E56" s="123"/>
      <c r="F56" s="123"/>
      <c r="G56" s="123"/>
      <c r="H56" s="123"/>
      <c r="I56" s="123"/>
      <c r="J56" s="123"/>
      <c r="K56" s="123"/>
      <c r="L56" s="123"/>
      <c r="M56" s="123"/>
    </row>
    <row r="57" spans="1:13" s="615" customFormat="1" x14ac:dyDescent="0.25">
      <c r="A57" s="123"/>
      <c r="B57" s="123"/>
      <c r="C57" s="724"/>
      <c r="D57" s="724"/>
      <c r="E57" s="724"/>
      <c r="F57" s="724"/>
      <c r="G57" s="724"/>
      <c r="H57" s="724"/>
      <c r="I57" s="724"/>
      <c r="J57" s="724"/>
      <c r="K57" s="724"/>
      <c r="L57" s="724"/>
      <c r="M57" s="724"/>
    </row>
    <row r="58" spans="1:13" s="913" customFormat="1" ht="22.5" customHeight="1" x14ac:dyDescent="0.25">
      <c r="B58" s="924" t="s">
        <v>760</v>
      </c>
      <c r="C58" s="925"/>
    </row>
    <row r="59" spans="1:13" hidden="1" x14ac:dyDescent="0.25"/>
    <row r="60" spans="1:13" hidden="1" x14ac:dyDescent="0.25"/>
  </sheetData>
  <sheetProtection algorithmName="SHA-512" hashValue="waWaUfPZlWRkF46ZYjt8SlgRIoK+qjTvAGlZz0fNfwz2QySimQdCEI2pCfLqUbssnHSnD/tE8sK95lOiQqkazg==" saltValue="V19jUcxgfCEGS4+t1iy/OA==" spinCount="100000" sheet="1" objects="1" scenarios="1"/>
  <mergeCells count="14">
    <mergeCell ref="H1:K1"/>
    <mergeCell ref="D16:F16"/>
    <mergeCell ref="D17:L17"/>
    <mergeCell ref="D5:F5"/>
    <mergeCell ref="H4:L4"/>
    <mergeCell ref="H7:K7"/>
    <mergeCell ref="K8:L8"/>
    <mergeCell ref="K9:L12"/>
    <mergeCell ref="C52:I52"/>
    <mergeCell ref="C31:M33"/>
    <mergeCell ref="G45:I46"/>
    <mergeCell ref="G39:I40"/>
    <mergeCell ref="K39:L42"/>
    <mergeCell ref="K37:L38"/>
  </mergeCells>
  <conditionalFormatting sqref="I9:K9 H18 H20:H30 I18:M30 G18:G30 D18:E30 D35:E37 E38:F41 G42:G45 G35:G37 F44:F45 D42:E50 F47 H41:J44 G47:J50 H35:J38 M35:M50 K35:L36 K39 K43:L50 I10:J13 D51:M51 H7:K7 I8:L8 M9:M10 H14:K15 D53:M2971 C57:C58">
    <cfRule type="expression" dxfId="95" priority="48">
      <formula>#REF!</formula>
    </cfRule>
  </conditionalFormatting>
  <conditionalFormatting sqref="D10:H10">
    <cfRule type="expression" dxfId="94" priority="3">
      <formula>$C$10=""</formula>
    </cfRule>
  </conditionalFormatting>
  <conditionalFormatting sqref="D11:H11">
    <cfRule type="expression" dxfId="93" priority="2">
      <formula>$C$11=""</formula>
    </cfRule>
  </conditionalFormatting>
  <conditionalFormatting sqref="D12:H12">
    <cfRule type="expression" dxfId="92" priority="1">
      <formula>$C$12=""</formula>
    </cfRule>
  </conditionalFormatting>
  <pageMargins left="0.7" right="0.7" top="0.75" bottom="0.75" header="0.3" footer="0.3"/>
  <pageSetup scale="73"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sheetPr>
  <dimension ref="A1:AS96"/>
  <sheetViews>
    <sheetView showGridLines="0" topLeftCell="B1" zoomScaleNormal="100" workbookViewId="0">
      <selection activeCell="N8" sqref="N8:O8"/>
    </sheetView>
  </sheetViews>
  <sheetFormatPr defaultRowHeight="15" x14ac:dyDescent="0.25"/>
  <cols>
    <col min="1" max="1" width="1.7109375" customWidth="1"/>
    <col min="2" max="2" width="3" customWidth="1"/>
    <col min="3" max="3" width="18.7109375" customWidth="1"/>
    <col min="4" max="4" width="10.28515625" customWidth="1"/>
    <col min="5" max="5" width="7.7109375" customWidth="1"/>
    <col min="6" max="6" width="7.42578125" customWidth="1"/>
    <col min="7" max="7" width="3.140625" customWidth="1"/>
    <col min="8" max="8" width="4.85546875" customWidth="1"/>
    <col min="9" max="9" width="3" customWidth="1"/>
    <col min="10" max="10" width="10.42578125" customWidth="1"/>
    <col min="11" max="11" width="3.42578125" customWidth="1"/>
    <col min="12" max="12" width="14.7109375" customWidth="1"/>
    <col min="13" max="13" width="15" customWidth="1"/>
    <col min="14" max="14" width="3" customWidth="1"/>
    <col min="15" max="15" width="14.85546875" customWidth="1"/>
    <col min="16" max="16" width="9.140625" style="220" customWidth="1"/>
    <col min="17" max="17" width="8.28515625" customWidth="1"/>
    <col min="18" max="18" width="3" customWidth="1"/>
    <col min="19" max="19" width="9.140625" customWidth="1"/>
    <col min="20" max="20" width="3" customWidth="1"/>
    <col min="21" max="21" width="12.42578125" customWidth="1"/>
    <col min="22" max="22" width="32.28515625" customWidth="1"/>
    <col min="23" max="23" width="11.42578125" customWidth="1"/>
    <col min="24" max="25" width="9.28515625" customWidth="1"/>
    <col min="26" max="28" width="9.140625" customWidth="1"/>
    <col min="29" max="29" width="18.28515625" customWidth="1"/>
    <col min="30" max="30" width="9.7109375" customWidth="1"/>
    <col min="31" max="31" width="9.140625" customWidth="1"/>
    <col min="32" max="32" width="14.7109375" customWidth="1"/>
    <col min="33" max="33" width="23.140625" customWidth="1"/>
    <col min="34" max="38" width="9.140625" customWidth="1"/>
    <col min="39" max="39" width="9.140625" style="45" customWidth="1"/>
    <col min="40" max="40" width="9.140625" customWidth="1"/>
    <col min="41" max="41" width="11.42578125" bestFit="1" customWidth="1"/>
  </cols>
  <sheetData>
    <row r="1" spans="1:39" x14ac:dyDescent="0.25">
      <c r="A1" s="327"/>
      <c r="B1" s="327"/>
      <c r="C1" s="327"/>
      <c r="D1" s="327"/>
      <c r="E1" s="327"/>
      <c r="F1" s="327"/>
      <c r="G1" s="327"/>
      <c r="H1" s="327"/>
      <c r="I1" s="327"/>
      <c r="J1" s="327"/>
      <c r="K1" s="327"/>
      <c r="L1" s="327"/>
      <c r="M1" s="327"/>
      <c r="N1" s="327"/>
      <c r="O1" s="327"/>
      <c r="P1" s="327"/>
      <c r="Q1" s="327"/>
      <c r="U1" s="32"/>
      <c r="V1" s="32"/>
      <c r="W1" s="32"/>
    </row>
    <row r="2" spans="1:39" ht="15.75" x14ac:dyDescent="0.25">
      <c r="B2" s="123" t="s">
        <v>366</v>
      </c>
      <c r="E2" s="508"/>
    </row>
    <row r="3" spans="1:39" ht="27.75" customHeight="1" x14ac:dyDescent="0.25">
      <c r="B3" s="172" t="s">
        <v>317</v>
      </c>
    </row>
    <row r="4" spans="1:39" ht="18" customHeight="1" x14ac:dyDescent="0.25"/>
    <row r="5" spans="1:39" s="167" customFormat="1" ht="18.75" customHeight="1" x14ac:dyDescent="0.25">
      <c r="B5" s="166" t="s">
        <v>446</v>
      </c>
      <c r="C5" s="168"/>
      <c r="D5" s="173"/>
      <c r="E5" s="173"/>
      <c r="F5" s="173"/>
      <c r="G5" s="173"/>
      <c r="H5" s="173"/>
      <c r="I5" s="173"/>
      <c r="J5" s="173"/>
      <c r="K5" s="173"/>
      <c r="L5" s="173"/>
      <c r="M5" s="173"/>
      <c r="N5" s="168"/>
      <c r="O5" s="168"/>
      <c r="P5" s="168"/>
      <c r="Q5" s="168"/>
      <c r="U5" s="169"/>
      <c r="V5" s="169"/>
      <c r="AM5" s="169"/>
    </row>
    <row r="6" spans="1:39" s="167" customFormat="1" ht="18.75" customHeight="1" x14ac:dyDescent="0.25">
      <c r="B6" s="208"/>
      <c r="C6" s="169"/>
      <c r="D6" s="173"/>
      <c r="E6" s="173"/>
      <c r="F6" s="173"/>
      <c r="G6" s="173"/>
      <c r="H6" s="173"/>
      <c r="I6" s="173"/>
      <c r="J6" s="173"/>
      <c r="K6" s="173"/>
      <c r="L6" s="173"/>
      <c r="M6" s="173"/>
      <c r="N6" s="321"/>
      <c r="O6" s="321"/>
      <c r="P6" s="321"/>
      <c r="Q6" s="169"/>
      <c r="S6"/>
      <c r="U6" s="169"/>
      <c r="V6" s="169"/>
      <c r="AM6" s="169"/>
    </row>
    <row r="7" spans="1:39" ht="18.75" customHeight="1" x14ac:dyDescent="0.3">
      <c r="B7" s="1"/>
      <c r="C7" s="45"/>
      <c r="D7" s="45"/>
      <c r="E7" s="45"/>
      <c r="F7" s="45"/>
      <c r="G7" s="45"/>
      <c r="H7" s="45"/>
      <c r="I7" s="45"/>
      <c r="J7" s="45"/>
      <c r="K7" s="45"/>
      <c r="L7" s="241" t="s">
        <v>244</v>
      </c>
      <c r="M7" s="45"/>
      <c r="N7" s="224"/>
      <c r="O7" s="224"/>
      <c r="P7" s="224"/>
      <c r="Q7" s="45"/>
      <c r="U7" s="45"/>
      <c r="V7" s="45"/>
    </row>
    <row r="8" spans="1:39" ht="18.75" customHeight="1" x14ac:dyDescent="0.25">
      <c r="C8" s="174" t="s">
        <v>125</v>
      </c>
      <c r="D8" s="1009" t="s">
        <v>545</v>
      </c>
      <c r="E8" s="1009"/>
      <c r="F8" s="1009"/>
      <c r="G8" s="1009"/>
      <c r="H8" s="1009"/>
      <c r="I8" s="1009"/>
      <c r="J8" s="1009"/>
      <c r="L8" s="1000" t="s">
        <v>297</v>
      </c>
      <c r="M8" s="1000"/>
      <c r="N8" s="1005"/>
      <c r="O8" s="1005"/>
      <c r="P8" s="221"/>
      <c r="U8" s="45"/>
      <c r="V8" s="45"/>
      <c r="W8" s="104" t="s">
        <v>178</v>
      </c>
      <c r="Z8" s="220" t="s">
        <v>496</v>
      </c>
      <c r="AC8" s="84" t="s">
        <v>1</v>
      </c>
      <c r="AD8" s="86"/>
      <c r="AF8" s="84" t="s">
        <v>177</v>
      </c>
      <c r="AG8" s="85"/>
      <c r="AH8" s="4"/>
      <c r="AI8" t="s">
        <v>215</v>
      </c>
      <c r="AJ8" t="e">
        <f>#REF!</f>
        <v>#REF!</v>
      </c>
    </row>
    <row r="9" spans="1:39" ht="18.75" customHeight="1" x14ac:dyDescent="0.25">
      <c r="C9" s="174" t="s">
        <v>471</v>
      </c>
      <c r="D9" s="1010" t="s">
        <v>240</v>
      </c>
      <c r="E9" s="1011"/>
      <c r="F9" s="1011"/>
      <c r="G9" s="1011"/>
      <c r="H9" s="1011"/>
      <c r="I9" s="1011"/>
      <c r="J9" s="1011"/>
      <c r="L9" s="1007" t="s">
        <v>220</v>
      </c>
      <c r="M9" s="1007"/>
      <c r="N9" s="1006"/>
      <c r="O9" s="1006"/>
      <c r="U9" s="45"/>
      <c r="V9" s="45"/>
      <c r="W9" s="104" t="s">
        <v>316</v>
      </c>
      <c r="Z9" s="220" t="s">
        <v>497</v>
      </c>
      <c r="AA9">
        <f>IF(OR(D9=AC10, ISBLANK(D9)), 0, 1)</f>
        <v>1</v>
      </c>
      <c r="AC9" s="79"/>
      <c r="AD9" s="87"/>
      <c r="AF9" s="80"/>
      <c r="AG9" s="67"/>
      <c r="AH9" s="4"/>
    </row>
    <row r="10" spans="1:39" ht="18.75" customHeight="1" x14ac:dyDescent="0.25">
      <c r="D10" s="1008" t="s">
        <v>530</v>
      </c>
      <c r="E10" s="1008"/>
      <c r="F10" s="1008"/>
      <c r="G10" s="1008"/>
      <c r="H10" s="1008"/>
      <c r="I10" s="1008"/>
      <c r="J10" s="1008"/>
      <c r="L10" s="1007" t="s">
        <v>499</v>
      </c>
      <c r="M10" s="1007"/>
      <c r="N10" s="1006"/>
      <c r="O10" s="1006"/>
      <c r="U10" s="6"/>
      <c r="V10" s="6"/>
      <c r="W10" s="105" t="s">
        <v>13</v>
      </c>
      <c r="Z10" s="220" t="s">
        <v>498</v>
      </c>
      <c r="AA10" s="220">
        <f>IF(OR(D11=AF10, ISBLANK(D11)), 0, 1)</f>
        <v>0</v>
      </c>
      <c r="AC10" s="82" t="s">
        <v>280</v>
      </c>
      <c r="AD10" s="88" t="s">
        <v>159</v>
      </c>
      <c r="AF10" s="81" t="s">
        <v>281</v>
      </c>
      <c r="AG10" s="67"/>
    </row>
    <row r="11" spans="1:39" ht="18.75" customHeight="1" x14ac:dyDescent="0.25">
      <c r="C11" s="175" t="s">
        <v>28</v>
      </c>
      <c r="D11" s="1010" t="s">
        <v>281</v>
      </c>
      <c r="E11" s="1010"/>
      <c r="F11" s="1010"/>
      <c r="G11" s="1010"/>
      <c r="H11" s="1010"/>
      <c r="I11" s="1010"/>
      <c r="J11" s="1010"/>
      <c r="L11" s="1000"/>
      <c r="M11" s="1000"/>
      <c r="N11" s="1005"/>
      <c r="O11" s="1005"/>
      <c r="U11" s="6"/>
      <c r="V11" s="6"/>
      <c r="W11" s="105" t="s">
        <v>14</v>
      </c>
      <c r="Z11" t="e">
        <f>IF(AJ8="MF",L9,IF(AJ8="Venue",L10,L8))</f>
        <v>#REF!</v>
      </c>
      <c r="AA11" t="e">
        <f>IF(Z11=L8,IF(ISBLANK(N8),0,1),IF(Z11=L9,IF(ISBLANK(N9),0,1),IF(Z11=L10,IF(ISBLANK(N10),0,1))))</f>
        <v>#REF!</v>
      </c>
      <c r="AB11" s="220" t="e">
        <f>IF(Z11=L8,"O8",IF(Z11=L9,"O9","O10"))</f>
        <v>#REF!</v>
      </c>
      <c r="AC11" s="82" t="s">
        <v>3</v>
      </c>
      <c r="AD11" s="88" t="s">
        <v>158</v>
      </c>
      <c r="AF11" s="81" t="s">
        <v>308</v>
      </c>
      <c r="AG11" s="67" t="s">
        <v>6</v>
      </c>
      <c r="AH11" s="5"/>
    </row>
    <row r="12" spans="1:39" ht="18.75" customHeight="1" x14ac:dyDescent="0.25">
      <c r="I12" s="17"/>
      <c r="L12" s="322"/>
      <c r="M12" s="322"/>
      <c r="N12" s="322"/>
      <c r="O12" s="322"/>
      <c r="U12" s="6"/>
      <c r="V12" s="6"/>
      <c r="W12" s="105" t="s">
        <v>250</v>
      </c>
      <c r="X12" s="220"/>
      <c r="Y12" s="220"/>
      <c r="Z12" s="220" t="s">
        <v>500</v>
      </c>
      <c r="AA12">
        <f>IF(AND(Y29, J18="(select material from list)", J19="(select material from list)", J20="(select material from list)", N18="(select material from list)", N19="(select material from list)", N20="(select material from list)"), 0, 1)</f>
        <v>1</v>
      </c>
      <c r="AC12" s="89" t="s">
        <v>240</v>
      </c>
      <c r="AD12" s="90" t="s">
        <v>160</v>
      </c>
      <c r="AF12" s="82" t="s">
        <v>50</v>
      </c>
      <c r="AG12" s="67" t="s">
        <v>5</v>
      </c>
      <c r="AH12" s="5"/>
    </row>
    <row r="13" spans="1:39" ht="18.75" customHeight="1" x14ac:dyDescent="0.25">
      <c r="B13" s="166" t="s">
        <v>447</v>
      </c>
      <c r="C13" s="21"/>
      <c r="D13" s="21"/>
      <c r="E13" s="21"/>
      <c r="F13" s="21"/>
      <c r="G13" s="164"/>
      <c r="H13" s="164"/>
      <c r="I13" s="164"/>
      <c r="J13" s="21"/>
      <c r="K13" s="21"/>
      <c r="L13" s="21"/>
      <c r="M13" s="21"/>
      <c r="N13" s="21"/>
      <c r="O13" s="21"/>
      <c r="P13" s="21"/>
      <c r="Q13" s="21"/>
      <c r="U13" s="6"/>
      <c r="V13" s="6"/>
      <c r="W13" s="105" t="s">
        <v>249</v>
      </c>
      <c r="Z13" s="220" t="s">
        <v>501</v>
      </c>
      <c r="AA13" s="220">
        <f>IF(OR(AND(W29,X29), AND(W29,Y29)), 0, 1)</f>
        <v>1</v>
      </c>
      <c r="AC13" s="89" t="s">
        <v>96</v>
      </c>
      <c r="AD13" s="90" t="s">
        <v>2</v>
      </c>
      <c r="AF13" s="82" t="s">
        <v>48</v>
      </c>
      <c r="AG13" s="67" t="s">
        <v>5</v>
      </c>
      <c r="AH13" s="5"/>
    </row>
    <row r="14" spans="1:39" ht="18.75" customHeight="1" x14ac:dyDescent="0.25">
      <c r="C14" s="295" t="s">
        <v>306</v>
      </c>
      <c r="D14" s="45"/>
      <c r="E14" s="45"/>
      <c r="F14" s="45"/>
      <c r="G14" s="296" t="s">
        <v>314</v>
      </c>
      <c r="H14" s="45"/>
      <c r="I14" s="45"/>
      <c r="L14" s="45"/>
      <c r="M14" s="45"/>
      <c r="N14" s="45"/>
      <c r="O14" s="45"/>
      <c r="P14" s="45"/>
      <c r="Q14" s="45"/>
      <c r="V14" s="6"/>
      <c r="W14" s="105" t="s">
        <v>87</v>
      </c>
      <c r="Z14" s="220" t="s">
        <v>522</v>
      </c>
      <c r="AA14" s="220">
        <f>IF(AND(W29=FALSE, X29=FALSE, Y29=FALSE), 0, 1)</f>
        <v>1</v>
      </c>
      <c r="AC14" s="89" t="s">
        <v>97</v>
      </c>
      <c r="AD14" s="90" t="s">
        <v>2</v>
      </c>
      <c r="AF14" s="82" t="s">
        <v>309</v>
      </c>
      <c r="AG14" s="67" t="s">
        <v>4</v>
      </c>
      <c r="AH14" s="5"/>
      <c r="AM14" s="313"/>
    </row>
    <row r="15" spans="1:39" s="220" customFormat="1" ht="18.75" customHeight="1" x14ac:dyDescent="0.25">
      <c r="C15" s="294" t="s">
        <v>107</v>
      </c>
      <c r="D15" s="45"/>
      <c r="E15" s="45"/>
      <c r="F15" s="45"/>
      <c r="G15" s="33"/>
      <c r="H15" s="221" t="s">
        <v>472</v>
      </c>
      <c r="L15" s="45"/>
      <c r="M15" s="45"/>
      <c r="N15" s="45"/>
      <c r="O15" s="45"/>
      <c r="P15" s="306"/>
      <c r="Q15" s="306" t="s">
        <v>313</v>
      </c>
      <c r="V15" s="45"/>
      <c r="W15" s="105" t="s">
        <v>307</v>
      </c>
      <c r="X15"/>
      <c r="Y15"/>
      <c r="Z15"/>
      <c r="AA15"/>
      <c r="AB15"/>
      <c r="AC15" s="89" t="s">
        <v>89</v>
      </c>
      <c r="AD15" s="90" t="s">
        <v>160</v>
      </c>
      <c r="AE15"/>
      <c r="AF15" s="82" t="s">
        <v>49</v>
      </c>
      <c r="AG15" s="67" t="s">
        <v>5</v>
      </c>
      <c r="AH15" s="5"/>
      <c r="AM15" s="313"/>
    </row>
    <row r="16" spans="1:39" ht="18.75" customHeight="1" x14ac:dyDescent="0.25">
      <c r="C16" s="1001" t="str">
        <f>IF(OR(AND(W29,X29), AND(W29,Y29)), "Error: please uncheck one box-- you have currently selected that you have AND do not have a recycling program", "")</f>
        <v/>
      </c>
      <c r="D16" s="1001"/>
      <c r="E16" s="1001"/>
      <c r="F16" s="1001"/>
      <c r="G16" s="220"/>
      <c r="H16" s="221" t="s">
        <v>539</v>
      </c>
      <c r="I16" s="220"/>
      <c r="L16" s="220"/>
      <c r="M16" s="220"/>
      <c r="N16" s="220"/>
      <c r="W16" s="105" t="s">
        <v>88</v>
      </c>
      <c r="AC16" s="89" t="s">
        <v>103</v>
      </c>
      <c r="AD16" s="90" t="s">
        <v>2</v>
      </c>
      <c r="AF16" s="82" t="s">
        <v>42</v>
      </c>
      <c r="AG16" s="67" t="s">
        <v>4</v>
      </c>
      <c r="AH16" s="5"/>
      <c r="AM16" s="313"/>
    </row>
    <row r="17" spans="2:39" ht="11.25" customHeight="1" x14ac:dyDescent="0.25">
      <c r="C17" s="1001"/>
      <c r="D17" s="1001"/>
      <c r="E17" s="1001"/>
      <c r="F17" s="1001"/>
      <c r="G17" s="307"/>
      <c r="H17" s="220"/>
      <c r="I17" s="220"/>
      <c r="J17" s="220"/>
      <c r="K17" s="220"/>
      <c r="L17" s="220"/>
      <c r="M17" s="220"/>
      <c r="N17" s="220"/>
      <c r="W17" s="105" t="s">
        <v>19</v>
      </c>
      <c r="AC17" s="89" t="s">
        <v>247</v>
      </c>
      <c r="AD17" s="90" t="s">
        <v>160</v>
      </c>
      <c r="AF17" s="82" t="s">
        <v>64</v>
      </c>
      <c r="AG17" s="67" t="s">
        <v>6</v>
      </c>
      <c r="AH17" s="5"/>
      <c r="AM17" s="313"/>
    </row>
    <row r="18" spans="2:39" ht="18.75" customHeight="1" x14ac:dyDescent="0.25">
      <c r="C18" s="1002" t="str">
        <f>IF(AND(D9=AC18, OR(X29, Y29)),"Note: the calculator does not currently have estimates for average small hotel recycling.  If you have recycling, you will need to go to the Current_Recycling page and enter recycling information"&amp;" and go to the Background_Data page and enter your recycling density in cell H21. Or, select Hotels-Large as your business sector to use defaults from large hotels.",IF(AND(COUNTIF(D9,"Manufacturing*")=1, OR(X29, Y29)),"Note: the calculator does not currently have estimates for average manufacturing recycling.  If you have recycling, you will need to go to the Current Recycling page and enter your own recycling tons and composition"&amp;" and go to the Background_Data page and enter your recycling density in cell H21.",""))</f>
        <v/>
      </c>
      <c r="D18" s="1002"/>
      <c r="E18" s="1002"/>
      <c r="F18" s="1002"/>
      <c r="G18" s="293"/>
      <c r="H18" s="375"/>
      <c r="I18" s="373" t="s">
        <v>315</v>
      </c>
      <c r="J18" s="997" t="s">
        <v>316</v>
      </c>
      <c r="K18" s="998"/>
      <c r="L18" s="999"/>
      <c r="M18" s="373" t="s">
        <v>315</v>
      </c>
      <c r="N18" s="997" t="s">
        <v>316</v>
      </c>
      <c r="O18" s="998"/>
      <c r="P18" s="999"/>
      <c r="W18" s="105" t="s">
        <v>126</v>
      </c>
      <c r="AC18" s="89" t="s">
        <v>248</v>
      </c>
      <c r="AD18" s="90" t="s">
        <v>160</v>
      </c>
      <c r="AF18" s="82" t="s">
        <v>29</v>
      </c>
      <c r="AG18" s="67" t="s">
        <v>5</v>
      </c>
      <c r="AH18" s="5"/>
      <c r="AM18" s="313"/>
    </row>
    <row r="19" spans="2:39" ht="18.75" customHeight="1" x14ac:dyDescent="0.25">
      <c r="C19" s="1002"/>
      <c r="D19" s="1002"/>
      <c r="E19" s="1002"/>
      <c r="F19" s="1002"/>
      <c r="G19" s="293"/>
      <c r="H19" s="374"/>
      <c r="I19" s="373" t="s">
        <v>315</v>
      </c>
      <c r="J19" s="997" t="s">
        <v>316</v>
      </c>
      <c r="K19" s="998"/>
      <c r="L19" s="999"/>
      <c r="M19" s="373" t="s">
        <v>315</v>
      </c>
      <c r="N19" s="997" t="s">
        <v>316</v>
      </c>
      <c r="O19" s="998"/>
      <c r="P19" s="999"/>
      <c r="W19" s="106" t="s">
        <v>128</v>
      </c>
      <c r="AC19" s="89" t="s">
        <v>321</v>
      </c>
      <c r="AD19" s="90" t="s">
        <v>160</v>
      </c>
      <c r="AF19" s="82" t="s">
        <v>47</v>
      </c>
      <c r="AG19" s="67" t="s">
        <v>5</v>
      </c>
      <c r="AH19" s="5"/>
      <c r="AM19" s="313"/>
    </row>
    <row r="20" spans="2:39" ht="18.75" customHeight="1" x14ac:dyDescent="0.25">
      <c r="C20" s="1002"/>
      <c r="D20" s="1002"/>
      <c r="E20" s="1002"/>
      <c r="F20" s="1002"/>
      <c r="G20" s="293"/>
      <c r="H20" s="374"/>
      <c r="I20" s="373" t="s">
        <v>315</v>
      </c>
      <c r="J20" s="997" t="s">
        <v>316</v>
      </c>
      <c r="K20" s="998"/>
      <c r="L20" s="999"/>
      <c r="M20" s="373" t="s">
        <v>315</v>
      </c>
      <c r="N20" s="997" t="s">
        <v>316</v>
      </c>
      <c r="O20" s="998"/>
      <c r="P20" s="999"/>
      <c r="U20" s="6"/>
      <c r="V20" s="6"/>
      <c r="AC20" s="89" t="s">
        <v>325</v>
      </c>
      <c r="AD20" s="90" t="s">
        <v>160</v>
      </c>
      <c r="AF20" s="82" t="s">
        <v>55</v>
      </c>
      <c r="AG20" s="67" t="s">
        <v>4</v>
      </c>
      <c r="AH20" s="5"/>
      <c r="AM20" s="313"/>
    </row>
    <row r="21" spans="2:39" ht="18.75" customHeight="1" x14ac:dyDescent="0.25">
      <c r="C21" s="1003"/>
      <c r="D21" s="1003"/>
      <c r="E21" s="1003"/>
      <c r="F21" s="1003"/>
      <c r="G21" s="291"/>
      <c r="H21" s="291"/>
      <c r="I21" s="291"/>
      <c r="J21" s="291"/>
      <c r="K21" s="165"/>
      <c r="L21" s="220"/>
      <c r="M21" s="220"/>
      <c r="N21" s="220"/>
      <c r="U21" s="6"/>
      <c r="AC21" s="89" t="s">
        <v>329</v>
      </c>
      <c r="AD21" s="90" t="s">
        <v>160</v>
      </c>
      <c r="AF21" s="82" t="s">
        <v>39</v>
      </c>
      <c r="AG21" s="67" t="s">
        <v>5</v>
      </c>
      <c r="AH21" s="5"/>
      <c r="AM21" s="313"/>
    </row>
    <row r="22" spans="2:39" s="220" customFormat="1" ht="18.75" customHeight="1" x14ac:dyDescent="0.25">
      <c r="B22" s="166" t="s">
        <v>510</v>
      </c>
      <c r="C22" s="21"/>
      <c r="D22" s="21"/>
      <c r="E22" s="21"/>
      <c r="F22" s="21"/>
      <c r="G22" s="164"/>
      <c r="H22" s="164"/>
      <c r="I22" s="164"/>
      <c r="J22" s="21"/>
      <c r="K22" s="21"/>
      <c r="L22" s="21"/>
      <c r="M22" s="21"/>
      <c r="N22" s="21"/>
      <c r="O22" s="21"/>
      <c r="P22" s="21"/>
      <c r="Q22" s="21"/>
      <c r="AC22" s="89" t="s">
        <v>320</v>
      </c>
      <c r="AD22" s="90" t="s">
        <v>160</v>
      </c>
      <c r="AF22" s="82" t="s">
        <v>32</v>
      </c>
      <c r="AG22" s="67" t="s">
        <v>5</v>
      </c>
      <c r="AH22" s="5"/>
      <c r="AM22" s="313"/>
    </row>
    <row r="23" spans="2:39" s="220" customFormat="1" ht="18.75" customHeight="1" x14ac:dyDescent="0.25">
      <c r="B23" s="208"/>
      <c r="C23" s="507" t="e">
        <f>IF(AA9=0,"No, please enter your business sector in cell D9",IF(SUM(AA9:AA14)=6,"Yes, you have entered all of the required information.",""))</f>
        <v>#REF!</v>
      </c>
      <c r="D23" s="507"/>
      <c r="E23" s="507"/>
      <c r="F23" s="507"/>
      <c r="G23" s="508"/>
      <c r="H23" s="508"/>
      <c r="I23" s="509" t="str">
        <f>IF(ISERROR(AA11),"",IF(AA11=0,"No, please enter your number of "&amp;Z11&amp;" in cell "&amp;AB11,""))</f>
        <v/>
      </c>
      <c r="J23" s="507"/>
      <c r="K23" s="507"/>
      <c r="L23" s="507"/>
      <c r="M23" s="507"/>
      <c r="N23" s="507"/>
      <c r="O23" s="507"/>
      <c r="P23" s="45"/>
      <c r="Q23" s="45"/>
      <c r="AC23" s="89" t="s">
        <v>331</v>
      </c>
      <c r="AD23" s="90" t="s">
        <v>160</v>
      </c>
      <c r="AF23" s="82" t="s">
        <v>77</v>
      </c>
      <c r="AG23" s="67" t="s">
        <v>8</v>
      </c>
      <c r="AH23" s="5"/>
      <c r="AM23" s="313"/>
    </row>
    <row r="24" spans="2:39" s="220" customFormat="1" ht="18.75" customHeight="1" x14ac:dyDescent="0.25">
      <c r="B24" s="208"/>
      <c r="C24" s="507" t="str">
        <f>IF(AA10=0,"No, please enter your county in cell D11",IF(ISERROR(SUM(AA9:AA14)), "", IF(SUM(AA9:AA14)=6,"Please proceed to the next question below.", "")))</f>
        <v>No, please enter your county in cell D11</v>
      </c>
      <c r="D24" s="507"/>
      <c r="E24" s="507"/>
      <c r="F24" s="507"/>
      <c r="G24" s="508"/>
      <c r="H24" s="508"/>
      <c r="I24" s="509" t="str">
        <f>IF(AA12=0, "No, please select one or more materials for you separate material programs in cells J18:P20", "")</f>
        <v/>
      </c>
      <c r="J24" s="507"/>
      <c r="K24" s="507"/>
      <c r="L24" s="507"/>
      <c r="M24" s="507"/>
      <c r="N24" s="507"/>
      <c r="O24" s="507"/>
      <c r="P24" s="45"/>
      <c r="Q24" s="45"/>
      <c r="AC24" s="89" t="s">
        <v>320</v>
      </c>
      <c r="AD24" s="90" t="s">
        <v>160</v>
      </c>
      <c r="AE24"/>
      <c r="AF24" s="82" t="s">
        <v>32</v>
      </c>
      <c r="AG24" s="67" t="s">
        <v>5</v>
      </c>
      <c r="AH24" s="5"/>
      <c r="AM24" s="313"/>
    </row>
    <row r="25" spans="2:39" s="220" customFormat="1" ht="18.75" customHeight="1" x14ac:dyDescent="0.25">
      <c r="B25" s="208"/>
      <c r="C25" s="507" t="str">
        <f>IF(OR(AND(W29,X29), AND(W29,Y29)), "No, please uncheck one recycling program box-- you have currently selected that you have AND do not have recycling", IF(AA14=0, "No, please check one program box to indicate whether you currently have recycling.",""))</f>
        <v/>
      </c>
      <c r="D25" s="507"/>
      <c r="E25" s="507"/>
      <c r="F25" s="507"/>
      <c r="G25" s="508"/>
      <c r="H25" s="508"/>
      <c r="I25" s="509"/>
      <c r="J25" s="507"/>
      <c r="K25" s="507"/>
      <c r="L25" s="507"/>
      <c r="M25" s="507"/>
      <c r="N25" s="507"/>
      <c r="O25" s="507"/>
      <c r="P25" s="45"/>
      <c r="Q25" s="45"/>
      <c r="AC25" s="89" t="s">
        <v>331</v>
      </c>
      <c r="AD25" s="90" t="s">
        <v>160</v>
      </c>
      <c r="AE25"/>
      <c r="AF25" s="82" t="s">
        <v>77</v>
      </c>
      <c r="AG25" s="67" t="s">
        <v>8</v>
      </c>
      <c r="AH25" s="5"/>
      <c r="AM25" s="313"/>
    </row>
    <row r="26" spans="2:39" s="220" customFormat="1" ht="8.25" customHeight="1" x14ac:dyDescent="0.25">
      <c r="E26" s="223"/>
      <c r="AC26" s="89" t="s">
        <v>328</v>
      </c>
      <c r="AD26" s="90" t="s">
        <v>160</v>
      </c>
      <c r="AE26"/>
      <c r="AF26" s="82" t="s">
        <v>72</v>
      </c>
      <c r="AG26" s="67" t="s">
        <v>9</v>
      </c>
      <c r="AH26" s="5"/>
      <c r="AM26" s="313"/>
    </row>
    <row r="27" spans="2:39" ht="18.75" customHeight="1" x14ac:dyDescent="0.25">
      <c r="B27" s="166" t="s">
        <v>448</v>
      </c>
      <c r="C27" s="21"/>
      <c r="D27" s="21"/>
      <c r="E27" s="21"/>
      <c r="F27" s="21"/>
      <c r="G27" s="164"/>
      <c r="H27" s="164"/>
      <c r="I27" s="164"/>
      <c r="J27" s="21"/>
      <c r="K27" s="21"/>
      <c r="L27" s="21"/>
      <c r="M27" s="21"/>
      <c r="N27" s="21"/>
      <c r="O27" s="21"/>
      <c r="P27" s="21"/>
      <c r="Q27" s="21"/>
      <c r="AC27" s="89" t="s">
        <v>322</v>
      </c>
      <c r="AD27" s="90" t="s">
        <v>160</v>
      </c>
      <c r="AF27" s="82" t="s">
        <v>76</v>
      </c>
      <c r="AG27" s="67" t="s">
        <v>8</v>
      </c>
      <c r="AH27" s="5"/>
      <c r="AM27" s="313"/>
    </row>
    <row r="28" spans="2:39" ht="6.75" customHeight="1" x14ac:dyDescent="0.25">
      <c r="E28" s="50"/>
      <c r="W28" s="94" t="s">
        <v>173</v>
      </c>
      <c r="X28" s="64" t="s">
        <v>174</v>
      </c>
      <c r="Y28" s="65" t="s">
        <v>175</v>
      </c>
      <c r="AC28" s="89" t="s">
        <v>326</v>
      </c>
      <c r="AD28" s="90" t="s">
        <v>160</v>
      </c>
      <c r="AF28" s="82" t="s">
        <v>73</v>
      </c>
      <c r="AG28" s="67" t="s">
        <v>9</v>
      </c>
      <c r="AH28" s="5"/>
      <c r="AM28" s="313"/>
    </row>
    <row r="29" spans="2:39" ht="18.75" customHeight="1" x14ac:dyDescent="0.25">
      <c r="D29" s="233" t="s">
        <v>216</v>
      </c>
      <c r="E29" s="1004" t="s">
        <v>527</v>
      </c>
      <c r="F29" s="1004"/>
      <c r="G29" s="1004"/>
      <c r="H29" s="1004"/>
      <c r="I29" s="1004"/>
      <c r="J29" s="1004"/>
      <c r="K29" s="1004"/>
      <c r="L29" s="1004"/>
      <c r="M29" s="1004"/>
      <c r="W29" s="237" t="b">
        <v>1</v>
      </c>
      <c r="X29" s="238" t="b">
        <v>0</v>
      </c>
      <c r="Y29" s="239" t="b">
        <v>0</v>
      </c>
      <c r="AC29" s="89" t="s">
        <v>323</v>
      </c>
      <c r="AD29" s="90" t="s">
        <v>160</v>
      </c>
      <c r="AF29" s="82" t="s">
        <v>41</v>
      </c>
      <c r="AG29" s="67" t="s">
        <v>5</v>
      </c>
      <c r="AH29" s="5"/>
      <c r="AM29" s="313"/>
    </row>
    <row r="30" spans="2:39" ht="6.75" customHeight="1" x14ac:dyDescent="0.25">
      <c r="D30" s="234"/>
      <c r="E30" s="235"/>
      <c r="F30" s="236"/>
      <c r="G30" s="236"/>
      <c r="H30" s="236"/>
      <c r="I30" s="236"/>
      <c r="J30" s="236"/>
      <c r="K30" s="236"/>
      <c r="L30" s="236"/>
      <c r="M30" s="236"/>
      <c r="AC30" s="89" t="s">
        <v>327</v>
      </c>
      <c r="AD30" s="90" t="s">
        <v>160</v>
      </c>
      <c r="AF30" s="82" t="s">
        <v>35</v>
      </c>
      <c r="AG30" s="67" t="s">
        <v>5</v>
      </c>
      <c r="AH30" s="5"/>
      <c r="AM30" s="313"/>
    </row>
    <row r="31" spans="2:39" ht="18.75" customHeight="1" x14ac:dyDescent="0.25">
      <c r="D31" s="233" t="s">
        <v>217</v>
      </c>
      <c r="E31" s="1004" t="s">
        <v>528</v>
      </c>
      <c r="F31" s="1004"/>
      <c r="G31" s="1004"/>
      <c r="H31" s="1004"/>
      <c r="I31" s="1004"/>
      <c r="J31" s="1004"/>
      <c r="K31" s="1004"/>
      <c r="L31" s="1004"/>
      <c r="M31" s="1004"/>
      <c r="N31" s="1004"/>
      <c r="O31" s="1004"/>
      <c r="AC31" s="89" t="s">
        <v>324</v>
      </c>
      <c r="AD31" s="90" t="s">
        <v>160</v>
      </c>
      <c r="AF31" s="82" t="s">
        <v>120</v>
      </c>
      <c r="AG31" s="67" t="s">
        <v>10</v>
      </c>
      <c r="AH31" s="5"/>
    </row>
    <row r="32" spans="2:39" ht="21" customHeight="1" x14ac:dyDescent="0.25">
      <c r="D32" s="236"/>
      <c r="E32" s="1004" t="s">
        <v>529</v>
      </c>
      <c r="F32" s="1004"/>
      <c r="G32" s="1004"/>
      <c r="H32" s="1004"/>
      <c r="I32" s="1004"/>
      <c r="J32" s="1004"/>
      <c r="K32" s="1004"/>
      <c r="L32" s="1004"/>
      <c r="M32" s="1004"/>
      <c r="N32" s="1004"/>
      <c r="O32" s="1004"/>
      <c r="AC32" s="89" t="s">
        <v>330</v>
      </c>
      <c r="AD32" s="90" t="s">
        <v>160</v>
      </c>
      <c r="AF32" s="82" t="s">
        <v>54</v>
      </c>
      <c r="AG32" s="67" t="s">
        <v>5</v>
      </c>
      <c r="AH32" s="5"/>
    </row>
    <row r="33" spans="1:39" s="220" customFormat="1" ht="21" customHeight="1" x14ac:dyDescent="0.25">
      <c r="D33" s="236"/>
      <c r="E33" s="481"/>
      <c r="F33" s="481"/>
      <c r="G33" s="481"/>
      <c r="H33" s="481"/>
      <c r="I33" s="481"/>
      <c r="J33" s="481"/>
      <c r="K33" s="481"/>
      <c r="L33" s="481"/>
      <c r="M33" s="292"/>
      <c r="AC33" s="89" t="s">
        <v>95</v>
      </c>
      <c r="AD33" s="90" t="s">
        <v>2</v>
      </c>
      <c r="AE33"/>
      <c r="AF33" s="82" t="s">
        <v>62</v>
      </c>
      <c r="AG33" s="67" t="s">
        <v>6</v>
      </c>
      <c r="AH33" s="5"/>
      <c r="AM33" s="45"/>
    </row>
    <row r="34" spans="1:39" s="220" customFormat="1" ht="21" customHeight="1" x14ac:dyDescent="0.25">
      <c r="D34" s="236"/>
      <c r="E34" s="481"/>
      <c r="F34" s="481"/>
      <c r="G34" s="481"/>
      <c r="H34" s="481"/>
      <c r="I34" s="481"/>
      <c r="J34" s="481"/>
      <c r="K34" s="481"/>
      <c r="L34" s="481"/>
      <c r="M34" s="292"/>
      <c r="AC34" s="89" t="s">
        <v>245</v>
      </c>
      <c r="AD34" s="90" t="s">
        <v>160</v>
      </c>
      <c r="AE34"/>
      <c r="AF34" s="82" t="s">
        <v>52</v>
      </c>
      <c r="AG34" s="67" t="s">
        <v>5</v>
      </c>
      <c r="AH34" s="5"/>
      <c r="AM34" s="45"/>
    </row>
    <row r="35" spans="1:39" s="220" customFormat="1" ht="21" customHeight="1" x14ac:dyDescent="0.25">
      <c r="D35" s="236"/>
      <c r="E35" s="481"/>
      <c r="F35" s="481"/>
      <c r="G35" s="481"/>
      <c r="H35" s="481"/>
      <c r="I35" s="481"/>
      <c r="J35" s="481"/>
      <c r="K35" s="481"/>
      <c r="L35" s="481"/>
      <c r="M35" s="292"/>
      <c r="AC35" s="89" t="s">
        <v>246</v>
      </c>
      <c r="AD35" s="90" t="s">
        <v>160</v>
      </c>
      <c r="AE35"/>
      <c r="AF35" s="82" t="s">
        <v>36</v>
      </c>
      <c r="AG35" s="67" t="s">
        <v>5</v>
      </c>
      <c r="AH35" s="5"/>
      <c r="AM35" s="45"/>
    </row>
    <row r="36" spans="1:39" ht="18.75" customHeight="1" x14ac:dyDescent="0.25">
      <c r="D36" s="236"/>
      <c r="E36" s="236"/>
      <c r="F36" s="236"/>
      <c r="G36" s="236"/>
      <c r="H36" s="236"/>
      <c r="I36" s="236"/>
      <c r="J36" s="236"/>
      <c r="K36" s="236"/>
      <c r="L36" s="236"/>
      <c r="M36" s="236"/>
      <c r="AC36" s="89" t="s">
        <v>91</v>
      </c>
      <c r="AD36" s="90" t="s">
        <v>160</v>
      </c>
      <c r="AF36" s="82" t="s">
        <v>53</v>
      </c>
      <c r="AG36" s="67" t="s">
        <v>4</v>
      </c>
      <c r="AH36" s="5"/>
    </row>
    <row r="37" spans="1:39" ht="15" customHeight="1" x14ac:dyDescent="0.25">
      <c r="A37" s="327"/>
      <c r="B37" s="327"/>
      <c r="C37" s="327"/>
      <c r="D37" s="327"/>
      <c r="E37" s="327"/>
      <c r="F37" s="327"/>
      <c r="G37" s="327"/>
      <c r="H37" s="327"/>
      <c r="I37" s="327"/>
      <c r="J37" s="327"/>
      <c r="K37" s="327"/>
      <c r="L37" s="327"/>
      <c r="M37" s="327"/>
      <c r="N37" s="327"/>
      <c r="O37" s="327"/>
      <c r="P37" s="327"/>
      <c r="Q37" s="327"/>
      <c r="AC37" s="89" t="s">
        <v>92</v>
      </c>
      <c r="AD37" s="90" t="s">
        <v>160</v>
      </c>
      <c r="AF37" s="82" t="s">
        <v>31</v>
      </c>
      <c r="AG37" s="67" t="s">
        <v>5</v>
      </c>
      <c r="AH37" s="5"/>
    </row>
    <row r="38" spans="1:39" ht="18.75" customHeight="1" x14ac:dyDescent="0.25">
      <c r="AC38" s="89" t="s">
        <v>93</v>
      </c>
      <c r="AD38" s="90" t="s">
        <v>160</v>
      </c>
      <c r="AF38" s="82" t="s">
        <v>71</v>
      </c>
      <c r="AG38" s="67" t="s">
        <v>9</v>
      </c>
      <c r="AH38" s="5"/>
    </row>
    <row r="39" spans="1:39" x14ac:dyDescent="0.25">
      <c r="AC39" s="89" t="s">
        <v>239</v>
      </c>
      <c r="AD39" s="90" t="s">
        <v>160</v>
      </c>
      <c r="AF39" s="82" t="s">
        <v>56</v>
      </c>
      <c r="AG39" s="67" t="s">
        <v>4</v>
      </c>
      <c r="AH39" s="5"/>
    </row>
    <row r="40" spans="1:39" x14ac:dyDescent="0.25">
      <c r="AC40" s="89" t="s">
        <v>98</v>
      </c>
      <c r="AD40" s="90" t="s">
        <v>2</v>
      </c>
      <c r="AF40" s="82" t="s">
        <v>59</v>
      </c>
      <c r="AG40" s="67" t="s">
        <v>7</v>
      </c>
      <c r="AH40" s="5"/>
    </row>
    <row r="41" spans="1:39" ht="15" customHeight="1" x14ac:dyDescent="0.25">
      <c r="AC41" s="89" t="s">
        <v>99</v>
      </c>
      <c r="AD41" s="90" t="s">
        <v>2</v>
      </c>
      <c r="AF41" s="82" t="s">
        <v>45</v>
      </c>
      <c r="AG41" s="67" t="s">
        <v>5</v>
      </c>
      <c r="AH41" s="5"/>
    </row>
    <row r="42" spans="1:39" ht="15" customHeight="1" x14ac:dyDescent="0.25">
      <c r="AC42" s="89" t="s">
        <v>100</v>
      </c>
      <c r="AD42" s="90" t="s">
        <v>2</v>
      </c>
      <c r="AF42" s="82" t="s">
        <v>79</v>
      </c>
      <c r="AG42" s="67" t="s">
        <v>10</v>
      </c>
      <c r="AH42" s="5"/>
    </row>
    <row r="43" spans="1:39" x14ac:dyDescent="0.25">
      <c r="AC43" s="89" t="s">
        <v>101</v>
      </c>
      <c r="AD43" s="90" t="s">
        <v>2</v>
      </c>
      <c r="AF43" s="82" t="s">
        <v>46</v>
      </c>
      <c r="AG43" s="67" t="s">
        <v>4</v>
      </c>
      <c r="AH43" s="5"/>
    </row>
    <row r="44" spans="1:39" x14ac:dyDescent="0.25">
      <c r="AC44" s="89" t="s">
        <v>102</v>
      </c>
      <c r="AD44" s="90" t="s">
        <v>2</v>
      </c>
      <c r="AF44" s="82" t="s">
        <v>38</v>
      </c>
      <c r="AG44" s="67" t="s">
        <v>5</v>
      </c>
      <c r="AH44" s="5"/>
    </row>
    <row r="45" spans="1:39" x14ac:dyDescent="0.25">
      <c r="AC45" s="89" t="s">
        <v>94</v>
      </c>
      <c r="AD45" s="90" t="s">
        <v>160</v>
      </c>
      <c r="AF45" s="82" t="s">
        <v>81</v>
      </c>
      <c r="AG45" s="67" t="s">
        <v>10</v>
      </c>
      <c r="AH45" s="5"/>
    </row>
    <row r="46" spans="1:39" x14ac:dyDescent="0.25">
      <c r="AC46" s="89" t="s">
        <v>90</v>
      </c>
      <c r="AD46" s="90" t="s">
        <v>157</v>
      </c>
      <c r="AF46" s="82" t="s">
        <v>61</v>
      </c>
      <c r="AG46" s="67" t="s">
        <v>6</v>
      </c>
      <c r="AH46" s="5"/>
    </row>
    <row r="47" spans="1:39" x14ac:dyDescent="0.25">
      <c r="AC47" s="89" t="s">
        <v>237</v>
      </c>
      <c r="AD47" s="90" t="s">
        <v>160</v>
      </c>
      <c r="AF47" s="82" t="s">
        <v>70</v>
      </c>
      <c r="AG47" s="67" t="s">
        <v>7</v>
      </c>
      <c r="AH47" s="5"/>
    </row>
    <row r="48" spans="1:39" x14ac:dyDescent="0.25">
      <c r="AC48" s="91" t="s">
        <v>238</v>
      </c>
      <c r="AD48" s="92" t="s">
        <v>160</v>
      </c>
      <c r="AF48" s="82" t="s">
        <v>80</v>
      </c>
      <c r="AG48" s="67" t="s">
        <v>10</v>
      </c>
      <c r="AH48" s="5"/>
    </row>
    <row r="49" spans="32:45" x14ac:dyDescent="0.25">
      <c r="AF49" s="82" t="s">
        <v>82</v>
      </c>
      <c r="AG49" s="67" t="s">
        <v>10</v>
      </c>
      <c r="AH49" s="5"/>
    </row>
    <row r="50" spans="32:45" x14ac:dyDescent="0.25">
      <c r="AF50" s="82" t="s">
        <v>66</v>
      </c>
      <c r="AG50" s="67" t="s">
        <v>6</v>
      </c>
      <c r="AH50" s="5"/>
    </row>
    <row r="51" spans="32:45" x14ac:dyDescent="0.25">
      <c r="AF51" s="82" t="s">
        <v>65</v>
      </c>
      <c r="AG51" s="67" t="s">
        <v>6</v>
      </c>
      <c r="AH51" s="5"/>
    </row>
    <row r="52" spans="32:45" x14ac:dyDescent="0.25">
      <c r="AF52" s="82" t="s">
        <v>74</v>
      </c>
      <c r="AG52" s="67" t="s">
        <v>8</v>
      </c>
      <c r="AH52" s="5"/>
    </row>
    <row r="53" spans="32:45" x14ac:dyDescent="0.25">
      <c r="AF53" s="82" t="s">
        <v>310</v>
      </c>
      <c r="AG53" s="67" t="s">
        <v>6</v>
      </c>
      <c r="AH53" s="5"/>
    </row>
    <row r="54" spans="32:45" x14ac:dyDescent="0.25">
      <c r="AF54" s="82" t="s">
        <v>75</v>
      </c>
      <c r="AG54" s="67" t="s">
        <v>8</v>
      </c>
      <c r="AH54" s="5"/>
    </row>
    <row r="55" spans="32:45" x14ac:dyDescent="0.25">
      <c r="AF55" s="82" t="s">
        <v>68</v>
      </c>
      <c r="AG55" s="67" t="s">
        <v>6</v>
      </c>
      <c r="AH55" s="5"/>
    </row>
    <row r="56" spans="32:45" x14ac:dyDescent="0.25">
      <c r="AF56" s="82" t="s">
        <v>67</v>
      </c>
      <c r="AG56" s="67" t="s">
        <v>6</v>
      </c>
      <c r="AH56" s="5"/>
    </row>
    <row r="57" spans="32:45" x14ac:dyDescent="0.25">
      <c r="AF57" s="82" t="s">
        <v>34</v>
      </c>
      <c r="AG57" s="67" t="s">
        <v>5</v>
      </c>
      <c r="AH57" s="5"/>
    </row>
    <row r="58" spans="32:45" x14ac:dyDescent="0.25">
      <c r="AF58" s="82" t="s">
        <v>40</v>
      </c>
      <c r="AG58" s="67" t="s">
        <v>5</v>
      </c>
      <c r="AH58" s="5"/>
    </row>
    <row r="59" spans="32:45" x14ac:dyDescent="0.25">
      <c r="AF59" s="82" t="s">
        <v>30</v>
      </c>
      <c r="AG59" s="67" t="s">
        <v>5</v>
      </c>
      <c r="AH59" s="5"/>
    </row>
    <row r="60" spans="32:45" x14ac:dyDescent="0.25">
      <c r="AF60" s="82" t="s">
        <v>63</v>
      </c>
      <c r="AG60" s="67" t="s">
        <v>6</v>
      </c>
      <c r="AH60" s="5"/>
    </row>
    <row r="61" spans="32:45" x14ac:dyDescent="0.25">
      <c r="AF61" s="82" t="s">
        <v>58</v>
      </c>
      <c r="AG61" s="67" t="s">
        <v>6</v>
      </c>
      <c r="AH61" s="5"/>
    </row>
    <row r="62" spans="32:45" x14ac:dyDescent="0.25">
      <c r="AF62" s="82" t="s">
        <v>69</v>
      </c>
      <c r="AG62" s="67" t="s">
        <v>6</v>
      </c>
      <c r="AH62" s="5"/>
      <c r="AI62" s="62"/>
      <c r="AJ62" s="62"/>
      <c r="AK62" s="62"/>
      <c r="AL62" s="62"/>
    </row>
    <row r="63" spans="32:45" x14ac:dyDescent="0.25">
      <c r="AF63" s="82" t="s">
        <v>43</v>
      </c>
      <c r="AG63" s="67" t="s">
        <v>5</v>
      </c>
      <c r="AH63" s="5"/>
      <c r="AI63" s="62"/>
      <c r="AJ63" s="62"/>
      <c r="AK63" s="62"/>
      <c r="AL63" s="62"/>
      <c r="AN63" s="62"/>
      <c r="AO63" s="62"/>
      <c r="AP63" s="62"/>
      <c r="AQ63" s="62"/>
      <c r="AR63" s="62"/>
      <c r="AS63" s="62"/>
    </row>
    <row r="64" spans="32:45" x14ac:dyDescent="0.25">
      <c r="AF64" s="82" t="s">
        <v>37</v>
      </c>
      <c r="AG64" s="67" t="s">
        <v>5</v>
      </c>
      <c r="AH64" s="5"/>
      <c r="AI64" s="62"/>
      <c r="AJ64" s="62"/>
      <c r="AK64" s="62"/>
      <c r="AL64" s="62"/>
      <c r="AM64" s="314"/>
      <c r="AN64" s="62"/>
      <c r="AO64" s="62"/>
      <c r="AP64" s="62"/>
      <c r="AQ64" s="62"/>
      <c r="AR64" s="62"/>
      <c r="AS64" s="62"/>
    </row>
    <row r="65" spans="32:45" x14ac:dyDescent="0.25">
      <c r="AF65" s="82" t="s">
        <v>33</v>
      </c>
      <c r="AG65" s="67" t="s">
        <v>5</v>
      </c>
      <c r="AH65" s="5"/>
      <c r="AI65" s="62"/>
      <c r="AJ65" s="62"/>
      <c r="AK65" s="62"/>
      <c r="AL65" s="62"/>
      <c r="AM65" s="314"/>
      <c r="AN65" s="62"/>
      <c r="AO65" s="62"/>
      <c r="AP65" s="62"/>
      <c r="AQ65" s="62"/>
      <c r="AR65" s="62"/>
      <c r="AS65" s="62"/>
    </row>
    <row r="66" spans="32:45" x14ac:dyDescent="0.25">
      <c r="AF66" s="82" t="s">
        <v>57</v>
      </c>
      <c r="AG66" s="67" t="s">
        <v>4</v>
      </c>
      <c r="AH66" s="5"/>
      <c r="AI66" s="62"/>
      <c r="AJ66" s="62"/>
      <c r="AK66" s="62"/>
      <c r="AL66" s="62"/>
      <c r="AM66" s="314"/>
      <c r="AN66" s="62"/>
      <c r="AO66" s="62"/>
      <c r="AP66" s="62"/>
      <c r="AQ66" s="62"/>
      <c r="AR66" s="62"/>
      <c r="AS66" s="62"/>
    </row>
    <row r="67" spans="32:45" x14ac:dyDescent="0.25">
      <c r="AF67" s="82" t="s">
        <v>51</v>
      </c>
      <c r="AG67" s="67" t="s">
        <v>5</v>
      </c>
      <c r="AH67" s="5"/>
      <c r="AI67" s="62"/>
      <c r="AJ67" s="62"/>
      <c r="AK67" s="62"/>
      <c r="AL67" s="62"/>
      <c r="AM67" s="314"/>
      <c r="AN67" s="62"/>
      <c r="AO67" s="62"/>
      <c r="AP67" s="62"/>
      <c r="AQ67" s="62"/>
      <c r="AR67" s="62"/>
      <c r="AS67" s="62"/>
    </row>
    <row r="68" spans="32:45" x14ac:dyDescent="0.25">
      <c r="AF68" s="82" t="s">
        <v>78</v>
      </c>
      <c r="AG68" s="67" t="s">
        <v>10</v>
      </c>
      <c r="AH68" s="5"/>
      <c r="AI68" s="62"/>
      <c r="AJ68" s="62"/>
      <c r="AK68" s="62"/>
      <c r="AL68" s="62"/>
      <c r="AM68" s="314"/>
      <c r="AN68" s="62"/>
      <c r="AO68" s="62"/>
      <c r="AP68" s="62"/>
      <c r="AQ68" s="62"/>
      <c r="AR68" s="62"/>
      <c r="AS68" s="62"/>
    </row>
    <row r="69" spans="32:45" x14ac:dyDescent="0.25">
      <c r="AF69" s="82" t="s">
        <v>60</v>
      </c>
      <c r="AG69" s="67" t="s">
        <v>7</v>
      </c>
      <c r="AH69" s="5"/>
      <c r="AI69" s="5"/>
      <c r="AJ69" s="5"/>
      <c r="AK69" s="5"/>
      <c r="AL69" s="5"/>
      <c r="AM69" s="219"/>
      <c r="AN69" s="62"/>
      <c r="AO69" s="62"/>
      <c r="AP69" s="62"/>
      <c r="AQ69" s="62"/>
      <c r="AR69" s="62"/>
      <c r="AS69" s="62"/>
    </row>
    <row r="70" spans="32:45" x14ac:dyDescent="0.25">
      <c r="AF70" s="83" t="s">
        <v>44</v>
      </c>
      <c r="AG70" s="70" t="s">
        <v>5</v>
      </c>
      <c r="AH70" s="5"/>
      <c r="AI70" s="5"/>
      <c r="AJ70" s="5"/>
      <c r="AK70" s="5"/>
      <c r="AL70" s="5"/>
      <c r="AM70" s="219"/>
      <c r="AN70" s="5"/>
      <c r="AO70" s="5"/>
    </row>
    <row r="71" spans="32:45" x14ac:dyDescent="0.25">
      <c r="AH71" s="5"/>
      <c r="AI71" s="5"/>
      <c r="AJ71" s="5"/>
      <c r="AK71" s="5"/>
      <c r="AL71" s="5"/>
      <c r="AM71" s="219"/>
      <c r="AN71" s="5"/>
      <c r="AO71" s="5"/>
    </row>
    <row r="72" spans="32:45" x14ac:dyDescent="0.25">
      <c r="AH72" s="5"/>
      <c r="AI72" s="5"/>
      <c r="AJ72" s="5"/>
      <c r="AK72" s="5"/>
      <c r="AL72" s="5"/>
      <c r="AM72" s="219"/>
      <c r="AN72" s="5"/>
      <c r="AO72" s="5"/>
    </row>
    <row r="73" spans="32:45" x14ac:dyDescent="0.25">
      <c r="AH73" s="5"/>
      <c r="AI73" s="5"/>
      <c r="AJ73" s="5"/>
      <c r="AK73" s="5"/>
      <c r="AL73" s="5"/>
      <c r="AM73" s="219"/>
      <c r="AN73" s="5"/>
      <c r="AO73" s="5"/>
    </row>
    <row r="74" spans="32:45" x14ac:dyDescent="0.25">
      <c r="AH74" s="5"/>
      <c r="AI74" s="5"/>
      <c r="AJ74" s="5"/>
      <c r="AK74" s="5"/>
      <c r="AL74" s="5"/>
      <c r="AM74" s="219"/>
      <c r="AN74" s="5"/>
      <c r="AO74" s="5"/>
    </row>
    <row r="75" spans="32:45" x14ac:dyDescent="0.25">
      <c r="AH75" s="5"/>
      <c r="AI75" s="5"/>
      <c r="AJ75" s="5"/>
      <c r="AK75" s="5"/>
      <c r="AL75" s="5"/>
      <c r="AM75" s="219"/>
      <c r="AN75" s="5"/>
      <c r="AO75" s="5"/>
    </row>
    <row r="76" spans="32:45" x14ac:dyDescent="0.25">
      <c r="AN76" s="5"/>
      <c r="AO76" s="5"/>
    </row>
    <row r="85" spans="32:41" ht="15" customHeight="1" x14ac:dyDescent="0.25"/>
    <row r="90" spans="32:41" x14ac:dyDescent="0.25">
      <c r="AH90" s="5"/>
      <c r="AI90" s="5"/>
      <c r="AJ90" s="5"/>
      <c r="AK90" s="5"/>
      <c r="AL90" s="5"/>
      <c r="AM90" s="219"/>
    </row>
    <row r="91" spans="32:41" x14ac:dyDescent="0.25">
      <c r="AH91" s="5"/>
      <c r="AI91" s="5"/>
      <c r="AJ91" s="5"/>
      <c r="AK91" s="5"/>
      <c r="AL91" s="5"/>
      <c r="AM91" s="219"/>
      <c r="AN91" s="5"/>
      <c r="AO91" s="5"/>
    </row>
    <row r="92" spans="32:41" x14ac:dyDescent="0.25">
      <c r="AF92" s="5"/>
      <c r="AH92" s="5"/>
      <c r="AI92" s="5"/>
      <c r="AJ92" s="5"/>
      <c r="AK92" s="5"/>
      <c r="AL92" s="5"/>
      <c r="AM92" s="219"/>
      <c r="AN92" s="5"/>
      <c r="AO92" s="5"/>
    </row>
    <row r="93" spans="32:41" x14ac:dyDescent="0.25">
      <c r="AF93" s="5"/>
      <c r="AH93" s="5"/>
      <c r="AI93" s="5"/>
      <c r="AJ93" s="5"/>
      <c r="AK93" s="5"/>
      <c r="AL93" s="5"/>
      <c r="AM93" s="219"/>
      <c r="AN93" s="5"/>
      <c r="AO93" s="5"/>
    </row>
    <row r="94" spans="32:41" x14ac:dyDescent="0.25">
      <c r="AF94" s="5"/>
      <c r="AH94" s="5"/>
      <c r="AI94" s="5"/>
      <c r="AJ94" s="5"/>
      <c r="AK94" s="5"/>
      <c r="AL94" s="5"/>
      <c r="AM94" s="219"/>
      <c r="AN94" s="5"/>
      <c r="AO94" s="5"/>
    </row>
    <row r="95" spans="32:41" x14ac:dyDescent="0.25">
      <c r="AF95" s="5"/>
      <c r="AN95" s="5"/>
      <c r="AO95" s="5"/>
    </row>
    <row r="96" spans="32:41" x14ac:dyDescent="0.25">
      <c r="AF96" s="5"/>
    </row>
  </sheetData>
  <sortState ref="AM14:AM58">
    <sortCondition ref="AM14:AM58"/>
  </sortState>
  <mergeCells count="23">
    <mergeCell ref="E31:O31"/>
    <mergeCell ref="E32:O32"/>
    <mergeCell ref="N8:O8"/>
    <mergeCell ref="N9:O9"/>
    <mergeCell ref="N10:O10"/>
    <mergeCell ref="N11:O11"/>
    <mergeCell ref="E29:M29"/>
    <mergeCell ref="L8:M8"/>
    <mergeCell ref="L9:M9"/>
    <mergeCell ref="L10:M10"/>
    <mergeCell ref="D10:J10"/>
    <mergeCell ref="D8:J8"/>
    <mergeCell ref="D9:J9"/>
    <mergeCell ref="D11:J11"/>
    <mergeCell ref="J18:L18"/>
    <mergeCell ref="J19:L19"/>
    <mergeCell ref="J20:L20"/>
    <mergeCell ref="L11:M11"/>
    <mergeCell ref="N18:P18"/>
    <mergeCell ref="N19:P19"/>
    <mergeCell ref="C16:F17"/>
    <mergeCell ref="N20:P20"/>
    <mergeCell ref="C18:F21"/>
  </mergeCells>
  <conditionalFormatting sqref="L8:M8">
    <cfRule type="expression" dxfId="91" priority="14">
      <formula>$AJ$8=$AD$13</formula>
    </cfRule>
    <cfRule type="expression" dxfId="90" priority="15">
      <formula>$AJ$8=$AD$12</formula>
    </cfRule>
  </conditionalFormatting>
  <conditionalFormatting sqref="L9:M9">
    <cfRule type="expression" dxfId="89" priority="11">
      <formula>$AJ$8=$AD$11</formula>
    </cfRule>
  </conditionalFormatting>
  <conditionalFormatting sqref="I18:I20 M18:M20">
    <cfRule type="expression" dxfId="88" priority="8">
      <formula>$Y$29</formula>
    </cfRule>
  </conditionalFormatting>
  <conditionalFormatting sqref="N10:O10">
    <cfRule type="expression" dxfId="87" priority="429">
      <formula>$AJ$8=$AD$46</formula>
    </cfRule>
  </conditionalFormatting>
  <conditionalFormatting sqref="L10:M10">
    <cfRule type="expression" dxfId="86" priority="430">
      <formula>$AJ$8=$AD$46</formula>
    </cfRule>
  </conditionalFormatting>
  <conditionalFormatting sqref="C23:O25">
    <cfRule type="expression" dxfId="85" priority="5">
      <formula>SUM($AA$9:$AA$14)=6</formula>
    </cfRule>
  </conditionalFormatting>
  <conditionalFormatting sqref="N8:O8">
    <cfRule type="expression" dxfId="84" priority="4">
      <formula>$AJ$8=$AD$12</formula>
    </cfRule>
    <cfRule type="expression" dxfId="83" priority="3">
      <formula>$AJ$8=$AD$13</formula>
    </cfRule>
  </conditionalFormatting>
  <conditionalFormatting sqref="N9:O9">
    <cfRule type="expression" dxfId="82" priority="2">
      <formula>$AJ$8=$AD$11</formula>
    </cfRule>
  </conditionalFormatting>
  <conditionalFormatting sqref="J18:L20 N18:P20">
    <cfRule type="expression" dxfId="81" priority="1">
      <formula>$Y$29</formula>
    </cfRule>
  </conditionalFormatting>
  <dataValidations count="3">
    <dataValidation type="list" allowBlank="1" showInputMessage="1" showErrorMessage="1" sqref="J18:J20 N18:N20">
      <formula1>$W$9:$W$19</formula1>
    </dataValidation>
    <dataValidation type="list" allowBlank="1" showInputMessage="1" showErrorMessage="1" sqref="D11">
      <formula1>$AF$10:$AF$70</formula1>
    </dataValidation>
    <dataValidation type="list" allowBlank="1" showInputMessage="1" showErrorMessage="1" sqref="D9">
      <formula1>$AC$10:$AC$48</formula1>
    </dataValidation>
  </dataValidations>
  <hyperlinks>
    <hyperlink ref="E29" location="'Future_Benefits '!A1" display="Click here to evaluate the benefits of recycling or eliminating your trash"/>
    <hyperlink ref="E31" location="Current_Trash!A1" display="Click here to revise your current trash information"/>
    <hyperlink ref="E32" location="Current_Rec!A1" display="Click here to revise your current recycling information"/>
    <hyperlink ref="D10:J10" location="'7.Glossary'!B53" display="Don't know your business sector?  Click here"/>
    <hyperlink ref="E29:M29" location="'4.Future_Benefits '!A1" display="Click here to evaluate the benefits of recycling or eliminating your trash"/>
    <hyperlink ref="E31:K31" location="'2.Current_Trash'!A1" display="Click here to revise your current trash information"/>
    <hyperlink ref="E32:L32" location="'3.Current_Recycling'!A1" display="Click here to revise your current recycling information"/>
  </hyperlinks>
  <pageMargins left="0.7" right="0.7" top="0.75" bottom="0.75" header="0.3" footer="0.3"/>
  <pageSetup scale="5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6671" r:id="rId4" name="Check Box 47">
              <controlPr locked="0" defaultSize="0" autoFill="0" autoLine="0" autoPict="0">
                <anchor moveWithCells="1">
                  <from>
                    <xdr:col>1</xdr:col>
                    <xdr:colOff>180975</xdr:colOff>
                    <xdr:row>14</xdr:row>
                    <xdr:rowOff>38100</xdr:rowOff>
                  </from>
                  <to>
                    <xdr:col>2</xdr:col>
                    <xdr:colOff>285750</xdr:colOff>
                    <xdr:row>15</xdr:row>
                    <xdr:rowOff>19050</xdr:rowOff>
                  </to>
                </anchor>
              </controlPr>
            </control>
          </mc:Choice>
        </mc:AlternateContent>
        <mc:AlternateContent xmlns:mc="http://schemas.openxmlformats.org/markup-compatibility/2006">
          <mc:Choice Requires="x14">
            <control shapeId="26672" r:id="rId5" name="Check Box 48">
              <controlPr locked="0" defaultSize="0" autoFill="0" autoLine="0" autoPict="0">
                <anchor moveWithCells="1">
                  <from>
                    <xdr:col>5</xdr:col>
                    <xdr:colOff>457200</xdr:colOff>
                    <xdr:row>14</xdr:row>
                    <xdr:rowOff>38100</xdr:rowOff>
                  </from>
                  <to>
                    <xdr:col>7</xdr:col>
                    <xdr:colOff>57150</xdr:colOff>
                    <xdr:row>15</xdr:row>
                    <xdr:rowOff>19050</xdr:rowOff>
                  </to>
                </anchor>
              </controlPr>
            </control>
          </mc:Choice>
        </mc:AlternateContent>
        <mc:AlternateContent xmlns:mc="http://schemas.openxmlformats.org/markup-compatibility/2006">
          <mc:Choice Requires="x14">
            <control shapeId="26674" r:id="rId6" name="Check Box 50">
              <controlPr locked="0" defaultSize="0" autoFill="0" autoLine="0" autoPict="0">
                <anchor moveWithCells="1">
                  <from>
                    <xdr:col>5</xdr:col>
                    <xdr:colOff>457200</xdr:colOff>
                    <xdr:row>15</xdr:row>
                    <xdr:rowOff>28575</xdr:rowOff>
                  </from>
                  <to>
                    <xdr:col>7</xdr:col>
                    <xdr:colOff>66675</xdr:colOff>
                    <xdr:row>16</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6" tint="-0.249977111117893"/>
  </sheetPr>
  <dimension ref="A1:AI88"/>
  <sheetViews>
    <sheetView showGridLines="0" topLeftCell="A65" zoomScaleNormal="100" workbookViewId="0">
      <selection activeCell="N8" sqref="N8:O8"/>
    </sheetView>
  </sheetViews>
  <sheetFormatPr defaultRowHeight="15" x14ac:dyDescent="0.25"/>
  <cols>
    <col min="1" max="1" width="1.7109375" customWidth="1"/>
    <col min="2" max="2" width="3" customWidth="1"/>
    <col min="3" max="3" width="19.42578125" customWidth="1"/>
    <col min="4" max="4" width="11.28515625" customWidth="1"/>
    <col min="5" max="5" width="7.28515625" customWidth="1"/>
    <col min="6" max="6" width="6.140625" customWidth="1"/>
    <col min="7" max="7" width="3.5703125" customWidth="1"/>
    <col min="8" max="8" width="4.28515625" customWidth="1"/>
    <col min="9" max="9" width="3" customWidth="1"/>
    <col min="10" max="10" width="9.42578125" customWidth="1"/>
    <col min="11" max="11" width="10.42578125" customWidth="1"/>
    <col min="12" max="12" width="11.140625" customWidth="1"/>
    <col min="13" max="13" width="7.85546875" customWidth="1"/>
    <col min="14" max="14" width="10" customWidth="1"/>
    <col min="15" max="15" width="7.140625" customWidth="1"/>
    <col min="16" max="16" width="10.5703125" customWidth="1"/>
    <col min="17" max="17" width="8.5703125" customWidth="1"/>
    <col min="18" max="18" width="3" customWidth="1"/>
    <col min="19" max="19" width="60.140625" customWidth="1"/>
    <col min="20" max="20" width="26.28515625" customWidth="1"/>
    <col min="21" max="21" width="11.5703125" customWidth="1"/>
    <col min="22" max="22" width="7.85546875" customWidth="1"/>
    <col min="23" max="23" width="13.7109375" customWidth="1"/>
    <col min="24" max="24" width="9.42578125" customWidth="1"/>
    <col min="25" max="25" width="9.28515625" customWidth="1"/>
    <col min="26" max="28" width="9.140625" customWidth="1"/>
    <col min="29" max="29" width="18.28515625" customWidth="1"/>
    <col min="30" max="30" width="12.5703125" customWidth="1"/>
    <col min="31" max="32" width="9.140625" customWidth="1"/>
    <col min="33" max="33" width="23.140625" customWidth="1"/>
    <col min="34" max="36" width="9.140625" customWidth="1"/>
    <col min="41" max="41" width="11.42578125" bestFit="1" customWidth="1"/>
  </cols>
  <sheetData>
    <row r="1" spans="1:27" x14ac:dyDescent="0.25">
      <c r="A1" s="327"/>
      <c r="B1" s="327"/>
      <c r="C1" s="327"/>
      <c r="D1" s="327"/>
      <c r="E1" s="327"/>
      <c r="F1" s="327"/>
      <c r="G1" s="327"/>
      <c r="H1" s="327"/>
      <c r="I1" s="327"/>
      <c r="J1" s="327"/>
      <c r="K1" s="327"/>
      <c r="L1" s="327"/>
      <c r="M1" s="327"/>
      <c r="N1" s="327"/>
      <c r="O1" s="327"/>
      <c r="P1" s="327"/>
      <c r="Q1" s="327"/>
      <c r="R1" s="327"/>
      <c r="S1" s="32"/>
      <c r="T1" s="32"/>
      <c r="U1" s="32"/>
      <c r="V1" s="32"/>
      <c r="W1" s="32"/>
    </row>
    <row r="2" spans="1:27" ht="15.75" x14ac:dyDescent="0.25">
      <c r="B2" s="123" t="s">
        <v>366</v>
      </c>
      <c r="Q2" s="2"/>
    </row>
    <row r="3" spans="1:27" ht="23.25" x14ac:dyDescent="0.35">
      <c r="B3" s="170" t="s">
        <v>318</v>
      </c>
    </row>
    <row r="4" spans="1:27" ht="18" customHeight="1" x14ac:dyDescent="0.25">
      <c r="B4" s="508"/>
    </row>
    <row r="5" spans="1:27" ht="18.75" customHeight="1" x14ac:dyDescent="0.25">
      <c r="B5" s="166" t="s">
        <v>449</v>
      </c>
      <c r="C5" s="21"/>
      <c r="D5" s="21"/>
      <c r="E5" s="21"/>
      <c r="F5" s="21"/>
      <c r="G5" s="21"/>
      <c r="H5" s="21"/>
      <c r="I5" s="21"/>
      <c r="J5" s="21"/>
      <c r="K5" s="21"/>
      <c r="L5" s="21"/>
      <c r="M5" s="21"/>
      <c r="N5" s="21"/>
      <c r="O5" s="21"/>
      <c r="P5" s="21"/>
      <c r="Q5" s="21"/>
      <c r="R5" s="21"/>
      <c r="S5" s="45"/>
      <c r="T5" s="45"/>
      <c r="U5" s="45"/>
    </row>
    <row r="6" spans="1:27" ht="18.75" customHeight="1" thickBot="1" x14ac:dyDescent="0.3"/>
    <row r="7" spans="1:27" ht="18.75" customHeight="1" x14ac:dyDescent="0.3">
      <c r="B7" s="185" t="s">
        <v>450</v>
      </c>
      <c r="C7" s="179"/>
      <c r="D7" s="179"/>
      <c r="E7" s="179"/>
      <c r="F7" s="179"/>
      <c r="G7" s="179"/>
      <c r="H7" s="179"/>
      <c r="I7" s="179"/>
      <c r="J7" s="179"/>
      <c r="K7" s="179"/>
      <c r="L7" s="179"/>
      <c r="M7" s="179"/>
      <c r="N7" s="179"/>
      <c r="O7" s="179"/>
      <c r="P7" s="179"/>
      <c r="Q7" s="179"/>
      <c r="R7" s="179"/>
      <c r="T7" s="220" t="s">
        <v>502</v>
      </c>
      <c r="V7" s="94" t="s">
        <v>108</v>
      </c>
      <c r="W7" s="64" t="s">
        <v>109</v>
      </c>
      <c r="X7" s="65" t="s">
        <v>113</v>
      </c>
    </row>
    <row r="8" spans="1:27" ht="18.75" customHeight="1" x14ac:dyDescent="0.25">
      <c r="B8" s="27"/>
      <c r="C8" s="1039" t="s">
        <v>105</v>
      </c>
      <c r="D8" s="1039"/>
      <c r="E8" s="1039"/>
      <c r="F8" s="180"/>
      <c r="G8" s="1040" t="s">
        <v>294</v>
      </c>
      <c r="H8" s="1040"/>
      <c r="I8" s="1040"/>
      <c r="J8" s="1040"/>
      <c r="K8" s="1040"/>
      <c r="L8" s="1040"/>
      <c r="M8" s="22"/>
      <c r="N8" s="1039" t="s">
        <v>258</v>
      </c>
      <c r="O8" s="1039"/>
      <c r="P8" s="1039"/>
      <c r="Q8" s="1039"/>
      <c r="R8" s="183"/>
      <c r="T8" s="220" t="s">
        <v>508</v>
      </c>
      <c r="U8">
        <f>IF(ISERROR(SUM('1.General_Info'!AA9:AA13)),0,IF(SUM('1.General_Info'!AA9:AA13)&lt;&gt;5,0,1))</f>
        <v>0</v>
      </c>
      <c r="V8" s="237">
        <v>2</v>
      </c>
      <c r="W8" s="238">
        <v>1</v>
      </c>
      <c r="X8" s="239">
        <v>2</v>
      </c>
    </row>
    <row r="9" spans="1:27" ht="18.75" customHeight="1" x14ac:dyDescent="0.25">
      <c r="B9" s="27"/>
      <c r="C9" s="1039"/>
      <c r="D9" s="1039"/>
      <c r="E9" s="1039"/>
      <c r="F9" s="22"/>
      <c r="G9" s="1040"/>
      <c r="H9" s="1040"/>
      <c r="I9" s="1040"/>
      <c r="J9" s="1040"/>
      <c r="K9" s="1040"/>
      <c r="L9" s="1040"/>
      <c r="M9" s="22"/>
      <c r="N9" s="1039"/>
      <c r="O9" s="1039"/>
      <c r="P9" s="1039"/>
      <c r="Q9" s="1039"/>
      <c r="R9" s="183"/>
      <c r="T9" s="220" t="s">
        <v>503</v>
      </c>
      <c r="U9" s="220">
        <f>IF(AND(V8=4,ISBLANK(K25)),0, 1)</f>
        <v>1</v>
      </c>
    </row>
    <row r="10" spans="1:27" ht="18.75" customHeight="1" x14ac:dyDescent="0.25">
      <c r="B10" s="27"/>
      <c r="C10" s="330" t="s">
        <v>251</v>
      </c>
      <c r="D10" s="329" t="str">
        <f>IF(ISERROR(#REF!), "", IF('1.General_Info'!W29,#REF!,#REF!))</f>
        <v/>
      </c>
      <c r="E10" s="22"/>
      <c r="F10" s="22"/>
      <c r="G10" s="22"/>
      <c r="H10" s="55"/>
      <c r="I10" s="55"/>
      <c r="J10" s="55"/>
      <c r="K10" s="336" t="s">
        <v>361</v>
      </c>
      <c r="L10" s="336" t="s">
        <v>300</v>
      </c>
      <c r="M10" s="55"/>
      <c r="N10" s="330" t="s">
        <v>268</v>
      </c>
      <c r="O10" s="330"/>
      <c r="P10" s="341"/>
      <c r="Q10" s="1014" t="s">
        <v>116</v>
      </c>
      <c r="R10" s="1015"/>
      <c r="T10" s="220" t="s">
        <v>504</v>
      </c>
      <c r="U10">
        <f>IF(AND(V8=2, OR(ISBLANK(K11), ISBLANK(K12), ISBLANK(K13), ISBLANK(K14), ISBLANK(K16), ISBLANK(L11), L11=W18)), 0, 1)</f>
        <v>0</v>
      </c>
      <c r="V10">
        <f>IF(P11="yes", P12, 1)</f>
        <v>1</v>
      </c>
    </row>
    <row r="11" spans="1:27" ht="18.75" customHeight="1" x14ac:dyDescent="0.25">
      <c r="B11" s="27"/>
      <c r="C11" s="331" t="s">
        <v>252</v>
      </c>
      <c r="D11" s="55"/>
      <c r="E11" s="55"/>
      <c r="F11" s="55"/>
      <c r="G11" s="330" t="s">
        <v>255</v>
      </c>
      <c r="H11" s="55"/>
      <c r="I11" s="55"/>
      <c r="J11" s="55"/>
      <c r="K11" s="337"/>
      <c r="L11" s="340" t="s">
        <v>116</v>
      </c>
      <c r="M11" s="55"/>
      <c r="N11" s="330" t="s">
        <v>27</v>
      </c>
      <c r="O11" s="330"/>
      <c r="P11" s="339" t="s">
        <v>21</v>
      </c>
      <c r="Q11" s="330"/>
      <c r="R11" s="334"/>
      <c r="T11" s="220" t="s">
        <v>505</v>
      </c>
      <c r="U11" s="220">
        <f>IF(AND(V8=3, OR(ISBLANK(P10), ISBLANK(P12), ISBLANK(Q10), Q10=W18)), 0, 1)</f>
        <v>1</v>
      </c>
    </row>
    <row r="12" spans="1:27" ht="18.75" customHeight="1" x14ac:dyDescent="0.25">
      <c r="B12" s="27"/>
      <c r="C12" s="55"/>
      <c r="D12" s="55"/>
      <c r="E12" s="55"/>
      <c r="F12" s="55"/>
      <c r="G12" s="330" t="s">
        <v>256</v>
      </c>
      <c r="H12" s="55"/>
      <c r="I12" s="55"/>
      <c r="J12" s="55"/>
      <c r="K12" s="337"/>
      <c r="L12" s="1044" t="s">
        <v>523</v>
      </c>
      <c r="M12" s="1044"/>
      <c r="N12" s="301" t="s">
        <v>86</v>
      </c>
      <c r="O12" s="301"/>
      <c r="P12" s="302">
        <v>1</v>
      </c>
      <c r="Q12" s="335"/>
      <c r="R12" s="334"/>
      <c r="T12" s="220" t="s">
        <v>506</v>
      </c>
      <c r="U12" s="220">
        <f>IF(AND(W8=2, OR(ISBLANK(K25), ISBLANK(K27))), 0, 1)</f>
        <v>1</v>
      </c>
      <c r="W12" s="94" t="s">
        <v>279</v>
      </c>
      <c r="X12" s="64"/>
      <c r="Y12" s="65"/>
      <c r="AA12" s="220"/>
    </row>
    <row r="13" spans="1:27" ht="18.75" customHeight="1" x14ac:dyDescent="0.25">
      <c r="B13" s="27"/>
      <c r="C13" s="310" t="s">
        <v>342</v>
      </c>
      <c r="D13" s="310"/>
      <c r="E13" s="310"/>
      <c r="F13" s="55"/>
      <c r="G13" s="330" t="s">
        <v>11</v>
      </c>
      <c r="H13" s="184"/>
      <c r="I13" s="55"/>
      <c r="J13" s="55"/>
      <c r="K13" s="338">
        <v>0.8</v>
      </c>
      <c r="L13" s="1044"/>
      <c r="M13" s="1044"/>
      <c r="N13" s="330"/>
      <c r="O13" s="330"/>
      <c r="P13" s="330"/>
      <c r="Q13" s="330"/>
      <c r="R13" s="334"/>
      <c r="T13" s="220" t="s">
        <v>507</v>
      </c>
      <c r="U13" s="220">
        <f>IF(AND(X8=2, SUM(G38:I46)&lt;&gt;1), 0, 1)</f>
        <v>0</v>
      </c>
      <c r="W13" s="81" t="s">
        <v>130</v>
      </c>
      <c r="X13" s="45" t="s">
        <v>277</v>
      </c>
      <c r="Y13" s="67" t="s">
        <v>278</v>
      </c>
    </row>
    <row r="14" spans="1:27" ht="18.75" customHeight="1" x14ac:dyDescent="0.25">
      <c r="B14" s="27"/>
      <c r="C14" s="413" t="s">
        <v>481</v>
      </c>
      <c r="D14" s="332"/>
      <c r="E14" s="310"/>
      <c r="F14" s="55"/>
      <c r="G14" s="330" t="s">
        <v>85</v>
      </c>
      <c r="H14" s="22"/>
      <c r="I14" s="55"/>
      <c r="J14" s="55"/>
      <c r="K14" s="337"/>
      <c r="L14" s="1044"/>
      <c r="M14" s="1044"/>
      <c r="N14" s="330" t="s">
        <v>251</v>
      </c>
      <c r="O14" s="330"/>
      <c r="P14" s="342" t="str">
        <f>IF(ISERROR(V10*Y14), "", V10*Y14)</f>
        <v/>
      </c>
      <c r="Q14" s="330"/>
      <c r="R14" s="334"/>
      <c r="W14" s="102">
        <f>IF(Q10=Y20,P10,IF(Q10=Y19,P10/#REF!,0))</f>
        <v>0</v>
      </c>
      <c r="X14" s="69" t="e">
        <f>W14*#REF!/2000</f>
        <v>#REF!</v>
      </c>
      <c r="Y14" s="70" t="str">
        <f>IF(Q10=W21, P10, IF(Q10=W22, P10/2000, IF(OR(Q10=W19, Q10=W20), X14, "")))</f>
        <v/>
      </c>
    </row>
    <row r="15" spans="1:27" ht="18.75" customHeight="1" x14ac:dyDescent="0.25">
      <c r="B15" s="27"/>
      <c r="C15" s="333" t="s">
        <v>487</v>
      </c>
      <c r="D15" s="347" t="str">
        <f>IF(AND(V8=4,ISBLANK(K25)),"Step 2.1b.",IF(V8=4,IF('9.CustomRates'!T14, INDEX('9.CustomRates'!T18:X101, MATCH(1, '9.CustomRates'!X18:X101, 0), 1)/#REF!, K29/#REF!), ""))</f>
        <v/>
      </c>
      <c r="E15" s="55"/>
      <c r="F15" s="55"/>
      <c r="G15" s="330" t="s">
        <v>27</v>
      </c>
      <c r="H15" s="22"/>
      <c r="I15" s="55"/>
      <c r="J15" s="55"/>
      <c r="K15" s="339" t="s">
        <v>21</v>
      </c>
      <c r="L15" s="1044"/>
      <c r="M15" s="1044"/>
      <c r="N15" s="331" t="s">
        <v>252</v>
      </c>
      <c r="O15" s="330"/>
      <c r="P15" s="330"/>
      <c r="Q15" s="330"/>
      <c r="R15" s="334"/>
    </row>
    <row r="16" spans="1:27" ht="18.75" customHeight="1" x14ac:dyDescent="0.25">
      <c r="B16" s="27"/>
      <c r="C16" s="1037" t="str">
        <f>IF(V8=4, "Note: This method uses regional cost per ton estimates to calculate your approximate amount of trash.  If your bills contain more information than just the cost, please use the other options to the right instead.", "")</f>
        <v/>
      </c>
      <c r="D16" s="1037"/>
      <c r="E16" s="1037"/>
      <c r="F16" s="55"/>
      <c r="G16" s="301" t="s">
        <v>86</v>
      </c>
      <c r="H16" s="22"/>
      <c r="I16" s="55"/>
      <c r="J16" s="55"/>
      <c r="K16" s="302">
        <v>1</v>
      </c>
      <c r="L16" s="1044"/>
      <c r="M16" s="1044"/>
      <c r="N16" s="22"/>
      <c r="O16" s="22"/>
      <c r="P16" s="22"/>
      <c r="Q16" s="22"/>
      <c r="R16" s="183"/>
    </row>
    <row r="17" spans="2:27" ht="18.75" customHeight="1" x14ac:dyDescent="0.25">
      <c r="B17" s="27"/>
      <c r="C17" s="1037"/>
      <c r="D17" s="1037"/>
      <c r="E17" s="1037"/>
      <c r="F17" s="55"/>
      <c r="G17" s="22"/>
      <c r="H17" s="22"/>
      <c r="I17" s="55"/>
      <c r="J17" s="55"/>
      <c r="K17" s="333"/>
      <c r="L17" s="1021" t="s">
        <v>257</v>
      </c>
      <c r="M17" s="1021"/>
      <c r="N17" s="22"/>
      <c r="O17" s="22"/>
      <c r="P17" s="22"/>
      <c r="Q17" s="22"/>
      <c r="R17" s="183"/>
      <c r="W17" s="93" t="s">
        <v>179</v>
      </c>
      <c r="X17" s="21"/>
      <c r="Y17" s="85"/>
    </row>
    <row r="18" spans="2:27" ht="18.75" customHeight="1" x14ac:dyDescent="0.25">
      <c r="B18" s="27"/>
      <c r="C18" s="1037"/>
      <c r="D18" s="1037"/>
      <c r="E18" s="1037"/>
      <c r="F18" s="162"/>
      <c r="G18" s="330" t="s">
        <v>344</v>
      </c>
      <c r="H18" s="22"/>
      <c r="I18" s="55"/>
      <c r="J18" s="55"/>
      <c r="K18" s="329" t="str">
        <f>IF(K11="", "", AB76*K12*K13*K14*#REF!*AF76)</f>
        <v/>
      </c>
      <c r="L18" s="1021"/>
      <c r="M18" s="1021"/>
      <c r="N18" s="22"/>
      <c r="O18" s="22"/>
      <c r="P18" s="22"/>
      <c r="Q18" s="22"/>
      <c r="R18" s="183"/>
      <c r="W18" s="81" t="s">
        <v>116</v>
      </c>
      <c r="X18" s="45" t="s">
        <v>21</v>
      </c>
      <c r="Y18" s="67" t="s">
        <v>116</v>
      </c>
      <c r="Z18" s="67" t="s">
        <v>21</v>
      </c>
    </row>
    <row r="19" spans="2:27" ht="18.75" customHeight="1" thickBot="1" x14ac:dyDescent="0.3">
      <c r="B19" s="29"/>
      <c r="C19" s="1038"/>
      <c r="D19" s="1038"/>
      <c r="E19" s="1038"/>
      <c r="F19" s="30"/>
      <c r="G19" s="30"/>
      <c r="H19" s="30"/>
      <c r="I19" s="30"/>
      <c r="J19" s="30"/>
      <c r="K19" s="30"/>
      <c r="L19" s="30"/>
      <c r="M19" s="30"/>
      <c r="N19" s="30"/>
      <c r="O19" s="30"/>
      <c r="P19" s="30"/>
      <c r="Q19" s="30"/>
      <c r="R19" s="31"/>
      <c r="W19" s="81" t="s">
        <v>114</v>
      </c>
      <c r="X19" s="45" t="s">
        <v>121</v>
      </c>
      <c r="Y19" s="67" t="s">
        <v>114</v>
      </c>
      <c r="Z19" s="67" t="s">
        <v>114</v>
      </c>
    </row>
    <row r="20" spans="2:27" ht="18.75" customHeight="1" thickBot="1" x14ac:dyDescent="0.3">
      <c r="W20" s="81" t="s">
        <v>115</v>
      </c>
      <c r="X20" s="45" t="s">
        <v>122</v>
      </c>
      <c r="Y20" s="67" t="s">
        <v>115</v>
      </c>
      <c r="Z20" s="67" t="s">
        <v>254</v>
      </c>
    </row>
    <row r="21" spans="2:27" ht="18.75" customHeight="1" x14ac:dyDescent="0.3">
      <c r="B21" s="185" t="s">
        <v>451</v>
      </c>
      <c r="C21" s="179"/>
      <c r="D21" s="179"/>
      <c r="E21" s="179"/>
      <c r="F21" s="179"/>
      <c r="G21" s="179"/>
      <c r="H21" s="179"/>
      <c r="I21" s="179"/>
      <c r="J21" s="179"/>
      <c r="K21" s="179"/>
      <c r="L21" s="179"/>
      <c r="M21" s="179"/>
      <c r="N21" s="179"/>
      <c r="Q21" s="305" t="s">
        <v>313</v>
      </c>
      <c r="W21" s="81" t="s">
        <v>84</v>
      </c>
      <c r="X21" s="45"/>
      <c r="Y21" s="67"/>
    </row>
    <row r="22" spans="2:27" ht="18.75" customHeight="1" x14ac:dyDescent="0.25">
      <c r="B22" s="182"/>
      <c r="C22" s="1039" t="s">
        <v>105</v>
      </c>
      <c r="D22" s="1039"/>
      <c r="E22" s="1039"/>
      <c r="F22" s="180"/>
      <c r="G22" s="1039" t="s">
        <v>106</v>
      </c>
      <c r="H22" s="1039"/>
      <c r="I22" s="1039"/>
      <c r="J22" s="1039"/>
      <c r="K22" s="1039"/>
      <c r="L22" s="1039"/>
      <c r="M22" s="22"/>
      <c r="N22" s="183"/>
      <c r="W22" s="102" t="s">
        <v>124</v>
      </c>
      <c r="X22" s="69"/>
      <c r="Y22" s="70"/>
    </row>
    <row r="23" spans="2:27" ht="16.5" customHeight="1" x14ac:dyDescent="0.25">
      <c r="B23" s="27"/>
      <c r="C23" s="1039"/>
      <c r="D23" s="1039"/>
      <c r="E23" s="1039"/>
      <c r="F23" s="22"/>
      <c r="G23" s="1039"/>
      <c r="H23" s="1039"/>
      <c r="I23" s="1039"/>
      <c r="J23" s="1039"/>
      <c r="K23" s="1039"/>
      <c r="L23" s="1039"/>
      <c r="M23" s="22"/>
      <c r="N23" s="183"/>
      <c r="S23" s="220"/>
    </row>
    <row r="24" spans="2:27" s="220" customFormat="1" ht="15.75" customHeight="1" x14ac:dyDescent="0.25">
      <c r="B24" s="27"/>
      <c r="C24" s="414"/>
      <c r="D24" s="433" t="s">
        <v>361</v>
      </c>
      <c r="E24" s="414"/>
      <c r="F24" s="22"/>
      <c r="G24" s="414"/>
      <c r="H24" s="414"/>
      <c r="I24" s="414"/>
      <c r="J24" s="414"/>
      <c r="K24" s="433" t="s">
        <v>361</v>
      </c>
      <c r="L24" s="1045" t="str">
        <f>IF(V8=2, "Tip: If you have multiple containers, use this section for the cost of container A and the 'Multiple Container' section below for your other containers.", "")</f>
        <v>Tip: If you have multiple containers, use this section for the cost of container A and the 'Multiple Container' section below for your other containers.</v>
      </c>
      <c r="M24" s="1045"/>
      <c r="N24" s="1046"/>
    </row>
    <row r="25" spans="2:27" ht="18.75" customHeight="1" x14ac:dyDescent="0.25">
      <c r="B25" s="27"/>
      <c r="C25" s="330" t="s">
        <v>253</v>
      </c>
      <c r="D25" s="345" t="e">
        <f>IF('9.CustomRates'!T14, IF(OR('2.Current_Trash'!V8=1, '2.Current_Trash'!V8=3), '9.CustomRates'!BP64, IF('2.Current_Trash'!V8=2, '9.CustomRates'!BO56, " ")), IF(AND(V8=2, OR('1.General_Info'!$D$11&lt;&gt;'1.General_Info'!$W$9, '2.Current_Trash'!K18&lt;&gt;"")), '2.Current_Trash'!K18*#REF!, IF(OR('1.General_Info'!$D$11='1.General_Info'!$W$9,ISERROR(#REF!*#REF!)),"",#REF!*#REF!)))</f>
        <v>#VALUE!</v>
      </c>
      <c r="E25" s="330"/>
      <c r="F25" s="330"/>
      <c r="G25" s="330" t="s">
        <v>345</v>
      </c>
      <c r="H25" s="330"/>
      <c r="I25" s="343"/>
      <c r="J25" s="343"/>
      <c r="K25" s="344"/>
      <c r="L25" s="1045"/>
      <c r="M25" s="1045"/>
      <c r="N25" s="1046"/>
    </row>
    <row r="26" spans="2:27" ht="18.75" customHeight="1" x14ac:dyDescent="0.25">
      <c r="B26" s="27"/>
      <c r="C26" s="331" t="s">
        <v>252</v>
      </c>
      <c r="D26" s="330"/>
      <c r="E26" s="330"/>
      <c r="F26" s="330"/>
      <c r="G26" s="330" t="s">
        <v>27</v>
      </c>
      <c r="H26" s="330"/>
      <c r="I26" s="343"/>
      <c r="J26" s="343"/>
      <c r="K26" s="339" t="s">
        <v>21</v>
      </c>
      <c r="L26" s="1045"/>
      <c r="M26" s="1045"/>
      <c r="N26" s="1046"/>
      <c r="W26" s="45"/>
      <c r="X26" s="45"/>
      <c r="Y26" s="45"/>
      <c r="Z26" s="220" t="s">
        <v>354</v>
      </c>
    </row>
    <row r="27" spans="2:27" ht="18.75" customHeight="1" x14ac:dyDescent="0.25">
      <c r="B27" s="27"/>
      <c r="C27" s="1047" t="str">
        <f>IF(AND(V8=4, W8=1), "Since you have chosen to estimate your trash amount using cost from bills, select the option to the right and enter your actual cost. -------&gt;", "")</f>
        <v/>
      </c>
      <c r="D27" s="1047"/>
      <c r="E27" s="1047"/>
      <c r="F27" s="330"/>
      <c r="G27" s="301" t="s">
        <v>86</v>
      </c>
      <c r="H27" s="330"/>
      <c r="I27" s="343"/>
      <c r="J27" s="343"/>
      <c r="K27" s="346">
        <v>1</v>
      </c>
      <c r="L27" s="1045"/>
      <c r="M27" s="1045"/>
      <c r="N27" s="1046"/>
      <c r="W27" s="45"/>
      <c r="X27" s="45"/>
      <c r="Y27" s="45"/>
      <c r="Z27">
        <f>IF(K26="yes", K27, 1)</f>
        <v>1</v>
      </c>
      <c r="AA27" s="220"/>
    </row>
    <row r="28" spans="2:27" ht="18.75" customHeight="1" x14ac:dyDescent="0.25">
      <c r="B28" s="27"/>
      <c r="C28" s="1047"/>
      <c r="D28" s="1047"/>
      <c r="E28" s="1047"/>
      <c r="F28" s="330"/>
      <c r="G28" s="330"/>
      <c r="H28" s="330"/>
      <c r="I28" s="343"/>
      <c r="J28" s="343"/>
      <c r="K28" s="330"/>
      <c r="L28" s="1045"/>
      <c r="M28" s="1045"/>
      <c r="N28" s="1046"/>
      <c r="O28" s="7"/>
      <c r="P28" s="7"/>
      <c r="Q28" s="7"/>
      <c r="R28" s="7"/>
      <c r="S28" s="7"/>
      <c r="W28" s="45"/>
      <c r="X28" s="45"/>
      <c r="Y28" s="45"/>
    </row>
    <row r="29" spans="2:27" ht="18.75" customHeight="1" x14ac:dyDescent="0.25">
      <c r="B29" s="27"/>
      <c r="C29" s="1047" t="str">
        <f>IF(AND('9.CustomRates'!T14, ISERROR(D25), '2.Current_Trash'!V8=2), "Error: Rate information for this service level is not available.  Either select different service level or enter rate in tab 9.CustomRates.", "")</f>
        <v/>
      </c>
      <c r="D29" s="1047"/>
      <c r="E29" s="1047"/>
      <c r="F29" s="330"/>
      <c r="G29" s="330" t="s">
        <v>346</v>
      </c>
      <c r="H29" s="330"/>
      <c r="I29" s="343"/>
      <c r="J29" s="343"/>
      <c r="K29" s="345" t="str">
        <f>IF(K25="","",IF(W8=2, K25*Z27, ""))</f>
        <v/>
      </c>
      <c r="L29" s="1045"/>
      <c r="M29" s="1045"/>
      <c r="N29" s="1046"/>
      <c r="P29" s="17"/>
      <c r="Q29" s="17"/>
      <c r="R29" s="17"/>
      <c r="S29" s="17"/>
      <c r="T29" s="7"/>
      <c r="W29" s="45"/>
      <c r="X29" s="45"/>
      <c r="Y29" s="45"/>
    </row>
    <row r="30" spans="2:27" s="220" customFormat="1" ht="18.75" customHeight="1" x14ac:dyDescent="0.25">
      <c r="B30" s="27"/>
      <c r="C30" s="1047"/>
      <c r="D30" s="1047"/>
      <c r="E30" s="1047"/>
      <c r="F30" s="330"/>
      <c r="G30" s="330"/>
      <c r="H30" s="330"/>
      <c r="I30" s="343"/>
      <c r="J30" s="343"/>
      <c r="K30" s="480"/>
      <c r="L30" s="449"/>
      <c r="M30" s="449"/>
      <c r="N30" s="450"/>
      <c r="P30" s="221"/>
      <c r="Q30" s="221"/>
      <c r="R30" s="221"/>
      <c r="S30" s="221"/>
      <c r="T30" s="224"/>
      <c r="W30" s="45"/>
      <c r="X30" s="45"/>
      <c r="Y30" s="45"/>
    </row>
    <row r="31" spans="2:27" s="220" customFormat="1" ht="14.25" customHeight="1" x14ac:dyDescent="0.25">
      <c r="B31" s="27"/>
      <c r="C31" s="516" t="s">
        <v>513</v>
      </c>
      <c r="D31" s="512"/>
      <c r="E31" s="512"/>
      <c r="F31" s="330"/>
      <c r="G31" s="330"/>
      <c r="H31" s="330"/>
      <c r="I31" s="343"/>
      <c r="J31" s="343"/>
      <c r="K31" s="510"/>
      <c r="L31" s="510"/>
      <c r="M31" s="510"/>
      <c r="N31" s="511"/>
      <c r="P31" s="221"/>
      <c r="Q31" s="221"/>
      <c r="R31" s="221"/>
      <c r="S31" s="221"/>
      <c r="T31" s="224"/>
      <c r="W31" s="45"/>
      <c r="X31" s="45"/>
      <c r="Y31" s="45"/>
    </row>
    <row r="32" spans="2:27" ht="18.75" customHeight="1" thickBot="1" x14ac:dyDescent="0.3">
      <c r="B32" s="29"/>
      <c r="C32" s="1052" t="s">
        <v>442</v>
      </c>
      <c r="D32" s="1052"/>
      <c r="E32" s="1052"/>
      <c r="F32" s="1052"/>
      <c r="G32" s="1052"/>
      <c r="H32" s="1052"/>
      <c r="I32" s="1052"/>
      <c r="J32" s="1052"/>
      <c r="K32" s="1052"/>
      <c r="L32" s="1052"/>
      <c r="M32" s="1052"/>
      <c r="N32" s="1053"/>
      <c r="T32" s="17"/>
      <c r="W32" s="45"/>
      <c r="X32" s="45"/>
      <c r="Y32" s="45"/>
    </row>
    <row r="33" spans="2:35" ht="18.75" customHeight="1" thickBot="1" x14ac:dyDescent="0.3">
      <c r="I33" s="45"/>
      <c r="W33" s="45"/>
      <c r="X33" s="45"/>
      <c r="Y33" s="45"/>
    </row>
    <row r="34" spans="2:35" ht="18.75" customHeight="1" x14ac:dyDescent="0.3">
      <c r="B34" s="185" t="s">
        <v>489</v>
      </c>
      <c r="C34" s="179"/>
      <c r="D34" s="179"/>
      <c r="E34" s="179"/>
      <c r="F34" s="179"/>
      <c r="G34" s="179"/>
      <c r="H34" s="179"/>
      <c r="I34" s="179"/>
      <c r="J34" s="179"/>
      <c r="K34" s="179"/>
      <c r="L34" s="179"/>
      <c r="U34" s="50"/>
      <c r="W34" s="45"/>
      <c r="X34" s="45"/>
      <c r="Y34" s="45"/>
    </row>
    <row r="35" spans="2:35" ht="18.75" customHeight="1" x14ac:dyDescent="0.25">
      <c r="B35" s="27"/>
      <c r="C35" s="181"/>
      <c r="D35" s="181"/>
      <c r="E35" s="181"/>
      <c r="F35" s="55"/>
      <c r="G35" s="55"/>
      <c r="H35" s="55"/>
      <c r="I35" s="55"/>
      <c r="J35" s="55"/>
      <c r="K35" s="55"/>
      <c r="L35" s="183"/>
      <c r="V35" s="220" t="s">
        <v>406</v>
      </c>
      <c r="W35" s="426" t="s">
        <v>241</v>
      </c>
    </row>
    <row r="36" spans="2:35" ht="18.75" customHeight="1" x14ac:dyDescent="0.25">
      <c r="B36" s="27"/>
      <c r="C36" s="181"/>
      <c r="D36" s="163" t="s">
        <v>490</v>
      </c>
      <c r="E36" s="181"/>
      <c r="F36" s="187" t="s">
        <v>491</v>
      </c>
      <c r="G36" s="55"/>
      <c r="H36" s="55"/>
      <c r="I36" s="55"/>
      <c r="J36" s="55"/>
      <c r="K36" s="55"/>
      <c r="L36" s="183"/>
      <c r="V36" s="220">
        <f>IF(V8=2, AD82, IF(W8=2, K29, D25))</f>
        <v>0</v>
      </c>
      <c r="W36" s="427" t="e">
        <f>V36/#REF!</f>
        <v>#REF!</v>
      </c>
    </row>
    <row r="37" spans="2:35" ht="18.75" customHeight="1" x14ac:dyDescent="0.25">
      <c r="B37" s="27"/>
      <c r="C37" s="23"/>
      <c r="D37" s="23"/>
      <c r="E37" s="23"/>
      <c r="F37" s="171"/>
      <c r="G37" s="55"/>
      <c r="H37" s="171"/>
      <c r="I37" s="55"/>
      <c r="J37" s="55"/>
      <c r="K37" s="55"/>
      <c r="L37" s="183"/>
      <c r="T37" s="220" t="s">
        <v>494</v>
      </c>
      <c r="U37" s="6"/>
    </row>
    <row r="38" spans="2:35" ht="18.75" customHeight="1" x14ac:dyDescent="0.25">
      <c r="B38" s="27"/>
      <c r="C38" s="26" t="s">
        <v>14</v>
      </c>
      <c r="D38" s="349" t="str">
        <f>IF(G49="By weight", IF(ISERROR(#REF!), "",#REF!), IF(ISERROR(#REF!), "",#REF!))</f>
        <v/>
      </c>
      <c r="E38" s="55"/>
      <c r="F38" s="55"/>
      <c r="G38" s="1012"/>
      <c r="H38" s="1016"/>
      <c r="I38" s="1013"/>
      <c r="J38" s="55"/>
      <c r="K38" s="55"/>
      <c r="L38" s="183"/>
      <c r="T38" s="495" t="e">
        <f xml:space="preserve"> IF($G$49="By weight", G38,#REF!)</f>
        <v>#REF!</v>
      </c>
    </row>
    <row r="39" spans="2:35" ht="18.75" customHeight="1" x14ac:dyDescent="0.25">
      <c r="B39" s="27"/>
      <c r="C39" s="26" t="s">
        <v>13</v>
      </c>
      <c r="D39" s="349" t="str">
        <f>IF(G49="By weight", IF(ISERROR(#REF!), "",#REF!), IF(ISERROR(#REF!), "",#REF!))</f>
        <v/>
      </c>
      <c r="E39" s="55"/>
      <c r="F39" s="55"/>
      <c r="G39" s="1012"/>
      <c r="H39" s="1016"/>
      <c r="I39" s="1013"/>
      <c r="J39" s="55"/>
      <c r="K39" s="55"/>
      <c r="L39" s="183"/>
      <c r="N39" s="220"/>
      <c r="T39" s="495" t="e">
        <f xml:space="preserve"> IF($G$49="By weight", G39,#REF!)</f>
        <v>#REF!</v>
      </c>
      <c r="Z39" s="5"/>
      <c r="AC39" s="5"/>
      <c r="AD39" s="5"/>
      <c r="AE39" s="5"/>
    </row>
    <row r="40" spans="2:35" ht="18.75" customHeight="1" x14ac:dyDescent="0.25">
      <c r="B40" s="27"/>
      <c r="C40" s="25" t="s">
        <v>15</v>
      </c>
      <c r="D40" s="349" t="str">
        <f>IF(G49="By weight",IF(ISERROR(#REF!),"",#REF!),IF(ISERROR(#REF!),"",#REF!))</f>
        <v/>
      </c>
      <c r="E40" s="55"/>
      <c r="F40" s="24"/>
      <c r="G40" s="1018"/>
      <c r="H40" s="1019"/>
      <c r="I40" s="1020"/>
      <c r="J40" s="22"/>
      <c r="K40" s="55"/>
      <c r="L40" s="183"/>
      <c r="R40" s="45"/>
      <c r="T40" s="495" t="e">
        <f xml:space="preserve"> IF($G$49="By weight", G40,#REF!)</f>
        <v>#REF!</v>
      </c>
      <c r="Z40" t="s">
        <v>108</v>
      </c>
    </row>
    <row r="41" spans="2:35" ht="18.75" customHeight="1" x14ac:dyDescent="0.25">
      <c r="B41" s="27"/>
      <c r="C41" s="25" t="s">
        <v>16</v>
      </c>
      <c r="D41" s="350" t="str">
        <f>IF(G49="By weight",IF(ISERROR(#REF!),"",#REF!),IF(ISERROR(#REF!),"",#REF!))</f>
        <v/>
      </c>
      <c r="E41" s="55"/>
      <c r="F41" s="55"/>
      <c r="G41" s="1012"/>
      <c r="H41" s="1016"/>
      <c r="I41" s="1013"/>
      <c r="J41" s="22"/>
      <c r="K41" s="55"/>
      <c r="L41" s="183"/>
      <c r="T41" s="495" t="e">
        <f xml:space="preserve"> IF($G$49="By weight", G41,#REF!)</f>
        <v>#REF!</v>
      </c>
      <c r="Z41">
        <f>'2.Current_Trash'!V8</f>
        <v>2</v>
      </c>
    </row>
    <row r="42" spans="2:35" ht="18.75" customHeight="1" x14ac:dyDescent="0.25">
      <c r="B42" s="27"/>
      <c r="C42" s="25" t="s">
        <v>17</v>
      </c>
      <c r="D42" s="349" t="str">
        <f>IF(G49="By weight",IF(ISERROR(#REF!),"",#REF!),IF(ISERROR(#REF!),"",#REF!))</f>
        <v/>
      </c>
      <c r="E42" s="55"/>
      <c r="F42" s="55"/>
      <c r="G42" s="1012"/>
      <c r="H42" s="1016"/>
      <c r="I42" s="1013"/>
      <c r="J42" s="22"/>
      <c r="K42" s="55"/>
      <c r="L42" s="183"/>
      <c r="T42" s="495" t="e">
        <f xml:space="preserve"> IF($G$49="By weight", G42,#REF!)</f>
        <v>#REF!</v>
      </c>
    </row>
    <row r="43" spans="2:35" ht="18.75" customHeight="1" x14ac:dyDescent="0.25">
      <c r="B43" s="27"/>
      <c r="C43" s="25" t="s">
        <v>18</v>
      </c>
      <c r="D43" s="349" t="str">
        <f>IF(G49="By weight",IF(ISERROR(#REF!),"",#REF!),IF(ISERROR(#REF!),"",#REF!))</f>
        <v/>
      </c>
      <c r="E43" s="55"/>
      <c r="F43" s="55"/>
      <c r="G43" s="1012"/>
      <c r="H43" s="1016"/>
      <c r="I43" s="1013"/>
      <c r="J43" s="22"/>
      <c r="K43" s="55"/>
      <c r="L43" s="183"/>
      <c r="T43" s="495" t="e">
        <f xml:space="preserve"> IF($G$49="By weight", G43,#REF!)</f>
        <v>#REF!</v>
      </c>
    </row>
    <row r="44" spans="2:35" ht="18.75" customHeight="1" x14ac:dyDescent="0.25">
      <c r="B44" s="27"/>
      <c r="C44" s="25" t="s">
        <v>19</v>
      </c>
      <c r="D44" s="349" t="str">
        <f>IF(G49="By weight",IF(ISERROR(#REF!),"",#REF!),IF(ISERROR(#REF!),"",#REF!))</f>
        <v/>
      </c>
      <c r="E44" s="55"/>
      <c r="F44" s="55"/>
      <c r="G44" s="1012"/>
      <c r="H44" s="1016"/>
      <c r="I44" s="1013"/>
      <c r="J44" s="22"/>
      <c r="K44" s="55"/>
      <c r="L44" s="183"/>
      <c r="T44" s="495" t="e">
        <f xml:space="preserve"> IF($G$49="By weight", G44,#REF!)</f>
        <v>#REF!</v>
      </c>
    </row>
    <row r="45" spans="2:35" ht="18.75" customHeight="1" x14ac:dyDescent="0.25">
      <c r="B45" s="27"/>
      <c r="C45" s="26" t="s">
        <v>353</v>
      </c>
      <c r="D45" s="349" t="str">
        <f>IF(G49="By weight",IF(ISERROR(#REF!),"",#REF!),IF(ISERROR(#REF!),"",#REF!))</f>
        <v/>
      </c>
      <c r="E45" s="55"/>
      <c r="F45" s="55"/>
      <c r="G45" s="1012"/>
      <c r="H45" s="1016"/>
      <c r="I45" s="1013"/>
      <c r="J45" s="271" t="s">
        <v>269</v>
      </c>
      <c r="K45" s="55"/>
      <c r="L45" s="183"/>
      <c r="T45" s="495" t="e">
        <f xml:space="preserve"> IF($G$49="By weight", G45,#REF!)</f>
        <v>#REF!</v>
      </c>
      <c r="AF45" s="93" t="s">
        <v>183</v>
      </c>
      <c r="AG45" s="21"/>
      <c r="AH45" s="85"/>
      <c r="AI45" s="45"/>
    </row>
    <row r="46" spans="2:35" ht="18.75" customHeight="1" x14ac:dyDescent="0.25">
      <c r="B46" s="27"/>
      <c r="C46" s="25" t="s">
        <v>104</v>
      </c>
      <c r="D46" s="349" t="str">
        <f>IF(G49="By weight",IF(ISERROR(#REF!),"",#REF!),IF(ISERROR(#REF!),"",#REF!))</f>
        <v/>
      </c>
      <c r="E46" s="55"/>
      <c r="F46" s="55"/>
      <c r="G46" s="1012"/>
      <c r="H46" s="1016"/>
      <c r="I46" s="1013"/>
      <c r="J46" s="1026" t="s">
        <v>270</v>
      </c>
      <c r="K46" s="1027"/>
      <c r="L46" s="1028"/>
      <c r="T46" s="495" t="e">
        <f xml:space="preserve"> IF($G$49="By weight", G46,#REF!)</f>
        <v>#REF!</v>
      </c>
      <c r="AF46" s="81" t="s">
        <v>116</v>
      </c>
      <c r="AG46" s="45" t="s">
        <v>21</v>
      </c>
      <c r="AH46" s="67" t="s">
        <v>21</v>
      </c>
      <c r="AI46" s="45"/>
    </row>
    <row r="47" spans="2:35" ht="18.75" customHeight="1" x14ac:dyDescent="0.25">
      <c r="B47" s="27"/>
      <c r="C47" s="26" t="s">
        <v>196</v>
      </c>
      <c r="D47" s="348">
        <f>IF(ISERROR(SUM(D38:D46)), "", SUM(D38:D46))</f>
        <v>0</v>
      </c>
      <c r="E47" s="55"/>
      <c r="F47" s="55"/>
      <c r="G47" s="1017">
        <f>IF(X8=2, SUM(G38:I46), "")</f>
        <v>0</v>
      </c>
      <c r="H47" s="1017"/>
      <c r="I47" s="1017"/>
      <c r="J47" s="1056" t="str">
        <f>IF(AND(X8=2, SUM(G38:I46)&lt;&gt;1), "Error: please enter a composition that totals 100%", "")</f>
        <v>Error: please enter a composition that totals 100%</v>
      </c>
      <c r="K47" s="1056"/>
      <c r="L47" s="1057"/>
      <c r="AF47" s="81" t="s">
        <v>114</v>
      </c>
      <c r="AG47" s="45" t="s">
        <v>121</v>
      </c>
      <c r="AH47" s="67" t="s">
        <v>114</v>
      </c>
      <c r="AI47" s="45"/>
    </row>
    <row r="48" spans="2:35" s="220" customFormat="1" ht="18.75" customHeight="1" x14ac:dyDescent="0.25">
      <c r="B48" s="27"/>
      <c r="C48" s="26"/>
      <c r="D48" s="348"/>
      <c r="E48" s="55"/>
      <c r="F48" s="55"/>
      <c r="G48" s="486"/>
      <c r="H48" s="486"/>
      <c r="I48" s="486"/>
      <c r="J48" s="1056"/>
      <c r="K48" s="1056"/>
      <c r="L48" s="1057"/>
      <c r="AF48" s="81" t="s">
        <v>115</v>
      </c>
      <c r="AG48" s="45" t="s">
        <v>122</v>
      </c>
      <c r="AH48" s="67" t="s">
        <v>293</v>
      </c>
      <c r="AI48" s="45"/>
    </row>
    <row r="49" spans="1:35" s="220" customFormat="1" ht="18.75" customHeight="1" x14ac:dyDescent="0.25">
      <c r="B49" s="27"/>
      <c r="C49" s="1054" t="s">
        <v>493</v>
      </c>
      <c r="D49" s="1054"/>
      <c r="E49" s="1054"/>
      <c r="F49" s="1054"/>
      <c r="G49" s="1048" t="s">
        <v>546</v>
      </c>
      <c r="H49" s="1049"/>
      <c r="I49" s="1050"/>
      <c r="J49" s="502"/>
      <c r="K49" s="502"/>
      <c r="L49" s="503"/>
      <c r="AF49" s="81" t="s">
        <v>84</v>
      </c>
      <c r="AG49" s="45"/>
      <c r="AH49" s="67"/>
      <c r="AI49" s="45"/>
    </row>
    <row r="50" spans="1:35" ht="18.75" customHeight="1" thickBot="1" x14ac:dyDescent="0.3">
      <c r="B50" s="29"/>
      <c r="C50" s="1055"/>
      <c r="D50" s="1055"/>
      <c r="E50" s="1055"/>
      <c r="F50" s="1055"/>
      <c r="G50" s="494"/>
      <c r="H50" s="30"/>
      <c r="I50" s="30"/>
      <c r="J50" s="504"/>
      <c r="K50" s="504"/>
      <c r="L50" s="505"/>
      <c r="AF50" s="102" t="s">
        <v>124</v>
      </c>
      <c r="AG50" s="69"/>
      <c r="AH50" s="70"/>
      <c r="AI50" s="45"/>
    </row>
    <row r="51" spans="1:35" ht="10.5" customHeight="1" x14ac:dyDescent="0.25">
      <c r="F51" s="17"/>
      <c r="G51" s="7"/>
      <c r="H51" s="17"/>
      <c r="I51" s="7"/>
      <c r="J51" s="7"/>
      <c r="AI51" s="45"/>
    </row>
    <row r="52" spans="1:35" ht="18.75" customHeight="1" x14ac:dyDescent="0.25">
      <c r="B52" t="s">
        <v>236</v>
      </c>
      <c r="AI52" s="45"/>
    </row>
    <row r="53" spans="1:35" s="220" customFormat="1" ht="10.5" customHeight="1" x14ac:dyDescent="0.25">
      <c r="AI53" s="45"/>
    </row>
    <row r="54" spans="1:35" s="220" customFormat="1" ht="18.75" customHeight="1" x14ac:dyDescent="0.25">
      <c r="B54" s="166" t="s">
        <v>509</v>
      </c>
      <c r="C54" s="21"/>
      <c r="D54" s="21"/>
      <c r="E54" s="21"/>
      <c r="F54" s="21"/>
      <c r="G54" s="21"/>
      <c r="H54" s="21"/>
      <c r="I54" s="21"/>
      <c r="J54" s="21"/>
      <c r="K54" s="21"/>
      <c r="L54" s="21"/>
      <c r="M54" s="21"/>
      <c r="N54" s="21"/>
      <c r="O54" s="21"/>
      <c r="P54" s="21"/>
      <c r="Q54" s="21"/>
      <c r="R54" s="21"/>
    </row>
    <row r="55" spans="1:35" s="220" customFormat="1" ht="18.75" customHeight="1" x14ac:dyDescent="0.25">
      <c r="B55" s="208"/>
      <c r="C55" s="220" t="str">
        <f>IF(U8=0, "No, information is missing on General Info tab", IF(SUM(U8:U13)=6, "Yes. Please proceed to the next question below.", ""))</f>
        <v>No, information is missing on General Info tab</v>
      </c>
      <c r="D55" s="45"/>
      <c r="E55" s="45"/>
      <c r="F55" s="45"/>
      <c r="G55" s="45"/>
      <c r="H55" s="45"/>
      <c r="I55" s="45"/>
      <c r="J55" s="45"/>
      <c r="K55" s="220" t="str">
        <f>IF(U13=0, "No, changed makeup of trash must add to 100%", "")</f>
        <v>No, changed makeup of trash must add to 100%</v>
      </c>
      <c r="M55" s="45"/>
      <c r="N55" s="45"/>
      <c r="O55" s="45"/>
      <c r="P55" s="45"/>
      <c r="Q55" s="45"/>
      <c r="R55" s="45"/>
      <c r="S55" s="45"/>
    </row>
    <row r="56" spans="1:35" s="220" customFormat="1" ht="18.75" customHeight="1" x14ac:dyDescent="0.25">
      <c r="B56" s="208"/>
      <c r="C56" s="220" t="str">
        <f>IF(U9=0,"",IF(U12=0,"No, to estimate cost using actual cost, enter information in cells K25:K26",""))</f>
        <v/>
      </c>
      <c r="D56" s="45"/>
      <c r="E56" s="45"/>
      <c r="F56" s="45"/>
      <c r="G56" s="45"/>
      <c r="H56" s="45"/>
      <c r="I56" s="45"/>
      <c r="J56" s="45"/>
      <c r="K56" s="220" t="str">
        <f>IF(U9=0, "No, to estimate using trash amount from cost, select 'Have actual cost ", "")</f>
        <v/>
      </c>
      <c r="M56" s="45"/>
      <c r="N56" s="45"/>
      <c r="O56" s="45"/>
      <c r="P56" s="45"/>
      <c r="Q56" s="45"/>
      <c r="R56" s="45"/>
      <c r="S56" s="45"/>
    </row>
    <row r="57" spans="1:35" ht="18.75" customHeight="1" x14ac:dyDescent="0.25">
      <c r="C57" s="220" t="str">
        <f>IF(U11=0, "No, to estimate amount using actual trash amount from bills, enter information in cells P10:Q14", "")</f>
        <v/>
      </c>
      <c r="K57" s="220" t="str">
        <f>IF(U9=0,"from trash bills' in Step 2.1b and enter cost in cell K25:26", "")</f>
        <v/>
      </c>
      <c r="L57" s="220"/>
      <c r="T57" s="220"/>
    </row>
    <row r="58" spans="1:35" s="220" customFormat="1" ht="18.75" customHeight="1" x14ac:dyDescent="0.25">
      <c r="C58" s="220" t="str">
        <f>IF(U10=0, "No, to estimate amount using using information about containers and pickups, enter information in cells K11:L16", "")</f>
        <v>No, to estimate amount using using information about containers and pickups, enter information in cells K11:L16</v>
      </c>
    </row>
    <row r="59" spans="1:35" ht="18.75" customHeight="1" x14ac:dyDescent="0.25">
      <c r="B59" s="166" t="s">
        <v>452</v>
      </c>
      <c r="C59" s="21"/>
      <c r="D59" s="21"/>
      <c r="E59" s="21"/>
      <c r="F59" s="21"/>
      <c r="G59" s="21"/>
      <c r="H59" s="21"/>
      <c r="I59" s="21"/>
      <c r="J59" s="21"/>
      <c r="K59" s="21"/>
      <c r="L59" s="21"/>
      <c r="M59" s="21"/>
      <c r="N59" s="21"/>
      <c r="O59" s="21"/>
      <c r="P59" s="21"/>
      <c r="Q59" s="21"/>
      <c r="R59" s="21"/>
      <c r="T59" s="220"/>
    </row>
    <row r="60" spans="1:35" ht="18.75" customHeight="1" x14ac:dyDescent="0.25">
      <c r="B60" s="208"/>
      <c r="C60" s="177" t="s">
        <v>216</v>
      </c>
      <c r="D60" s="1051" t="s">
        <v>531</v>
      </c>
      <c r="E60" s="1051"/>
      <c r="F60" s="1051"/>
      <c r="G60" s="1051"/>
      <c r="H60" s="1051"/>
      <c r="I60" s="1051"/>
      <c r="J60" s="1051"/>
      <c r="K60" s="1051"/>
      <c r="L60" s="1051"/>
      <c r="M60" s="1051"/>
      <c r="N60" s="1051"/>
      <c r="O60" s="45"/>
      <c r="P60" s="45"/>
      <c r="Q60" s="45"/>
      <c r="R60" s="45"/>
      <c r="S60" s="45"/>
      <c r="T60" s="220"/>
    </row>
    <row r="61" spans="1:35" ht="18.75" customHeight="1" x14ac:dyDescent="0.25">
      <c r="B61" s="208"/>
      <c r="C61" s="178"/>
      <c r="D61" s="45"/>
      <c r="E61" s="45"/>
      <c r="F61" s="45"/>
      <c r="G61" s="45"/>
      <c r="H61" s="45"/>
      <c r="I61" s="45"/>
      <c r="J61" s="45"/>
      <c r="K61" s="45"/>
      <c r="L61" s="45"/>
      <c r="M61" s="45"/>
      <c r="N61" s="45"/>
      <c r="O61" s="45"/>
      <c r="P61" s="45"/>
      <c r="Q61" s="45"/>
      <c r="R61" s="45"/>
      <c r="S61" s="45"/>
      <c r="T61" s="220"/>
    </row>
    <row r="62" spans="1:35" ht="18.75" customHeight="1" x14ac:dyDescent="0.25">
      <c r="C62" s="177" t="s">
        <v>217</v>
      </c>
      <c r="D62" s="1029" t="s">
        <v>532</v>
      </c>
      <c r="E62" s="1029"/>
      <c r="F62" s="1029"/>
      <c r="G62" s="1029"/>
      <c r="H62" s="1029"/>
      <c r="I62" s="1029"/>
      <c r="J62" s="1029"/>
      <c r="K62" s="1029"/>
      <c r="L62" s="1029"/>
      <c r="M62" s="1029"/>
      <c r="N62" s="1029"/>
      <c r="S62" s="45"/>
      <c r="T62" s="220"/>
      <c r="U62" s="45"/>
    </row>
    <row r="63" spans="1:35" ht="24" customHeight="1" x14ac:dyDescent="0.25">
      <c r="A63" s="220"/>
      <c r="B63" s="220"/>
      <c r="C63" s="177"/>
      <c r="D63" s="1029" t="s">
        <v>533</v>
      </c>
      <c r="E63" s="1029"/>
      <c r="F63" s="1029"/>
      <c r="G63" s="1029"/>
      <c r="H63" s="1029"/>
      <c r="I63" s="1029"/>
      <c r="J63" s="1029"/>
      <c r="K63" s="1029"/>
      <c r="L63" s="1029"/>
      <c r="M63" s="220"/>
      <c r="N63" s="220"/>
      <c r="O63" s="220"/>
      <c r="P63" s="220"/>
      <c r="Q63" s="220"/>
      <c r="R63" s="220"/>
      <c r="T63" s="45"/>
      <c r="U63" s="45"/>
    </row>
    <row r="64" spans="1:35" ht="12.75" customHeight="1" x14ac:dyDescent="0.25">
      <c r="C64" s="177"/>
      <c r="S64" s="220"/>
      <c r="T64" s="45"/>
      <c r="U64" s="45"/>
    </row>
    <row r="65" spans="1:32" s="220" customFormat="1" x14ac:dyDescent="0.25">
      <c r="B65" s="166" t="s">
        <v>456</v>
      </c>
      <c r="C65" s="21"/>
      <c r="D65" s="21"/>
      <c r="E65" s="21"/>
      <c r="F65" s="21"/>
      <c r="G65" s="21"/>
      <c r="H65" s="21"/>
      <c r="I65" s="21"/>
      <c r="J65" s="21"/>
      <c r="K65" s="21"/>
      <c r="L65" s="21"/>
      <c r="M65" s="21"/>
      <c r="N65" s="21"/>
      <c r="O65" s="21"/>
      <c r="P65" s="21"/>
      <c r="Q65" s="21"/>
      <c r="R65" s="21"/>
      <c r="S65"/>
      <c r="T65" s="45"/>
      <c r="U65" s="45"/>
    </row>
    <row r="66" spans="1:32" ht="18.75" customHeight="1" thickBot="1" x14ac:dyDescent="0.3">
      <c r="A66" s="220"/>
      <c r="B66" s="220"/>
      <c r="C66" s="220"/>
      <c r="D66" s="220"/>
      <c r="E66" s="220"/>
      <c r="F66" s="220"/>
      <c r="G66" s="220"/>
      <c r="H66" s="220"/>
      <c r="I66" s="220"/>
      <c r="J66" s="220"/>
      <c r="K66" s="220"/>
      <c r="L66" s="220"/>
      <c r="M66" s="220"/>
      <c r="N66" s="220"/>
      <c r="O66" s="220"/>
      <c r="P66" s="220"/>
      <c r="Q66" s="220"/>
      <c r="R66" s="220"/>
      <c r="S66" s="45"/>
    </row>
    <row r="67" spans="1:32" s="220" customFormat="1" ht="36.75" customHeight="1" x14ac:dyDescent="0.3">
      <c r="A67"/>
      <c r="B67" s="1042" t="s">
        <v>299</v>
      </c>
      <c r="C67" s="1043"/>
      <c r="D67" s="1043"/>
      <c r="E67" s="1043"/>
      <c r="F67" s="1043"/>
      <c r="G67" s="1043"/>
      <c r="H67" s="1043"/>
      <c r="I67" s="1043"/>
      <c r="J67" s="1043"/>
      <c r="K67" s="1043"/>
      <c r="L67" s="1043"/>
      <c r="M67" s="1043"/>
      <c r="N67" s="1043"/>
      <c r="O67" s="1043"/>
      <c r="P67" s="1043"/>
      <c r="Q67"/>
      <c r="R67"/>
      <c r="T67" s="45"/>
      <c r="U67" s="45"/>
    </row>
    <row r="68" spans="1:32" s="220" customFormat="1" ht="38.25" customHeight="1" x14ac:dyDescent="0.25">
      <c r="A68"/>
      <c r="B68" s="58"/>
      <c r="C68" s="188"/>
      <c r="D68" s="60"/>
      <c r="E68" s="60"/>
      <c r="F68" s="60"/>
      <c r="G68" s="60"/>
      <c r="H68" s="60"/>
      <c r="I68" s="60"/>
      <c r="J68" s="60"/>
      <c r="K68" s="60"/>
      <c r="L68" s="60"/>
      <c r="M68" s="60"/>
      <c r="N68" s="60"/>
      <c r="O68" s="60"/>
      <c r="P68" s="61"/>
      <c r="Q68"/>
      <c r="R68"/>
      <c r="S68"/>
    </row>
    <row r="69" spans="1:32" ht="15.75" customHeight="1" x14ac:dyDescent="0.25">
      <c r="B69" s="58"/>
      <c r="C69" s="60"/>
      <c r="D69" s="60"/>
      <c r="E69" s="60"/>
      <c r="F69" s="60"/>
      <c r="G69" s="60"/>
      <c r="H69" s="60"/>
      <c r="I69" s="60"/>
      <c r="J69" s="60"/>
      <c r="K69" s="60"/>
      <c r="L69" s="60"/>
      <c r="M69" s="60"/>
      <c r="N69" s="60"/>
      <c r="O69" s="60"/>
      <c r="P69" s="28"/>
    </row>
    <row r="70" spans="1:32" ht="30" x14ac:dyDescent="0.25">
      <c r="B70" s="51"/>
      <c r="C70" s="52"/>
      <c r="D70" s="394" t="s">
        <v>283</v>
      </c>
      <c r="E70" s="394" t="s">
        <v>300</v>
      </c>
      <c r="F70" s="1041" t="s">
        <v>286</v>
      </c>
      <c r="G70" s="1041"/>
      <c r="H70" s="1041" t="s">
        <v>300</v>
      </c>
      <c r="I70" s="1041"/>
      <c r="J70" s="394" t="s">
        <v>284</v>
      </c>
      <c r="K70" s="394" t="s">
        <v>300</v>
      </c>
      <c r="L70" s="394" t="s">
        <v>285</v>
      </c>
      <c r="M70" s="394" t="s">
        <v>300</v>
      </c>
      <c r="N70" s="415" t="s">
        <v>362</v>
      </c>
      <c r="O70" s="394" t="s">
        <v>300</v>
      </c>
      <c r="P70" s="28"/>
      <c r="AC70" s="5"/>
      <c r="AD70" s="5"/>
      <c r="AE70" s="5"/>
    </row>
    <row r="71" spans="1:32" ht="18.75" customHeight="1" x14ac:dyDescent="0.25">
      <c r="B71" s="27"/>
      <c r="C71" s="330" t="s">
        <v>255</v>
      </c>
      <c r="D71" s="337"/>
      <c r="E71" s="337" t="s">
        <v>21</v>
      </c>
      <c r="F71" s="1022"/>
      <c r="G71" s="1023"/>
      <c r="H71" s="1024" t="s">
        <v>21</v>
      </c>
      <c r="I71" s="1025"/>
      <c r="J71" s="337"/>
      <c r="K71" s="337" t="s">
        <v>21</v>
      </c>
      <c r="L71" s="337"/>
      <c r="M71" s="337" t="s">
        <v>21</v>
      </c>
      <c r="N71" s="401"/>
      <c r="O71" s="337" t="s">
        <v>21</v>
      </c>
      <c r="P71" s="28"/>
      <c r="AC71" s="5"/>
      <c r="AD71" s="5"/>
      <c r="AE71" s="5"/>
    </row>
    <row r="72" spans="1:32" ht="18.75" customHeight="1" x14ac:dyDescent="0.25">
      <c r="B72" s="27"/>
      <c r="C72" s="330" t="s">
        <v>256</v>
      </c>
      <c r="D72" s="337"/>
      <c r="E72" s="330"/>
      <c r="F72" s="1022"/>
      <c r="G72" s="1023"/>
      <c r="H72" s="395"/>
      <c r="I72" s="395"/>
      <c r="J72" s="337"/>
      <c r="K72" s="330"/>
      <c r="L72" s="337"/>
      <c r="M72" s="330"/>
      <c r="N72" s="401"/>
      <c r="O72" s="189"/>
      <c r="P72" s="28"/>
    </row>
    <row r="73" spans="1:32" ht="18.75" customHeight="1" x14ac:dyDescent="0.25">
      <c r="B73" s="27"/>
      <c r="C73" s="330" t="s">
        <v>11</v>
      </c>
      <c r="D73" s="338">
        <v>0.8</v>
      </c>
      <c r="E73" s="348"/>
      <c r="F73" s="1012">
        <v>0.8</v>
      </c>
      <c r="G73" s="1013"/>
      <c r="H73" s="395"/>
      <c r="I73" s="395"/>
      <c r="J73" s="338">
        <v>0.8</v>
      </c>
      <c r="K73" s="348"/>
      <c r="L73" s="338">
        <v>0.8</v>
      </c>
      <c r="M73" s="348"/>
      <c r="N73" s="402">
        <v>0.8</v>
      </c>
      <c r="O73" s="190"/>
      <c r="P73" s="28"/>
    </row>
    <row r="74" spans="1:32" ht="18.75" customHeight="1" x14ac:dyDescent="0.25">
      <c r="B74" s="27"/>
      <c r="C74" s="330" t="s">
        <v>85</v>
      </c>
      <c r="D74" s="337"/>
      <c r="E74" s="330"/>
      <c r="F74" s="1022"/>
      <c r="G74" s="1023"/>
      <c r="H74" s="395"/>
      <c r="I74" s="395"/>
      <c r="J74" s="337"/>
      <c r="K74" s="330"/>
      <c r="L74" s="337"/>
      <c r="M74" s="330"/>
      <c r="N74" s="401"/>
      <c r="O74" s="189"/>
      <c r="P74" s="28"/>
      <c r="Z74" s="109"/>
      <c r="AA74" s="21" t="s">
        <v>182</v>
      </c>
      <c r="AB74" s="21"/>
      <c r="AC74" s="93" t="s">
        <v>195</v>
      </c>
      <c r="AD74" s="85" t="s">
        <v>201</v>
      </c>
      <c r="AE74" s="224" t="s">
        <v>479</v>
      </c>
      <c r="AF74" s="224" t="s">
        <v>480</v>
      </c>
    </row>
    <row r="75" spans="1:32" ht="18.75" customHeight="1" x14ac:dyDescent="0.25">
      <c r="B75" s="27"/>
      <c r="C75" s="330" t="s">
        <v>27</v>
      </c>
      <c r="D75" s="339" t="s">
        <v>122</v>
      </c>
      <c r="E75" s="396"/>
      <c r="F75" s="1022" t="s">
        <v>21</v>
      </c>
      <c r="G75" s="1023"/>
      <c r="H75" s="395"/>
      <c r="I75" s="395"/>
      <c r="J75" s="339" t="s">
        <v>21</v>
      </c>
      <c r="K75" s="396"/>
      <c r="L75" s="339" t="s">
        <v>21</v>
      </c>
      <c r="M75" s="396"/>
      <c r="N75" s="401" t="s">
        <v>21</v>
      </c>
      <c r="O75" s="189"/>
      <c r="P75" s="28"/>
      <c r="Z75" s="66"/>
      <c r="AA75" s="45" t="s">
        <v>130</v>
      </c>
      <c r="AB75" s="45" t="s">
        <v>12</v>
      </c>
      <c r="AC75" s="81"/>
      <c r="AD75" s="67"/>
    </row>
    <row r="76" spans="1:32" ht="18.75" customHeight="1" x14ac:dyDescent="0.25">
      <c r="B76" s="27"/>
      <c r="C76" s="301" t="s">
        <v>86</v>
      </c>
      <c r="D76" s="302">
        <v>0.5</v>
      </c>
      <c r="E76" s="53"/>
      <c r="F76" s="1034">
        <v>1</v>
      </c>
      <c r="G76" s="1034"/>
      <c r="H76" s="60"/>
      <c r="I76" s="60"/>
      <c r="J76" s="302">
        <v>1</v>
      </c>
      <c r="K76" s="53"/>
      <c r="L76" s="302">
        <v>1</v>
      </c>
      <c r="M76" s="53"/>
      <c r="N76" s="399">
        <v>1</v>
      </c>
      <c r="O76" s="191"/>
      <c r="P76" s="28"/>
      <c r="Z76" s="220" t="s">
        <v>161</v>
      </c>
      <c r="AA76" s="102">
        <f>IF(L11=Y20,K11,IF(L11=Y19,K11/#REF!,0))</f>
        <v>0</v>
      </c>
      <c r="AB76" s="70" t="e">
        <f>AA76*#REF!/2000</f>
        <v>#REF!</v>
      </c>
      <c r="AC76" s="81">
        <f>IF(K11="", 0, K18)</f>
        <v>0</v>
      </c>
      <c r="AD76" s="107">
        <f>IF(AND(W8=1,ISNUMBER(D25)),D25,IF(ISNUMBER(K29),K29,0))</f>
        <v>0</v>
      </c>
      <c r="AE76" s="220">
        <f>IF(K26="yes", K27, 1)</f>
        <v>1</v>
      </c>
      <c r="AF76" s="220">
        <f>IF(K15="yes", K16, 1)</f>
        <v>1</v>
      </c>
    </row>
    <row r="77" spans="1:32" ht="18.75" customHeight="1" x14ac:dyDescent="0.25">
      <c r="B77" s="27"/>
      <c r="C77" s="330"/>
      <c r="D77" s="22"/>
      <c r="E77" s="22"/>
      <c r="F77" s="22"/>
      <c r="G77" s="22"/>
      <c r="H77" s="60"/>
      <c r="I77" s="60"/>
      <c r="J77" s="22"/>
      <c r="K77" s="22"/>
      <c r="L77" s="22"/>
      <c r="M77" s="22"/>
      <c r="N77" s="54"/>
      <c r="O77" s="54"/>
      <c r="P77" s="28"/>
      <c r="Z77" s="66" t="s">
        <v>162</v>
      </c>
      <c r="AA77" s="45">
        <f>IF(E71=AH48,D71,IF(E71=AH47,D71/#REF!,0))</f>
        <v>0</v>
      </c>
      <c r="AB77" s="45" t="e">
        <f>AA77*#REF!/2000</f>
        <v>#REF!</v>
      </c>
      <c r="AC77" s="81">
        <f>IF(D78="", 0, D78)</f>
        <v>0</v>
      </c>
      <c r="AD77" s="67">
        <f>IF(ISNUMBER(D82),D82,IF(ISNUMBER(D80),D80,0))</f>
        <v>0</v>
      </c>
      <c r="AE77">
        <f>IF(D75="yes", D76, 1)</f>
        <v>1</v>
      </c>
    </row>
    <row r="78" spans="1:32" ht="18.75" customHeight="1" x14ac:dyDescent="0.25">
      <c r="B78" s="27"/>
      <c r="C78" s="330" t="s">
        <v>344</v>
      </c>
      <c r="D78" s="329" t="str">
        <f>IF(D71="","",(AB77*D72*D73*D74*#REF!*AE77))</f>
        <v/>
      </c>
      <c r="E78" s="330"/>
      <c r="F78" s="1035" t="str">
        <f>IF(F71="", "", (AB78*F72*F73*F74*#REF!*AE78))</f>
        <v/>
      </c>
      <c r="G78" s="1036"/>
      <c r="H78" s="395"/>
      <c r="I78" s="395"/>
      <c r="J78" s="329" t="str">
        <f>IF(J71="", "", (AB79*J72*J73*J74*#REF!*AE79))</f>
        <v/>
      </c>
      <c r="K78" s="330"/>
      <c r="L78" s="329" t="str">
        <f>IF(L71="", "", (AB80*L72*L73*L74*#REF!*AE80))</f>
        <v/>
      </c>
      <c r="M78" s="330"/>
      <c r="N78" s="400" t="str">
        <f>IF(N71="", "", (AB81*N72*N73*N74*#REF!*AE81))</f>
        <v/>
      </c>
      <c r="O78" s="192"/>
      <c r="P78" s="28"/>
      <c r="Z78" s="66" t="s">
        <v>163</v>
      </c>
      <c r="AA78" s="45">
        <f>IF(H71=AH48,F71,IF(H71=AH47,F71/#REF!,0))</f>
        <v>0</v>
      </c>
      <c r="AB78" s="45" t="e">
        <f>AA78*#REF!/2000</f>
        <v>#REF!</v>
      </c>
      <c r="AC78" s="81">
        <f>IF(F78="", 0, F78)</f>
        <v>0</v>
      </c>
      <c r="AD78" s="67">
        <f>IF(ISNUMBER(F82),F82,IF(ISNUMBER(F80),F80,0))</f>
        <v>0</v>
      </c>
      <c r="AE78">
        <f>IF(F75="yes", F76, 1)</f>
        <v>1</v>
      </c>
    </row>
    <row r="79" spans="1:32" ht="18.75" customHeight="1" x14ac:dyDescent="0.25">
      <c r="B79" s="27"/>
      <c r="C79" s="330"/>
      <c r="D79" s="397"/>
      <c r="E79" s="330"/>
      <c r="F79" s="398"/>
      <c r="G79" s="396"/>
      <c r="H79" s="395"/>
      <c r="I79" s="395"/>
      <c r="J79" s="397"/>
      <c r="K79" s="330"/>
      <c r="L79" s="397"/>
      <c r="M79" s="330"/>
      <c r="N79" s="398"/>
      <c r="O79" s="54"/>
      <c r="P79" s="28"/>
      <c r="Z79" s="66" t="s">
        <v>164</v>
      </c>
      <c r="AA79" s="45">
        <f>IF(K71=AH48,J71,IF(K71=AH47,J71/#REF!,0))</f>
        <v>0</v>
      </c>
      <c r="AB79" s="45" t="e">
        <f>AA79*#REF!/2000</f>
        <v>#REF!</v>
      </c>
      <c r="AC79" s="81">
        <f>IF(J78="", 0, J78)</f>
        <v>0</v>
      </c>
      <c r="AD79" s="67">
        <f>IF(ISNUMBER(J82),J82,IF(ISNUMBER(J80),J80,0))</f>
        <v>0</v>
      </c>
      <c r="AE79">
        <f>IF(J75="yes", J76, 1)</f>
        <v>1</v>
      </c>
    </row>
    <row r="80" spans="1:32" ht="18.75" customHeight="1" x14ac:dyDescent="0.25">
      <c r="B80" s="27"/>
      <c r="C80" s="330" t="s">
        <v>346</v>
      </c>
      <c r="D80" s="428" t="str">
        <f>IF('9.CustomRates'!T14,IF(ISERROR('9.CustomRates'!BO57),"",'9.CustomRates'!BO57),IF(OR('1.General_Info'!$D$11='1.General_Info'!$W$9,'2.Current_Trash'!D78=""),"",'2.Current_Trash'!D78*#REF!))</f>
        <v/>
      </c>
      <c r="E80" s="330"/>
      <c r="F80" s="1032" t="str">
        <f>IF('9.CustomRates'!T14,IF(ISERROR('9.CustomRates'!BO58),"",'9.CustomRates'!BO58),IF(OR('1.General_Info'!$D$11='1.General_Info'!$W$9,'2.Current_Trash'!F78=""),"",'2.Current_Trash'!F78*#REF!))</f>
        <v/>
      </c>
      <c r="G80" s="1033"/>
      <c r="H80" s="395"/>
      <c r="I80" s="395"/>
      <c r="J80" s="428" t="str">
        <f>IF('9.CustomRates'!T14,IF(ISERROR('9.CustomRates'!BO59),"",'9.CustomRates'!BO59),IF(OR('1.General_Info'!$D$11='1.General_Info'!$W$9,'2.Current_Trash'!J78=""),"",'2.Current_Trash'!J78*#REF!))</f>
        <v/>
      </c>
      <c r="K80" s="330"/>
      <c r="L80" s="428" t="str">
        <f>IF('9.CustomRates'!T14,IF(ISERROR('9.CustomRates'!BO60),"",'9.CustomRates'!BO60),IF(OR('1.General_Info'!$D$11='1.General_Info'!$W$9, '2.Current_Trash'!L78=""), "", '2.Current_Trash'!L78*#REF!))</f>
        <v/>
      </c>
      <c r="M80" s="330"/>
      <c r="N80" s="430" t="str">
        <f>IF('9.CustomRates'!T14,IF(ISERROR('9.CustomRates'!BO61),"",'9.CustomRates'!BO61),IF(OR('1.General_Info'!$D$11='1.General_Info'!$W$9,'2.Current_Trash'!N78=""),"",'2.Current_Trash'!N78*#REF!))</f>
        <v/>
      </c>
      <c r="O80" s="192"/>
      <c r="P80" s="28"/>
      <c r="Z80" s="66" t="s">
        <v>165</v>
      </c>
      <c r="AA80" s="45">
        <f>IF(M71=AH48,L71,IF(M71=AH47,L71/#REF!,0))</f>
        <v>0</v>
      </c>
      <c r="AB80" s="45" t="e">
        <f>AA80*#REF!/2000</f>
        <v>#REF!</v>
      </c>
      <c r="AC80" s="81">
        <f>IF(L78="", 0, L78)</f>
        <v>0</v>
      </c>
      <c r="AD80" s="67">
        <f>IF(ISNUMBER(L82),L82,IF(ISNUMBER(L80),L80,0))</f>
        <v>0</v>
      </c>
      <c r="AE80">
        <f>IF(L75="yes", L76, 1)</f>
        <v>1</v>
      </c>
    </row>
    <row r="81" spans="1:31" ht="18.75" customHeight="1" x14ac:dyDescent="0.25">
      <c r="B81" s="27"/>
      <c r="C81" s="330" t="s">
        <v>345</v>
      </c>
      <c r="D81" s="429"/>
      <c r="E81" s="330"/>
      <c r="F81" s="1030"/>
      <c r="G81" s="1031"/>
      <c r="H81" s="395"/>
      <c r="I81" s="395"/>
      <c r="J81" s="429"/>
      <c r="K81" s="330"/>
      <c r="L81" s="429"/>
      <c r="M81" s="330"/>
      <c r="N81" s="431"/>
      <c r="O81" s="189"/>
      <c r="P81" s="28"/>
      <c r="Z81" s="68" t="s">
        <v>363</v>
      </c>
      <c r="AA81" s="69">
        <f>IF(O71=AH48,N71,IF(O71=AH47,N71/#REF!,0))</f>
        <v>0</v>
      </c>
      <c r="AB81" s="69" t="e">
        <f>AA81*#REF!/2000</f>
        <v>#REF!</v>
      </c>
      <c r="AC81" s="81">
        <f>IF(N78="", 0, N78)</f>
        <v>0</v>
      </c>
      <c r="AD81" s="67">
        <f>IF(ISNUMBER(N82),N82,IF(ISNUMBER(N80),N80,0))</f>
        <v>0</v>
      </c>
      <c r="AE81">
        <f>IF(N75="yes", N76, 1)</f>
        <v>1</v>
      </c>
    </row>
    <row r="82" spans="1:31" ht="18.75" customHeight="1" x14ac:dyDescent="0.25">
      <c r="B82" s="27"/>
      <c r="C82" s="330" t="s">
        <v>367</v>
      </c>
      <c r="D82" s="428" t="str">
        <f>IF(D81="", "", D81*AE77)</f>
        <v/>
      </c>
      <c r="E82" s="330"/>
      <c r="F82" s="1032" t="str">
        <f>IF(F81="", "", F81*AE78)</f>
        <v/>
      </c>
      <c r="G82" s="1033"/>
      <c r="H82" s="395"/>
      <c r="I82" s="395"/>
      <c r="J82" s="428" t="str">
        <f>IF(J81="", "", J81*AE79)</f>
        <v/>
      </c>
      <c r="K82" s="330"/>
      <c r="L82" s="428" t="str">
        <f>IF(L81="", "", L81*AE80)</f>
        <v/>
      </c>
      <c r="M82" s="330"/>
      <c r="N82" s="430" t="str">
        <f>IF(N81="", "", N81*AE81)</f>
        <v/>
      </c>
      <c r="O82" s="192"/>
      <c r="P82" s="28"/>
      <c r="AB82" s="103" t="s">
        <v>196</v>
      </c>
      <c r="AC82" s="93">
        <f>SUM(AC76:AC81)</f>
        <v>0</v>
      </c>
      <c r="AD82" s="424">
        <f>SUM(AD76:AD81)</f>
        <v>0</v>
      </c>
    </row>
    <row r="83" spans="1:31" ht="18.75" customHeight="1" thickBot="1" x14ac:dyDescent="0.3">
      <c r="B83" s="29"/>
      <c r="C83" s="126"/>
      <c r="D83" s="126"/>
      <c r="E83" s="128"/>
      <c r="F83" s="127"/>
      <c r="G83" s="30"/>
      <c r="H83" s="30"/>
      <c r="I83" s="30"/>
      <c r="J83" s="30"/>
      <c r="K83" s="30"/>
      <c r="L83" s="30"/>
      <c r="M83" s="30"/>
      <c r="N83" s="30"/>
      <c r="O83" s="30"/>
      <c r="P83" s="31"/>
    </row>
    <row r="84" spans="1:31" ht="18.75" customHeight="1" x14ac:dyDescent="0.25">
      <c r="AC84" s="220"/>
    </row>
    <row r="85" spans="1:31" ht="18.75" customHeight="1" x14ac:dyDescent="0.25">
      <c r="A85" s="327"/>
      <c r="B85" s="327"/>
      <c r="C85" s="327"/>
      <c r="D85" s="327"/>
      <c r="E85" s="327"/>
      <c r="F85" s="327"/>
      <c r="G85" s="327"/>
      <c r="H85" s="327"/>
      <c r="I85" s="327"/>
      <c r="J85" s="327"/>
      <c r="K85" s="327"/>
      <c r="L85" s="327"/>
      <c r="M85" s="327"/>
      <c r="N85" s="327"/>
      <c r="O85" s="327"/>
      <c r="P85" s="327"/>
      <c r="Q85" s="327"/>
      <c r="R85" s="327"/>
    </row>
    <row r="87" spans="1:31" ht="18.75" customHeight="1" x14ac:dyDescent="0.25"/>
    <row r="88" spans="1:31" ht="18.75" customHeight="1" x14ac:dyDescent="0.25"/>
  </sheetData>
  <mergeCells count="44">
    <mergeCell ref="D60:N60"/>
    <mergeCell ref="D62:N62"/>
    <mergeCell ref="C32:N32"/>
    <mergeCell ref="C49:F50"/>
    <mergeCell ref="J47:L48"/>
    <mergeCell ref="C16:E19"/>
    <mergeCell ref="C8:E9"/>
    <mergeCell ref="G8:L9"/>
    <mergeCell ref="N8:Q9"/>
    <mergeCell ref="F71:G71"/>
    <mergeCell ref="C22:E23"/>
    <mergeCell ref="G38:I38"/>
    <mergeCell ref="F70:G70"/>
    <mergeCell ref="H70:I70"/>
    <mergeCell ref="G22:L23"/>
    <mergeCell ref="B67:P67"/>
    <mergeCell ref="L12:M16"/>
    <mergeCell ref="L24:N29"/>
    <mergeCell ref="C27:E28"/>
    <mergeCell ref="C29:E30"/>
    <mergeCell ref="G49:I49"/>
    <mergeCell ref="F81:G81"/>
    <mergeCell ref="F82:G82"/>
    <mergeCell ref="F74:G74"/>
    <mergeCell ref="F75:G75"/>
    <mergeCell ref="F76:G76"/>
    <mergeCell ref="F78:G78"/>
    <mergeCell ref="F80:G80"/>
    <mergeCell ref="F73:G73"/>
    <mergeCell ref="Q10:R10"/>
    <mergeCell ref="G44:I44"/>
    <mergeCell ref="G45:I45"/>
    <mergeCell ref="G46:I46"/>
    <mergeCell ref="G47:I47"/>
    <mergeCell ref="G40:I40"/>
    <mergeCell ref="G41:I41"/>
    <mergeCell ref="G42:I42"/>
    <mergeCell ref="G43:I43"/>
    <mergeCell ref="L17:M18"/>
    <mergeCell ref="F72:G72"/>
    <mergeCell ref="H71:I71"/>
    <mergeCell ref="G39:I39"/>
    <mergeCell ref="J46:L46"/>
    <mergeCell ref="D63:L63"/>
  </mergeCells>
  <conditionalFormatting sqref="D47:D48">
    <cfRule type="expression" dxfId="80" priority="116">
      <formula>$X$8=1</formula>
    </cfRule>
  </conditionalFormatting>
  <conditionalFormatting sqref="G47:I48">
    <cfRule type="expression" dxfId="79" priority="49">
      <formula>$G$47&lt;&gt;100%</formula>
    </cfRule>
  </conditionalFormatting>
  <conditionalFormatting sqref="G16">
    <cfRule type="expression" dxfId="78" priority="47">
      <formula>AND($K$15="yes", $V$8=2)</formula>
    </cfRule>
  </conditionalFormatting>
  <conditionalFormatting sqref="K16">
    <cfRule type="expression" dxfId="77" priority="46">
      <formula>AND($K$15="yes", $V$8=2)</formula>
    </cfRule>
  </conditionalFormatting>
  <conditionalFormatting sqref="N12">
    <cfRule type="expression" dxfId="76" priority="45">
      <formula>$P$11="yes"</formula>
    </cfRule>
  </conditionalFormatting>
  <conditionalFormatting sqref="P12">
    <cfRule type="expression" dxfId="75" priority="44">
      <formula>$P$11="yes"</formula>
    </cfRule>
  </conditionalFormatting>
  <conditionalFormatting sqref="C76">
    <cfRule type="expression" dxfId="74" priority="39">
      <formula>$N$75="yes"</formula>
    </cfRule>
    <cfRule type="expression" dxfId="73" priority="40">
      <formula>$L$75="yes"</formula>
    </cfRule>
    <cfRule type="expression" dxfId="72" priority="41">
      <formula>$J$75="yes"</formula>
    </cfRule>
    <cfRule type="expression" dxfId="71" priority="42">
      <formula>$F$75="yes"</formula>
    </cfRule>
    <cfRule type="expression" dxfId="70" priority="43">
      <formula>$D$75="yes"</formula>
    </cfRule>
  </conditionalFormatting>
  <conditionalFormatting sqref="N76 L76 J76 F76:G76 D76">
    <cfRule type="expression" dxfId="69" priority="33">
      <formula>AND(D75="yes", $V$8=2)</formula>
    </cfRule>
  </conditionalFormatting>
  <conditionalFormatting sqref="C10:C11">
    <cfRule type="expression" dxfId="68" priority="31">
      <formula>$V$8=1</formula>
    </cfRule>
  </conditionalFormatting>
  <conditionalFormatting sqref="C14">
    <cfRule type="expression" dxfId="67" priority="30">
      <formula>$V$8=4</formula>
    </cfRule>
  </conditionalFormatting>
  <conditionalFormatting sqref="N10:N11 N14:N15">
    <cfRule type="expression" dxfId="66" priority="29">
      <formula>$V$8=3</formula>
    </cfRule>
  </conditionalFormatting>
  <conditionalFormatting sqref="G11:G15 G18 D70:O70 C71:C75 C78:C82 K10:L10 L12:M16">
    <cfRule type="expression" dxfId="65" priority="28">
      <formula>$V$8=2</formula>
    </cfRule>
  </conditionalFormatting>
  <conditionalFormatting sqref="L17:M18">
    <cfRule type="expression" dxfId="64" priority="27">
      <formula>$V$8=2</formula>
    </cfRule>
  </conditionalFormatting>
  <conditionalFormatting sqref="C25:C26">
    <cfRule type="expression" dxfId="63" priority="26">
      <formula>$W$8=1</formula>
    </cfRule>
  </conditionalFormatting>
  <conditionalFormatting sqref="G25:G26 G29:G31">
    <cfRule type="expression" dxfId="62" priority="25">
      <formula>$W$8=2</formula>
    </cfRule>
  </conditionalFormatting>
  <conditionalFormatting sqref="G27">
    <cfRule type="expression" dxfId="61" priority="24">
      <formula>$K$26="yes"</formula>
    </cfRule>
  </conditionalFormatting>
  <conditionalFormatting sqref="C15">
    <cfRule type="expression" dxfId="60" priority="22">
      <formula>$V$8=4</formula>
    </cfRule>
  </conditionalFormatting>
  <conditionalFormatting sqref="K24">
    <cfRule type="expression" dxfId="59" priority="17">
      <formula>AND($V$8=2, $W$8=2)</formula>
    </cfRule>
  </conditionalFormatting>
  <conditionalFormatting sqref="D24">
    <cfRule type="expression" dxfId="58" priority="15">
      <formula>AND($W$8=1, $V$8=2)</formula>
    </cfRule>
  </conditionalFormatting>
  <conditionalFormatting sqref="C55:P58">
    <cfRule type="expression" dxfId="57" priority="14">
      <formula>SUM($U$8:$U$13)&lt;&gt;6</formula>
    </cfRule>
  </conditionalFormatting>
  <conditionalFormatting sqref="D10">
    <cfRule type="expression" dxfId="56" priority="13">
      <formula>$V$8=1</formula>
    </cfRule>
  </conditionalFormatting>
  <conditionalFormatting sqref="D15">
    <cfRule type="expression" dxfId="55" priority="11">
      <formula>$V$8=4</formula>
    </cfRule>
    <cfRule type="expression" dxfId="54" priority="10">
      <formula>ISBLANK($K$25)</formula>
    </cfRule>
  </conditionalFormatting>
  <conditionalFormatting sqref="K18">
    <cfRule type="expression" dxfId="53" priority="12">
      <formula>$V$8=2</formula>
    </cfRule>
  </conditionalFormatting>
  <conditionalFormatting sqref="K27">
    <cfRule type="expression" dxfId="52" priority="9">
      <formula>$K$26="yes"</formula>
    </cfRule>
  </conditionalFormatting>
  <conditionalFormatting sqref="P10:P11 Q10">
    <cfRule type="expression" dxfId="51" priority="8">
      <formula>$V$8=3</formula>
    </cfRule>
  </conditionalFormatting>
  <conditionalFormatting sqref="K29">
    <cfRule type="expression" dxfId="50" priority="7">
      <formula>$W$8=2</formula>
    </cfRule>
  </conditionalFormatting>
  <conditionalFormatting sqref="D25">
    <cfRule type="expression" dxfId="49" priority="6">
      <formula>$W$8=1</formula>
    </cfRule>
  </conditionalFormatting>
  <conditionalFormatting sqref="N81 N71:N75 M71 K71 H71:I71 E71 L71:L75 L81 J71:J75 J81 D71:D75 F71:G75 D81 F81:G81 O71 L11 K11:K15">
    <cfRule type="expression" dxfId="48" priority="5">
      <formula>$V$8=2</formula>
    </cfRule>
  </conditionalFormatting>
  <conditionalFormatting sqref="D38:D46">
    <cfRule type="expression" dxfId="47" priority="4">
      <formula>$X$8=1</formula>
    </cfRule>
  </conditionalFormatting>
  <conditionalFormatting sqref="K25:K26">
    <cfRule type="expression" dxfId="46" priority="3">
      <formula>$W$8=2</formula>
    </cfRule>
  </conditionalFormatting>
  <conditionalFormatting sqref="G38:I46">
    <cfRule type="expression" dxfId="45" priority="2">
      <formula>$X$8=2</formula>
    </cfRule>
  </conditionalFormatting>
  <conditionalFormatting sqref="N80 N82 N78 L78 L80 L82 J78 J80 J82 D78 F78:G78 D80 D82 F80:G80 F82:G82 K18">
    <cfRule type="expression" dxfId="44" priority="1">
      <formula>$V$8=2</formula>
    </cfRule>
  </conditionalFormatting>
  <dataValidations count="6">
    <dataValidation type="list" allowBlank="1" showInputMessage="1" showErrorMessage="1" sqref="G49">
      <formula1>"By weight, By volume"</formula1>
    </dataValidation>
    <dataValidation type="list" allowBlank="1" showInputMessage="1" showErrorMessage="1" sqref="D75 F75:G75 J75 L75 N75 P11 K26 K15">
      <formula1>$X$18:$X$20</formula1>
    </dataValidation>
    <dataValidation type="list" allowBlank="1" showInputMessage="1" showErrorMessage="1" sqref="E75 K75 M75">
      <formula1>$W$15:$W$17</formula1>
    </dataValidation>
    <dataValidation type="list" allowBlank="1" showInputMessage="1" showErrorMessage="1" sqref="E71 H71:I71 K71 M71 O71">
      <formula1>$Z$18:$Z$20</formula1>
    </dataValidation>
    <dataValidation type="list" allowBlank="1" showInputMessage="1" showErrorMessage="1" sqref="L11">
      <formula1>$Y$18:$Y$20</formula1>
    </dataValidation>
    <dataValidation type="list" allowBlank="1" showInputMessage="1" showErrorMessage="1" sqref="Q10">
      <formula1>$W$18:$W$22</formula1>
    </dataValidation>
  </dataValidations>
  <hyperlinks>
    <hyperlink ref="D60" location="'Future_Benefits '!A1" display="Click here to evaluate the benefits of recycling or eliminating your trash"/>
    <hyperlink ref="D62" location="Current_Rec!A1" display="Click here to revise your current recycling information"/>
    <hyperlink ref="L17" location="Current_Trash!B50" display="&quot;Multiple Bins&quot; section"/>
    <hyperlink ref="L17:L18" location="'2.Current_Trash'!B75" display="&quot;Multiple Container&quot; section"/>
    <hyperlink ref="D62:K62" location="'3.Current_Recycling'!A1" display="Click here to revise your current recycling information"/>
    <hyperlink ref="D60:L60" location="'4.Future_Benefits '!A1" display="Click here to evaluate the benefits of recycling or eliminating your trash"/>
    <hyperlink ref="C32:M32" location="'9.CustomRates'!A1" display="If you know your local service rates and would like to enter these into the calculator for more accurate results, click here"/>
    <hyperlink ref="D63" location="'1.General_Info'!A1" display="Click here to enter current recycling information that is different than defaults"/>
    <hyperlink ref="J46:L46" location="'7.Glossary'!A88" display="Click here for definitions"/>
  </hyperlinks>
  <pageMargins left="0.7" right="0.7" top="0.75" bottom="0.75" header="0.3" footer="0.3"/>
  <pageSetup scale="4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44" r:id="rId4" name="Group Box 24">
              <controlPr defaultSize="0" print="0" autoFill="0" autoPict="0">
                <anchor moveWithCells="1">
                  <from>
                    <xdr:col>0</xdr:col>
                    <xdr:colOff>85725</xdr:colOff>
                    <xdr:row>5</xdr:row>
                    <xdr:rowOff>219075</xdr:rowOff>
                  </from>
                  <to>
                    <xdr:col>18</xdr:col>
                    <xdr:colOff>19050</xdr:colOff>
                    <xdr:row>19</xdr:row>
                    <xdr:rowOff>28575</xdr:rowOff>
                  </to>
                </anchor>
              </controlPr>
            </control>
          </mc:Choice>
        </mc:AlternateContent>
        <mc:AlternateContent xmlns:mc="http://schemas.openxmlformats.org/markup-compatibility/2006">
          <mc:Choice Requires="x14">
            <control shapeId="30745" r:id="rId5" name="Option Button 25">
              <controlPr defaultSize="0" autoFill="0" autoLine="0" autoPict="0">
                <anchor moveWithCells="1">
                  <from>
                    <xdr:col>1</xdr:col>
                    <xdr:colOff>9525</xdr:colOff>
                    <xdr:row>7</xdr:row>
                    <xdr:rowOff>114300</xdr:rowOff>
                  </from>
                  <to>
                    <xdr:col>2</xdr:col>
                    <xdr:colOff>114300</xdr:colOff>
                    <xdr:row>8</xdr:row>
                    <xdr:rowOff>95250</xdr:rowOff>
                  </to>
                </anchor>
              </controlPr>
            </control>
          </mc:Choice>
        </mc:AlternateContent>
        <mc:AlternateContent xmlns:mc="http://schemas.openxmlformats.org/markup-compatibility/2006">
          <mc:Choice Requires="x14">
            <control shapeId="30746" r:id="rId6" name="Option Button 26">
              <controlPr defaultSize="0" autoFill="0" autoLine="0" autoPict="0">
                <anchor moveWithCells="1">
                  <from>
                    <xdr:col>5</xdr:col>
                    <xdr:colOff>209550</xdr:colOff>
                    <xdr:row>7</xdr:row>
                    <xdr:rowOff>123825</xdr:rowOff>
                  </from>
                  <to>
                    <xdr:col>6</xdr:col>
                    <xdr:colOff>104775</xdr:colOff>
                    <xdr:row>8</xdr:row>
                    <xdr:rowOff>104775</xdr:rowOff>
                  </to>
                </anchor>
              </controlPr>
            </control>
          </mc:Choice>
        </mc:AlternateContent>
        <mc:AlternateContent xmlns:mc="http://schemas.openxmlformats.org/markup-compatibility/2006">
          <mc:Choice Requires="x14">
            <control shapeId="30747" r:id="rId7" name="Option Button 27">
              <controlPr defaultSize="0" autoFill="0" autoLine="0" autoPict="0">
                <anchor moveWithCells="1">
                  <from>
                    <xdr:col>12</xdr:col>
                    <xdr:colOff>342900</xdr:colOff>
                    <xdr:row>7</xdr:row>
                    <xdr:rowOff>114300</xdr:rowOff>
                  </from>
                  <to>
                    <xdr:col>13</xdr:col>
                    <xdr:colOff>123825</xdr:colOff>
                    <xdr:row>8</xdr:row>
                    <xdr:rowOff>95250</xdr:rowOff>
                  </to>
                </anchor>
              </controlPr>
            </control>
          </mc:Choice>
        </mc:AlternateContent>
        <mc:AlternateContent xmlns:mc="http://schemas.openxmlformats.org/markup-compatibility/2006">
          <mc:Choice Requires="x14">
            <control shapeId="30748" r:id="rId8" name="Group Box 28">
              <controlPr defaultSize="0" autoFill="0" autoPict="0">
                <anchor moveWithCells="1">
                  <from>
                    <xdr:col>0</xdr:col>
                    <xdr:colOff>85725</xdr:colOff>
                    <xdr:row>19</xdr:row>
                    <xdr:rowOff>209550</xdr:rowOff>
                  </from>
                  <to>
                    <xdr:col>14</xdr:col>
                    <xdr:colOff>19050</xdr:colOff>
                    <xdr:row>32</xdr:row>
                    <xdr:rowOff>19050</xdr:rowOff>
                  </to>
                </anchor>
              </controlPr>
            </control>
          </mc:Choice>
        </mc:AlternateContent>
        <mc:AlternateContent xmlns:mc="http://schemas.openxmlformats.org/markup-compatibility/2006">
          <mc:Choice Requires="x14">
            <control shapeId="30749" r:id="rId9" name="Option Button 29">
              <controlPr defaultSize="0" autoFill="0" autoLine="0" autoPict="0">
                <anchor moveWithCells="1">
                  <from>
                    <xdr:col>1</xdr:col>
                    <xdr:colOff>9525</xdr:colOff>
                    <xdr:row>21</xdr:row>
                    <xdr:rowOff>66675</xdr:rowOff>
                  </from>
                  <to>
                    <xdr:col>2</xdr:col>
                    <xdr:colOff>114300</xdr:colOff>
                    <xdr:row>22</xdr:row>
                    <xdr:rowOff>76200</xdr:rowOff>
                  </to>
                </anchor>
              </controlPr>
            </control>
          </mc:Choice>
        </mc:AlternateContent>
        <mc:AlternateContent xmlns:mc="http://schemas.openxmlformats.org/markup-compatibility/2006">
          <mc:Choice Requires="x14">
            <control shapeId="30750" r:id="rId10" name="Option Button 30">
              <controlPr defaultSize="0" autoFill="0" autoLine="0" autoPict="0">
                <anchor moveWithCells="1">
                  <from>
                    <xdr:col>5</xdr:col>
                    <xdr:colOff>209550</xdr:colOff>
                    <xdr:row>21</xdr:row>
                    <xdr:rowOff>76200</xdr:rowOff>
                  </from>
                  <to>
                    <xdr:col>6</xdr:col>
                    <xdr:colOff>104775</xdr:colOff>
                    <xdr:row>22</xdr:row>
                    <xdr:rowOff>85725</xdr:rowOff>
                  </to>
                </anchor>
              </controlPr>
            </control>
          </mc:Choice>
        </mc:AlternateContent>
        <mc:AlternateContent xmlns:mc="http://schemas.openxmlformats.org/markup-compatibility/2006">
          <mc:Choice Requires="x14">
            <control shapeId="30751" r:id="rId11" name="Group Box 31">
              <controlPr defaultSize="0" print="0" autoFill="0" autoPict="0">
                <anchor moveWithCells="1">
                  <from>
                    <xdr:col>0</xdr:col>
                    <xdr:colOff>85725</xdr:colOff>
                    <xdr:row>32</xdr:row>
                    <xdr:rowOff>209550</xdr:rowOff>
                  </from>
                  <to>
                    <xdr:col>12</xdr:col>
                    <xdr:colOff>19050</xdr:colOff>
                    <xdr:row>50</xdr:row>
                    <xdr:rowOff>19050</xdr:rowOff>
                  </to>
                </anchor>
              </controlPr>
            </control>
          </mc:Choice>
        </mc:AlternateContent>
        <mc:AlternateContent xmlns:mc="http://schemas.openxmlformats.org/markup-compatibility/2006">
          <mc:Choice Requires="x14">
            <control shapeId="30752" r:id="rId12" name="Option Button 32">
              <controlPr defaultSize="0" autoFill="0" autoLine="0" autoPict="0">
                <anchor moveWithCells="1">
                  <from>
                    <xdr:col>2</xdr:col>
                    <xdr:colOff>800100</xdr:colOff>
                    <xdr:row>34</xdr:row>
                    <xdr:rowOff>200025</xdr:rowOff>
                  </from>
                  <to>
                    <xdr:col>2</xdr:col>
                    <xdr:colOff>1104900</xdr:colOff>
                    <xdr:row>35</xdr:row>
                    <xdr:rowOff>200025</xdr:rowOff>
                  </to>
                </anchor>
              </controlPr>
            </control>
          </mc:Choice>
        </mc:AlternateContent>
        <mc:AlternateContent xmlns:mc="http://schemas.openxmlformats.org/markup-compatibility/2006">
          <mc:Choice Requires="x14">
            <control shapeId="30753" r:id="rId13" name="Option Button 33">
              <controlPr defaultSize="0" autoFill="0" autoLine="0" autoPict="0">
                <anchor moveWithCells="1">
                  <from>
                    <xdr:col>4</xdr:col>
                    <xdr:colOff>476250</xdr:colOff>
                    <xdr:row>34</xdr:row>
                    <xdr:rowOff>209550</xdr:rowOff>
                  </from>
                  <to>
                    <xdr:col>5</xdr:col>
                    <xdr:colOff>295275</xdr:colOff>
                    <xdr:row>35</xdr:row>
                    <xdr:rowOff>190500</xdr:rowOff>
                  </to>
                </anchor>
              </controlPr>
            </control>
          </mc:Choice>
        </mc:AlternateContent>
        <mc:AlternateContent xmlns:mc="http://schemas.openxmlformats.org/markup-compatibility/2006">
          <mc:Choice Requires="x14">
            <control shapeId="30755" r:id="rId14" name="Option Button 35">
              <controlPr defaultSize="0" autoFill="0" autoLine="0" autoPict="0">
                <anchor moveWithCells="1">
                  <from>
                    <xdr:col>1</xdr:col>
                    <xdr:colOff>9525</xdr:colOff>
                    <xdr:row>12</xdr:row>
                    <xdr:rowOff>28575</xdr:rowOff>
                  </from>
                  <to>
                    <xdr:col>2</xdr:col>
                    <xdr:colOff>114300</xdr:colOff>
                    <xdr:row>13</xdr:row>
                    <xdr:rowOff>9525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4" tint="0.39997558519241921"/>
  </sheetPr>
  <dimension ref="A1:AJ124"/>
  <sheetViews>
    <sheetView showGridLines="0" zoomScaleNormal="100" workbookViewId="0">
      <selection activeCell="N8" sqref="N8:O8"/>
    </sheetView>
  </sheetViews>
  <sheetFormatPr defaultRowHeight="15" x14ac:dyDescent="0.25"/>
  <cols>
    <col min="1" max="1" width="1.7109375" style="220" customWidth="1"/>
    <col min="2" max="2" width="3" style="220" customWidth="1"/>
    <col min="3" max="3" width="16.7109375" style="220" customWidth="1"/>
    <col min="4" max="4" width="10.85546875" style="220" customWidth="1"/>
    <col min="5" max="5" width="7.140625" style="220" customWidth="1"/>
    <col min="6" max="6" width="6" style="220" customWidth="1"/>
    <col min="7" max="7" width="3.42578125" style="220" customWidth="1"/>
    <col min="8" max="9" width="3.85546875" style="220" customWidth="1"/>
    <col min="10" max="10" width="10" style="220" customWidth="1"/>
    <col min="11" max="12" width="11.42578125" style="220" customWidth="1"/>
    <col min="13" max="13" width="7.5703125" style="220" customWidth="1"/>
    <col min="14" max="14" width="9.85546875" style="220" customWidth="1"/>
    <col min="15" max="15" width="7.140625" style="220" customWidth="1"/>
    <col min="16" max="16" width="10.42578125" style="220" customWidth="1"/>
    <col min="17" max="17" width="8.5703125" style="220" customWidth="1"/>
    <col min="18" max="18" width="2.85546875" style="220" customWidth="1"/>
    <col min="19" max="19" width="63.85546875" style="220" customWidth="1"/>
    <col min="20" max="20" width="9.140625" style="220" hidden="1" customWidth="1"/>
    <col min="21" max="21" width="16.7109375" style="220" hidden="1" customWidth="1"/>
    <col min="22" max="22" width="16.28515625" style="220" hidden="1" customWidth="1"/>
    <col min="23" max="23" width="3.140625" style="220" hidden="1" customWidth="1"/>
    <col min="24" max="24" width="25.85546875" style="220" hidden="1" customWidth="1"/>
    <col min="25" max="26" width="9.28515625" style="220" hidden="1" customWidth="1"/>
    <col min="27" max="29" width="9.140625" style="220" hidden="1" customWidth="1"/>
    <col min="30" max="30" width="18.28515625" style="220" hidden="1" customWidth="1"/>
    <col min="31" max="31" width="17" style="220" hidden="1" customWidth="1"/>
    <col min="32" max="32" width="20.28515625" style="220" hidden="1" customWidth="1"/>
    <col min="33" max="33" width="9.140625" style="220" hidden="1" customWidth="1"/>
    <col min="34" max="34" width="23.140625" style="220" hidden="1" customWidth="1"/>
    <col min="35" max="39" width="9.140625" style="220" customWidth="1"/>
    <col min="40" max="41" width="9.140625" style="220"/>
    <col min="42" max="42" width="11.42578125" style="220" bestFit="1" customWidth="1"/>
    <col min="43" max="16384" width="9.140625" style="220"/>
  </cols>
  <sheetData>
    <row r="1" spans="1:27" x14ac:dyDescent="0.25">
      <c r="A1" s="327"/>
      <c r="B1" s="327"/>
      <c r="C1" s="327"/>
      <c r="D1" s="327"/>
      <c r="E1" s="327"/>
      <c r="F1" s="327"/>
      <c r="G1" s="327"/>
      <c r="H1" s="327"/>
      <c r="I1" s="327"/>
      <c r="J1" s="327"/>
      <c r="K1" s="327"/>
      <c r="L1" s="327"/>
      <c r="M1" s="327"/>
      <c r="N1" s="327"/>
      <c r="O1" s="327"/>
      <c r="P1" s="327"/>
      <c r="Q1" s="327"/>
      <c r="R1" s="327"/>
      <c r="S1" s="32"/>
      <c r="T1" s="32"/>
      <c r="U1" s="32"/>
      <c r="V1" s="32"/>
      <c r="W1" s="32"/>
      <c r="X1" s="32"/>
    </row>
    <row r="2" spans="1:27" ht="15.75" x14ac:dyDescent="0.25">
      <c r="B2" s="123" t="s">
        <v>366</v>
      </c>
      <c r="R2" s="2"/>
    </row>
    <row r="3" spans="1:27" ht="23.25" x14ac:dyDescent="0.35">
      <c r="B3" s="170" t="s">
        <v>319</v>
      </c>
      <c r="C3" s="1"/>
    </row>
    <row r="4" spans="1:27" ht="18" customHeight="1" x14ac:dyDescent="0.25">
      <c r="B4" s="508"/>
    </row>
    <row r="5" spans="1:27" ht="18.75" customHeight="1" x14ac:dyDescent="0.25">
      <c r="B5" s="166" t="s">
        <v>453</v>
      </c>
      <c r="C5" s="21"/>
      <c r="D5" s="21"/>
      <c r="E5" s="21"/>
      <c r="F5" s="21"/>
      <c r="G5" s="21"/>
      <c r="H5" s="21"/>
      <c r="I5" s="21"/>
      <c r="J5" s="21"/>
      <c r="K5" s="21"/>
      <c r="L5" s="21"/>
      <c r="M5" s="21"/>
      <c r="N5" s="21"/>
      <c r="O5" s="21"/>
      <c r="P5" s="21"/>
      <c r="Q5" s="21"/>
      <c r="R5" s="21"/>
      <c r="W5" s="220">
        <f>IF(OR(COUNTIF('1.General_Info'!D9:J9,"Manufacturing*")=1, '1.General_Info'!D9='1.General_Info'!AC18), 1, 0)</f>
        <v>0</v>
      </c>
    </row>
    <row r="6" spans="1:27" ht="24" customHeight="1" thickBot="1" x14ac:dyDescent="0.3">
      <c r="B6" s="47"/>
      <c r="C6" s="167" t="str">
        <f>IF(U14=0, "You have selected that you do not currently have recycling on the General Info page. If you have recycling, please select a different option.", "")</f>
        <v>You have selected that you do not currently have recycling on the General Info page. If you have recycling, please select a different option.</v>
      </c>
      <c r="D6" s="45"/>
      <c r="E6" s="45"/>
      <c r="F6" s="45"/>
      <c r="G6" s="45"/>
      <c r="H6" s="45"/>
      <c r="I6" s="45"/>
      <c r="J6" s="45"/>
      <c r="K6" s="45"/>
      <c r="L6" s="45"/>
      <c r="M6" s="45"/>
      <c r="N6" s="45"/>
      <c r="O6" s="45"/>
      <c r="P6" s="45"/>
      <c r="Q6" s="45"/>
      <c r="R6" s="45"/>
      <c r="S6" s="45"/>
      <c r="T6" s="45"/>
      <c r="U6" s="45"/>
      <c r="V6" s="45"/>
      <c r="W6" s="45"/>
      <c r="X6" s="45"/>
    </row>
    <row r="7" spans="1:27" ht="18.75" customHeight="1" x14ac:dyDescent="0.3">
      <c r="B7" s="324" t="s">
        <v>455</v>
      </c>
      <c r="C7" s="325"/>
      <c r="D7" s="325"/>
      <c r="E7" s="325"/>
      <c r="F7" s="325"/>
      <c r="G7" s="325"/>
      <c r="H7" s="325"/>
      <c r="I7" s="325"/>
      <c r="J7" s="325"/>
      <c r="K7" s="325"/>
      <c r="L7" s="325"/>
      <c r="M7" s="325"/>
      <c r="N7" s="325"/>
      <c r="O7" s="325"/>
      <c r="P7" s="325"/>
      <c r="Q7" s="325"/>
      <c r="R7" s="326"/>
      <c r="S7" s="45"/>
      <c r="T7" s="220" t="s">
        <v>502</v>
      </c>
      <c r="V7" s="45"/>
      <c r="W7" s="45"/>
      <c r="X7" s="45"/>
    </row>
    <row r="8" spans="1:27" ht="18.75" customHeight="1" x14ac:dyDescent="0.25">
      <c r="B8" s="263"/>
      <c r="C8" s="1064" t="s">
        <v>105</v>
      </c>
      <c r="D8" s="1064"/>
      <c r="E8" s="1064"/>
      <c r="F8" s="1064"/>
      <c r="G8" s="261"/>
      <c r="H8" s="1067" t="s">
        <v>294</v>
      </c>
      <c r="I8" s="1067"/>
      <c r="J8" s="1067"/>
      <c r="K8" s="1067"/>
      <c r="L8" s="1067"/>
      <c r="M8" s="1062" t="s">
        <v>275</v>
      </c>
      <c r="N8" s="1062"/>
      <c r="O8" s="1062"/>
      <c r="P8" s="1062"/>
      <c r="Q8" s="1062"/>
      <c r="R8" s="1063"/>
      <c r="S8" s="45"/>
      <c r="T8" s="220" t="s">
        <v>508</v>
      </c>
      <c r="U8" s="220">
        <f>IF(ISERROR(SUM('1.General_Info'!AA9:AA13)),0,IF(SUM('1.General_Info'!AA9:AA13)&lt;&gt;5,0,1))</f>
        <v>0</v>
      </c>
      <c r="V8" s="45"/>
      <c r="W8" s="45"/>
      <c r="X8" s="45"/>
    </row>
    <row r="9" spans="1:27" ht="18.75" customHeight="1" x14ac:dyDescent="0.25">
      <c r="B9" s="263"/>
      <c r="C9" s="1064"/>
      <c r="D9" s="1064"/>
      <c r="E9" s="1064"/>
      <c r="F9" s="1064"/>
      <c r="G9" s="261"/>
      <c r="H9" s="1067"/>
      <c r="I9" s="1067"/>
      <c r="J9" s="1067"/>
      <c r="K9" s="1067"/>
      <c r="L9" s="1067"/>
      <c r="M9" s="1062"/>
      <c r="N9" s="1062"/>
      <c r="O9" s="1062"/>
      <c r="P9" s="1062"/>
      <c r="Q9" s="1062"/>
      <c r="R9" s="1063"/>
      <c r="S9" s="45"/>
      <c r="V9" s="45"/>
      <c r="W9" s="94" t="s">
        <v>118</v>
      </c>
      <c r="X9" s="64" t="s">
        <v>117</v>
      </c>
      <c r="Y9" s="65" t="s">
        <v>119</v>
      </c>
      <c r="AA9" s="224"/>
    </row>
    <row r="10" spans="1:27" ht="18.75" customHeight="1" x14ac:dyDescent="0.25">
      <c r="B10" s="263"/>
      <c r="C10" s="351" t="s">
        <v>251</v>
      </c>
      <c r="D10" s="357">
        <f>IF(OR('1.General_Info'!X29,'1.General_Info'!Y29),#REF!, 0)</f>
        <v>0</v>
      </c>
      <c r="E10" s="18"/>
      <c r="F10" s="18"/>
      <c r="G10" s="18"/>
      <c r="H10" s="18"/>
      <c r="I10" s="18"/>
      <c r="J10" s="18"/>
      <c r="K10" s="351" t="s">
        <v>282</v>
      </c>
      <c r="L10" s="18"/>
      <c r="M10" s="351"/>
      <c r="N10" s="351" t="s">
        <v>268</v>
      </c>
      <c r="O10" s="351"/>
      <c r="P10" s="358"/>
      <c r="Q10" s="1069" t="s">
        <v>116</v>
      </c>
      <c r="R10" s="1070"/>
      <c r="S10" s="45"/>
      <c r="T10" s="220" t="s">
        <v>504</v>
      </c>
      <c r="U10" s="220">
        <f>IF(AND(W10=2, OR(ISBLANK(K11), K11=X62, ISBLANK(K18), ISBLANK(K13), ISBLANK(K14), ISBLANK(K16), ISBLANK(L13), L13=AF35)), 0, 1)</f>
        <v>1</v>
      </c>
      <c r="V10" s="45"/>
      <c r="W10" s="237">
        <v>1</v>
      </c>
      <c r="X10" s="238">
        <v>1</v>
      </c>
      <c r="Y10" s="239">
        <v>1</v>
      </c>
    </row>
    <row r="11" spans="1:27" ht="18.75" customHeight="1" x14ac:dyDescent="0.25">
      <c r="B11" s="263"/>
      <c r="C11" s="352" t="s">
        <v>252</v>
      </c>
      <c r="D11" s="18"/>
      <c r="E11" s="18"/>
      <c r="F11" s="18"/>
      <c r="G11" s="351" t="s">
        <v>112</v>
      </c>
      <c r="H11" s="18"/>
      <c r="I11" s="18"/>
      <c r="J11" s="18"/>
      <c r="K11" s="1065" t="s">
        <v>0</v>
      </c>
      <c r="L11" s="1066"/>
      <c r="M11" s="351"/>
      <c r="N11" s="351" t="s">
        <v>298</v>
      </c>
      <c r="O11" s="351"/>
      <c r="P11" s="360" t="s">
        <v>21</v>
      </c>
      <c r="Q11" s="351"/>
      <c r="R11" s="354"/>
      <c r="S11" s="45"/>
      <c r="T11" s="220" t="s">
        <v>505</v>
      </c>
      <c r="U11" s="220">
        <f>IF(AND(W10=3, OR(ISBLANK(P10), ISBLANK(P12), ISBLANK(Q10), Q10=AF35)), 0, 1)</f>
        <v>1</v>
      </c>
      <c r="V11" s="45"/>
      <c r="W11" s="425"/>
      <c r="X11" s="425"/>
      <c r="Y11" s="425"/>
    </row>
    <row r="12" spans="1:27" ht="18.75" customHeight="1" x14ac:dyDescent="0.25">
      <c r="B12" s="263"/>
      <c r="C12" s="351"/>
      <c r="D12" s="18"/>
      <c r="E12" s="18"/>
      <c r="F12" s="18"/>
      <c r="G12" s="18"/>
      <c r="H12" s="18"/>
      <c r="I12" s="18"/>
      <c r="J12" s="18"/>
      <c r="K12" s="351"/>
      <c r="L12" s="353" t="s">
        <v>300</v>
      </c>
      <c r="M12" s="351"/>
      <c r="N12" s="303" t="s">
        <v>129</v>
      </c>
      <c r="O12" s="303"/>
      <c r="P12" s="363">
        <v>1</v>
      </c>
      <c r="Q12" s="364"/>
      <c r="R12" s="354"/>
      <c r="S12" s="45"/>
      <c r="T12" s="220" t="s">
        <v>511</v>
      </c>
      <c r="U12" s="220">
        <f>IF(AND(X10=2, OR(ISBLANK(K27), ISBLANK(K29))), 0, 1)</f>
        <v>1</v>
      </c>
      <c r="V12" s="45"/>
      <c r="W12" s="425"/>
      <c r="X12" s="425">
        <f>IF(P11="yes", P12, 1)</f>
        <v>1</v>
      </c>
      <c r="Y12" s="425"/>
    </row>
    <row r="13" spans="1:27" ht="18.75" customHeight="1" x14ac:dyDescent="0.25">
      <c r="B13" s="263"/>
      <c r="C13" s="351"/>
      <c r="D13" s="18"/>
      <c r="E13" s="18"/>
      <c r="F13" s="18"/>
      <c r="G13" s="351" t="s">
        <v>255</v>
      </c>
      <c r="H13" s="18"/>
      <c r="I13" s="18"/>
      <c r="J13" s="18"/>
      <c r="K13" s="358"/>
      <c r="L13" s="362" t="s">
        <v>116</v>
      </c>
      <c r="M13" s="351"/>
      <c r="N13" s="351"/>
      <c r="O13" s="351"/>
      <c r="P13" s="351"/>
      <c r="Q13" s="351"/>
      <c r="R13" s="354"/>
      <c r="S13" s="45"/>
      <c r="T13" s="220" t="s">
        <v>507</v>
      </c>
      <c r="U13" s="220">
        <f>IF(AND(Y10=2, SUM(G40:I48)&lt;&gt;1), 0, 1)</f>
        <v>1</v>
      </c>
      <c r="V13" s="45"/>
      <c r="W13" s="45"/>
      <c r="X13" s="45"/>
    </row>
    <row r="14" spans="1:27" ht="18.75" customHeight="1" x14ac:dyDescent="0.25">
      <c r="B14" s="263"/>
      <c r="C14" s="18"/>
      <c r="D14" s="18"/>
      <c r="E14" s="18"/>
      <c r="F14" s="18"/>
      <c r="G14" s="351" t="s">
        <v>256</v>
      </c>
      <c r="H14" s="18"/>
      <c r="I14" s="18"/>
      <c r="J14" s="18"/>
      <c r="K14" s="358"/>
      <c r="L14" s="1068" t="s">
        <v>365</v>
      </c>
      <c r="M14" s="1068"/>
      <c r="N14" s="351" t="s">
        <v>251</v>
      </c>
      <c r="O14" s="351"/>
      <c r="P14" s="361" t="str">
        <f>IF(ISERROR(X12*Y16), "", X12*Y16)</f>
        <v/>
      </c>
      <c r="Q14" s="351"/>
      <c r="R14" s="354"/>
      <c r="S14" s="45"/>
      <c r="T14" s="224" t="s">
        <v>512</v>
      </c>
      <c r="U14" s="45">
        <f>IF('1.General_Info'!W29, 0, 1)</f>
        <v>0</v>
      </c>
      <c r="V14" s="45"/>
      <c r="W14" s="94" t="s">
        <v>279</v>
      </c>
      <c r="X14" s="64"/>
      <c r="Y14" s="65"/>
    </row>
    <row r="15" spans="1:27" ht="18.75" customHeight="1" x14ac:dyDescent="0.25">
      <c r="B15" s="263"/>
      <c r="C15" s="1073" t="str">
        <f>IF(COUNTIF('1.General_Info'!D9,"Manufacturing*")=1,"Note: The calculator does not contain average recycling data for Manufacturing.  Please use one of the options on the right to enter your recycling amount, enter your own recycling composition on this page below in Step 1c., "&amp;"AND and go to the Background_Data page and enter your recycling density in cell H21.",IF('1.General_Info'!D9='1.General_Info'!AC18,"Note: The calculator does not contain average recycling data for Hotels-Small.  Please use one of the options on the right to enter your recycling amount, enter your own recycling composition on this page below in Step 1c., "&amp;"AND and go to the Background_Data page and enter your recycling density in cell H21.",""))</f>
        <v/>
      </c>
      <c r="D15" s="1073"/>
      <c r="E15" s="1073"/>
      <c r="F15" s="18"/>
      <c r="G15" s="351" t="s">
        <v>11</v>
      </c>
      <c r="H15" s="262"/>
      <c r="I15" s="18"/>
      <c r="J15" s="18"/>
      <c r="K15" s="359">
        <v>0.75</v>
      </c>
      <c r="L15" s="1068"/>
      <c r="M15" s="1068"/>
      <c r="N15" s="352" t="s">
        <v>252</v>
      </c>
      <c r="O15" s="351"/>
      <c r="P15" s="351"/>
      <c r="Q15" s="351"/>
      <c r="R15" s="354"/>
      <c r="S15" s="45"/>
      <c r="T15" s="224"/>
      <c r="U15" s="45"/>
      <c r="V15" s="45"/>
      <c r="W15" s="81" t="s">
        <v>130</v>
      </c>
      <c r="X15" s="45" t="s">
        <v>277</v>
      </c>
      <c r="Y15" s="67" t="s">
        <v>278</v>
      </c>
    </row>
    <row r="16" spans="1:27" ht="18.75" customHeight="1" x14ac:dyDescent="0.25">
      <c r="B16" s="263"/>
      <c r="C16" s="1073"/>
      <c r="D16" s="1073"/>
      <c r="E16" s="1073"/>
      <c r="F16" s="18"/>
      <c r="G16" s="351" t="s">
        <v>85</v>
      </c>
      <c r="H16" s="18"/>
      <c r="I16" s="18"/>
      <c r="J16" s="18"/>
      <c r="K16" s="358"/>
      <c r="L16" s="1068"/>
      <c r="M16" s="1068"/>
      <c r="N16" s="18"/>
      <c r="O16" s="18"/>
      <c r="P16" s="18"/>
      <c r="Q16" s="18"/>
      <c r="R16" s="354"/>
      <c r="S16" s="45"/>
      <c r="T16" s="45"/>
      <c r="U16" s="45"/>
      <c r="V16" s="45"/>
      <c r="W16" s="102">
        <f>IF(Q10=AD37,P10,IF(Q10=AD36,P10/#REF!,0))</f>
        <v>0</v>
      </c>
      <c r="X16" s="69" t="e">
        <f>W16*#REF!/2000</f>
        <v>#REF!</v>
      </c>
      <c r="Y16" s="70" t="str">
        <f>IF(Q10=AD38, P10, IF(Q10=AD39, P10/2000, IF(OR(Q10=AD36, Q10=AD37), X16, "")))</f>
        <v/>
      </c>
    </row>
    <row r="17" spans="2:34" ht="18.75" customHeight="1" x14ac:dyDescent="0.25">
      <c r="B17" s="263"/>
      <c r="C17" s="1073"/>
      <c r="D17" s="1073"/>
      <c r="E17" s="1073"/>
      <c r="F17" s="18"/>
      <c r="G17" s="351" t="s">
        <v>298</v>
      </c>
      <c r="H17" s="18"/>
      <c r="I17" s="18"/>
      <c r="J17" s="18"/>
      <c r="K17" s="360" t="s">
        <v>21</v>
      </c>
      <c r="L17" s="1068"/>
      <c r="M17" s="1068"/>
      <c r="N17" s="18"/>
      <c r="O17" s="18"/>
      <c r="P17" s="18"/>
      <c r="Q17" s="18"/>
      <c r="R17" s="354"/>
      <c r="S17" s="45"/>
      <c r="T17" s="45"/>
      <c r="U17" s="45"/>
      <c r="V17" s="45"/>
    </row>
    <row r="18" spans="2:34" ht="18.75" customHeight="1" x14ac:dyDescent="0.25">
      <c r="B18" s="263"/>
      <c r="C18" s="1073"/>
      <c r="D18" s="1073"/>
      <c r="E18" s="1073"/>
      <c r="F18" s="18"/>
      <c r="G18" s="303" t="s">
        <v>129</v>
      </c>
      <c r="H18" s="18"/>
      <c r="I18" s="18"/>
      <c r="J18" s="18"/>
      <c r="K18" s="304">
        <v>1</v>
      </c>
      <c r="L18" s="1068"/>
      <c r="M18" s="1068"/>
      <c r="N18" s="1074" t="str">
        <f>IF(AND(COUNTIF('1.General_Info'!D9:J9, "Manufacturing*")=1, Y10=1, W10=3), "Error: This option will not calculate the final annual tons until you enter your recycling makeup below in Step 1c.", "")</f>
        <v/>
      </c>
      <c r="O18" s="1074"/>
      <c r="P18" s="1074"/>
      <c r="Q18" s="1074"/>
      <c r="R18" s="354"/>
      <c r="S18" s="45"/>
      <c r="T18" s="45"/>
      <c r="U18" s="45"/>
      <c r="V18" s="45"/>
      <c r="AC18" s="220" t="s">
        <v>180</v>
      </c>
      <c r="AD18" s="220" t="s">
        <v>288</v>
      </c>
      <c r="AE18" s="220" t="s">
        <v>289</v>
      </c>
      <c r="AF18" s="220" t="s">
        <v>290</v>
      </c>
      <c r="AH18" s="220" t="s">
        <v>525</v>
      </c>
    </row>
    <row r="19" spans="2:34" ht="18.75" customHeight="1" x14ac:dyDescent="0.25">
      <c r="B19" s="263"/>
      <c r="C19" s="1073"/>
      <c r="D19" s="1073"/>
      <c r="E19" s="1073"/>
      <c r="F19" s="18"/>
      <c r="G19" s="18"/>
      <c r="H19" s="18"/>
      <c r="I19" s="18"/>
      <c r="J19" s="18"/>
      <c r="K19" s="351"/>
      <c r="L19" s="1068"/>
      <c r="M19" s="1068"/>
      <c r="N19" s="1074"/>
      <c r="O19" s="1074"/>
      <c r="P19" s="1074"/>
      <c r="Q19" s="1074"/>
      <c r="R19" s="354"/>
      <c r="S19" s="45"/>
      <c r="T19" s="45"/>
      <c r="U19" s="45"/>
      <c r="V19" s="45"/>
      <c r="AC19" s="220" t="s">
        <v>14</v>
      </c>
      <c r="AD19" s="108" t="e">
        <f>#REF!*#REF!</f>
        <v>#REF!</v>
      </c>
      <c r="AE19" s="525" t="e">
        <f>IF(AND($W$10=2,OR(AC19=$Z$48,AC19=$Z$49,AC19=$Z$50,AC19=$Z$51,AC19=$Z$52,AC19=$Z$53)),INDEX($Z$48:$AH$53,MATCH(AC19,$Z$48:$Z$53,0),9),IF(AND($W$10=2,OR($Z$48=$X$63, $Z$49=$X$63,$Z$50=$X$63,$Z$51=$X$63,$Z$52=$X$63,$Z$53=$X$63)),(AD19/($AD$28-$AH$28))*INDEX($Z$48:$AH$53, MATCH($X$63,$Z$48:$Z$53,0),9),AD19/$AD$28*$AE$28))</f>
        <v>#REF!</v>
      </c>
      <c r="AF19" s="108" t="e">
        <f>AE19/#REF!</f>
        <v>#REF!</v>
      </c>
      <c r="AH19" s="222">
        <f>IF(OR(AC19=$Z$48,AC19=$Z$49,AC19=$Z$50,AC19=$Z$51,AC19=$Z$52,AC19=$Z$53),AD19,0)</f>
        <v>0</v>
      </c>
    </row>
    <row r="20" spans="2:34" ht="18.75" customHeight="1" x14ac:dyDescent="0.25">
      <c r="B20" s="263"/>
      <c r="C20" s="1073"/>
      <c r="D20" s="1073"/>
      <c r="E20" s="1073"/>
      <c r="F20" s="240"/>
      <c r="G20" s="351" t="s">
        <v>344</v>
      </c>
      <c r="H20" s="18"/>
      <c r="I20" s="18"/>
      <c r="J20" s="18"/>
      <c r="K20" s="361" t="str">
        <f>IF(K13="","",(AB48*K14*K15*K16*#REF!*AJ48))</f>
        <v/>
      </c>
      <c r="L20" s="1071" t="s">
        <v>257</v>
      </c>
      <c r="M20" s="1071"/>
      <c r="N20" s="1074"/>
      <c r="O20" s="1074"/>
      <c r="P20" s="1074"/>
      <c r="Q20" s="1074"/>
      <c r="R20" s="354"/>
      <c r="S20" s="45"/>
      <c r="T20" s="45"/>
      <c r="U20" s="45"/>
      <c r="V20" s="45"/>
      <c r="AC20" s="220" t="s">
        <v>13</v>
      </c>
      <c r="AD20" s="108" t="e">
        <f>#REF!*#REF!</f>
        <v>#REF!</v>
      </c>
      <c r="AE20" s="525" t="e">
        <f t="shared" ref="AE20:AE27" si="0">IF(AND($W$10=2,OR(AC20=$Z$48,AC20=$Z$49,AC20=$Z$50,AC20=$Z$51,AC20=$Z$52,AC20=$Z$53)),INDEX($Z$48:$AH$53,MATCH(AC20,$Z$48:$Z$53,0),9),IF(AND($W$10=2,OR($Z$48=$X$63, $Z$49=$X$63,$Z$50=$X$63,$Z$51=$X$63,$Z$52=$X$63,$Z$53=$X$63)),(AD20/($AD$28-$AH$28))*INDEX($Z$48:$AH$53, MATCH($X$63,$Z$48:$Z$53,0),9),AD20/$AD$28*$AE$28))</f>
        <v>#REF!</v>
      </c>
      <c r="AF20" s="288" t="e">
        <f>AE20/#REF!</f>
        <v>#REF!</v>
      </c>
      <c r="AH20" s="222">
        <f t="shared" ref="AH20:AH25" si="1">IF(OR(AC20=$Z$48,AC20=$Z$49,AC20=$Z$50,AC20=$Z$51,AC20=$Z$52,AC20=$Z$53),AD20,0)</f>
        <v>0</v>
      </c>
    </row>
    <row r="21" spans="2:34" ht="18.75" customHeight="1" thickBot="1" x14ac:dyDescent="0.3">
      <c r="B21" s="265"/>
      <c r="C21" s="266"/>
      <c r="D21" s="266"/>
      <c r="E21" s="266"/>
      <c r="F21" s="266"/>
      <c r="G21" s="266"/>
      <c r="H21" s="266"/>
      <c r="I21" s="266"/>
      <c r="J21" s="266"/>
      <c r="K21" s="266"/>
      <c r="L21" s="1072"/>
      <c r="M21" s="1072"/>
      <c r="N21" s="266"/>
      <c r="O21" s="266"/>
      <c r="P21" s="266"/>
      <c r="Q21" s="266"/>
      <c r="R21" s="267"/>
      <c r="S21" s="45"/>
      <c r="T21" s="45"/>
      <c r="U21" s="45"/>
      <c r="V21" s="45"/>
      <c r="AC21" s="220" t="s">
        <v>15</v>
      </c>
      <c r="AD21" s="108" t="e">
        <f>#REF!*#REF!</f>
        <v>#REF!</v>
      </c>
      <c r="AE21" s="525" t="e">
        <f t="shared" si="0"/>
        <v>#REF!</v>
      </c>
      <c r="AF21" s="108" t="e">
        <f>AE21/#REF!</f>
        <v>#REF!</v>
      </c>
      <c r="AH21" s="222">
        <f t="shared" si="1"/>
        <v>0</v>
      </c>
    </row>
    <row r="22" spans="2:34" ht="18.75" customHeight="1" thickBot="1" x14ac:dyDescent="0.3">
      <c r="B22" s="47"/>
      <c r="C22" s="45"/>
      <c r="D22" s="45"/>
      <c r="E22" s="45"/>
      <c r="F22" s="45"/>
      <c r="G22" s="45"/>
      <c r="H22" s="45"/>
      <c r="I22" s="45"/>
      <c r="J22" s="45"/>
      <c r="K22" s="45"/>
      <c r="L22" s="45"/>
      <c r="M22" s="45"/>
      <c r="N22" s="45"/>
      <c r="O22" s="45"/>
      <c r="P22" s="45"/>
      <c r="Q22" s="45"/>
      <c r="R22" s="45"/>
      <c r="S22" s="45"/>
      <c r="T22" s="45"/>
      <c r="U22" s="45"/>
      <c r="V22" s="45"/>
      <c r="AC22" s="220" t="s">
        <v>16</v>
      </c>
      <c r="AD22" s="108" t="e">
        <f>+#REF!*#REF!</f>
        <v>#REF!</v>
      </c>
      <c r="AE22" s="525" t="e">
        <f t="shared" si="0"/>
        <v>#REF!</v>
      </c>
      <c r="AF22" s="108" t="e">
        <f>AE22/#REF!</f>
        <v>#REF!</v>
      </c>
      <c r="AH22" s="222">
        <f t="shared" si="1"/>
        <v>0</v>
      </c>
    </row>
    <row r="23" spans="2:34" ht="18.75" customHeight="1" x14ac:dyDescent="0.3">
      <c r="B23" s="324" t="s">
        <v>454</v>
      </c>
      <c r="C23" s="325"/>
      <c r="D23" s="325"/>
      <c r="E23" s="325"/>
      <c r="F23" s="325"/>
      <c r="G23" s="325"/>
      <c r="H23" s="325"/>
      <c r="I23" s="325"/>
      <c r="J23" s="325"/>
      <c r="K23" s="325"/>
      <c r="L23" s="325"/>
      <c r="M23" s="326"/>
      <c r="N23" s="326"/>
      <c r="O23" s="45"/>
      <c r="Q23" s="305" t="s">
        <v>313</v>
      </c>
      <c r="R23" s="45"/>
      <c r="S23" s="45"/>
      <c r="V23" s="45"/>
      <c r="AC23" s="220" t="s">
        <v>17</v>
      </c>
      <c r="AD23" s="108" t="e">
        <f>+#REF!*#REF!</f>
        <v>#REF!</v>
      </c>
      <c r="AE23" s="525" t="e">
        <f t="shared" si="0"/>
        <v>#REF!</v>
      </c>
      <c r="AF23" s="108" t="e">
        <f>AE23/#REF!</f>
        <v>#REF!</v>
      </c>
      <c r="AH23" s="222">
        <f t="shared" si="1"/>
        <v>0</v>
      </c>
    </row>
    <row r="24" spans="2:34" ht="18.75" customHeight="1" x14ac:dyDescent="0.25">
      <c r="B24" s="269"/>
      <c r="C24" s="1064" t="s">
        <v>105</v>
      </c>
      <c r="D24" s="1064"/>
      <c r="E24" s="1064"/>
      <c r="F24" s="1064"/>
      <c r="G24" s="1064" t="s">
        <v>276</v>
      </c>
      <c r="H24" s="1064"/>
      <c r="I24" s="1064"/>
      <c r="J24" s="1064"/>
      <c r="K24" s="1064"/>
      <c r="L24" s="1064"/>
      <c r="M24" s="272"/>
      <c r="N24" s="264"/>
      <c r="O24" s="45"/>
      <c r="P24" s="45"/>
      <c r="Q24" s="45"/>
      <c r="R24" s="45"/>
      <c r="S24" s="45"/>
      <c r="V24" s="45"/>
      <c r="AC24" s="220" t="s">
        <v>18</v>
      </c>
      <c r="AD24" s="108" t="e">
        <f>#REF!*#REF!</f>
        <v>#REF!</v>
      </c>
      <c r="AE24" s="525" t="e">
        <f t="shared" si="0"/>
        <v>#REF!</v>
      </c>
      <c r="AF24" s="108" t="e">
        <f>AE24/#REF!</f>
        <v>#REF!</v>
      </c>
      <c r="AH24" s="222">
        <f t="shared" si="1"/>
        <v>0</v>
      </c>
    </row>
    <row r="25" spans="2:34" ht="18.75" customHeight="1" x14ac:dyDescent="0.25">
      <c r="B25" s="263"/>
      <c r="C25" s="1064"/>
      <c r="D25" s="1064"/>
      <c r="E25" s="1064"/>
      <c r="F25" s="1064"/>
      <c r="G25" s="1064"/>
      <c r="H25" s="1064"/>
      <c r="I25" s="1064"/>
      <c r="J25" s="1064"/>
      <c r="K25" s="1064"/>
      <c r="L25" s="1064"/>
      <c r="M25" s="272"/>
      <c r="N25" s="264"/>
      <c r="O25" s="45"/>
      <c r="P25" s="45"/>
      <c r="Q25" s="45"/>
      <c r="R25" s="45"/>
      <c r="S25" s="45"/>
      <c r="T25" s="45"/>
      <c r="U25" s="45"/>
      <c r="V25" s="45"/>
      <c r="AC25" s="220" t="s">
        <v>19</v>
      </c>
      <c r="AD25" s="108" t="e">
        <f>#REF!*#REF!</f>
        <v>#REF!</v>
      </c>
      <c r="AE25" s="525" t="e">
        <f t="shared" si="0"/>
        <v>#REF!</v>
      </c>
      <c r="AF25" s="108" t="e">
        <f>AE25/#REF!</f>
        <v>#REF!</v>
      </c>
      <c r="AH25" s="222">
        <f t="shared" si="1"/>
        <v>0</v>
      </c>
    </row>
    <row r="26" spans="2:34" ht="30" x14ac:dyDescent="0.25">
      <c r="B26" s="263"/>
      <c r="C26" s="418"/>
      <c r="D26" s="432" t="s">
        <v>282</v>
      </c>
      <c r="E26" s="418"/>
      <c r="F26" s="418"/>
      <c r="G26" s="418"/>
      <c r="H26" s="418"/>
      <c r="I26" s="418"/>
      <c r="J26" s="418"/>
      <c r="K26" s="524" t="s">
        <v>282</v>
      </c>
      <c r="L26" s="1060" t="str">
        <f>IF(W10=2, "Tip: If you have multiple containers, use this section for the cost of container A and the 'Multiple Container' section below for your other containers.", "")</f>
        <v/>
      </c>
      <c r="M26" s="1060"/>
      <c r="N26" s="1061"/>
      <c r="O26" s="45"/>
      <c r="P26" s="45"/>
      <c r="Q26" s="45"/>
      <c r="R26" s="45"/>
      <c r="S26" s="45"/>
      <c r="T26" s="45"/>
      <c r="U26" s="45"/>
      <c r="V26" s="45"/>
      <c r="AD26" s="108"/>
      <c r="AE26" s="525" t="e">
        <f t="shared" si="0"/>
        <v>#REF!</v>
      </c>
      <c r="AF26" s="108"/>
      <c r="AH26" s="222"/>
    </row>
    <row r="27" spans="2:34" ht="18.75" customHeight="1" x14ac:dyDescent="0.25">
      <c r="B27" s="263"/>
      <c r="C27" s="351" t="s">
        <v>267</v>
      </c>
      <c r="D27" s="365" t="str">
        <f>IF(W10=2,IF(ISERROR(AF48),"",AF48),IF(AND('9.CustomRates'!U14,'9.CustomRates'!V14),'9.CustomRates'!BR27+'9.CustomRates'!BR28,IF(AND('9.CustomRates'!U14,'9.CustomRates'!V14=FALSE),'9.CustomRates'!BR27+'3.Current_Recycling'!AD24+'3.Current_Recycling'!AD25,IF(AND('9.CustomRates'!U14=FALSE,'9.CustomRates'!V14),'9.CustomRates'!BR28+SUM('3.Current_Recycling'!AD19:AD23,'3.Current_Recycling'!AD27),IF(ISERROR(SUM(AD19:AD27))," ",(SUM(AD19:AD27)))))))</f>
        <v xml:space="preserve"> </v>
      </c>
      <c r="E27" s="351"/>
      <c r="F27" s="351"/>
      <c r="G27" s="351" t="s">
        <v>347</v>
      </c>
      <c r="H27" s="351"/>
      <c r="I27" s="355"/>
      <c r="J27" s="355"/>
      <c r="K27" s="366"/>
      <c r="L27" s="1060"/>
      <c r="M27" s="1060"/>
      <c r="N27" s="1061"/>
      <c r="O27" s="45"/>
      <c r="P27" s="45"/>
      <c r="Q27" s="45"/>
      <c r="R27" s="45"/>
      <c r="S27" s="45"/>
      <c r="T27" s="45"/>
      <c r="U27" s="45"/>
      <c r="V27" s="45"/>
      <c r="AA27" s="224" t="s">
        <v>354</v>
      </c>
      <c r="AC27" s="220" t="s">
        <v>20</v>
      </c>
      <c r="AD27" s="108" t="e">
        <f>+#REF!*#REF!</f>
        <v>#REF!</v>
      </c>
      <c r="AE27" s="525" t="e">
        <f t="shared" si="0"/>
        <v>#REF!</v>
      </c>
      <c r="AF27" s="288" t="e">
        <f>AE27/#REF!</f>
        <v>#REF!</v>
      </c>
      <c r="AH27" s="222">
        <f>IF(OR(AC27=$Z$48,AC27=$Z$49,AC27=$Z$50,AC27=$Z$51,AC27=$Z$52,AC27=$Z$53),AD27,0)</f>
        <v>0</v>
      </c>
    </row>
    <row r="28" spans="2:34" ht="18.75" customHeight="1" x14ac:dyDescent="0.25">
      <c r="B28" s="263"/>
      <c r="C28" s="352" t="s">
        <v>252</v>
      </c>
      <c r="D28" s="351"/>
      <c r="E28" s="351"/>
      <c r="F28" s="351"/>
      <c r="G28" s="351" t="s">
        <v>298</v>
      </c>
      <c r="H28" s="351"/>
      <c r="I28" s="355"/>
      <c r="J28" s="355"/>
      <c r="K28" s="360" t="s">
        <v>21</v>
      </c>
      <c r="L28" s="1060"/>
      <c r="M28" s="1060"/>
      <c r="N28" s="1061"/>
      <c r="O28" s="45"/>
      <c r="P28" s="45"/>
      <c r="Q28" s="45"/>
      <c r="R28" s="45"/>
      <c r="S28" s="45"/>
      <c r="T28" s="45"/>
      <c r="U28" s="45"/>
      <c r="V28" s="45"/>
      <c r="AA28" s="220">
        <f>IF(K28="yes", K29, 1)</f>
        <v>1</v>
      </c>
      <c r="AC28" s="220" t="s">
        <v>287</v>
      </c>
      <c r="AD28" s="108" t="e">
        <f>SUM(AD19:AD27)</f>
        <v>#REF!</v>
      </c>
      <c r="AE28" s="108" t="str">
        <f>X42</f>
        <v xml:space="preserve"> </v>
      </c>
      <c r="AH28" s="222">
        <f>SUM(AH19:AH27)</f>
        <v>0</v>
      </c>
    </row>
    <row r="29" spans="2:34" ht="18.75" customHeight="1" x14ac:dyDescent="0.25">
      <c r="B29" s="263"/>
      <c r="C29" s="351"/>
      <c r="D29" s="351"/>
      <c r="E29" s="351"/>
      <c r="F29" s="351"/>
      <c r="G29" s="303" t="s">
        <v>129</v>
      </c>
      <c r="H29" s="303"/>
      <c r="I29" s="368"/>
      <c r="J29" s="368"/>
      <c r="K29" s="369">
        <v>1</v>
      </c>
      <c r="L29" s="1060"/>
      <c r="M29" s="1060"/>
      <c r="N29" s="1061"/>
      <c r="O29" s="45"/>
      <c r="P29" s="45"/>
      <c r="Q29" s="45"/>
      <c r="R29" s="45"/>
      <c r="S29" s="45"/>
      <c r="T29" s="45"/>
      <c r="U29" s="45"/>
      <c r="V29" s="45"/>
    </row>
    <row r="30" spans="2:34" ht="18.75" customHeight="1" x14ac:dyDescent="0.25">
      <c r="B30" s="263"/>
      <c r="C30" s="351"/>
      <c r="D30" s="351"/>
      <c r="E30" s="351"/>
      <c r="F30" s="351"/>
      <c r="G30" s="351"/>
      <c r="H30" s="351"/>
      <c r="I30" s="355"/>
      <c r="J30" s="355"/>
      <c r="K30" s="351"/>
      <c r="L30" s="1060"/>
      <c r="M30" s="1060"/>
      <c r="N30" s="1061"/>
      <c r="O30" s="45"/>
      <c r="P30" s="45"/>
      <c r="Q30" s="45"/>
      <c r="R30" s="45"/>
      <c r="S30" s="45"/>
      <c r="T30" s="45"/>
      <c r="U30" s="45"/>
      <c r="V30" s="45"/>
    </row>
    <row r="31" spans="2:34" ht="18.75" customHeight="1" x14ac:dyDescent="0.25">
      <c r="B31" s="263"/>
      <c r="C31" s="351"/>
      <c r="D31" s="351"/>
      <c r="E31" s="351"/>
      <c r="F31" s="351"/>
      <c r="G31" s="351" t="s">
        <v>524</v>
      </c>
      <c r="H31" s="351"/>
      <c r="I31" s="355"/>
      <c r="J31" s="355"/>
      <c r="K31" s="367" t="str">
        <f>IF(AND(X10=2, K27&gt;0), K27*AA28, "")</f>
        <v/>
      </c>
      <c r="L31" s="1060"/>
      <c r="M31" s="1060"/>
      <c r="N31" s="1061"/>
      <c r="O31" s="45"/>
      <c r="P31" s="45"/>
      <c r="Q31" s="45"/>
      <c r="R31" s="45"/>
      <c r="S31" s="45"/>
      <c r="T31" s="45"/>
      <c r="U31" s="45"/>
      <c r="V31" s="45"/>
    </row>
    <row r="32" spans="2:34" ht="18.75" customHeight="1" x14ac:dyDescent="0.25">
      <c r="B32" s="263"/>
      <c r="C32" s="473" t="s">
        <v>360</v>
      </c>
      <c r="D32" s="351"/>
      <c r="E32" s="351"/>
      <c r="F32" s="351"/>
      <c r="G32" s="351"/>
      <c r="H32" s="351"/>
      <c r="I32" s="355"/>
      <c r="J32" s="355"/>
      <c r="K32" s="482"/>
      <c r="L32" s="451"/>
      <c r="M32" s="451"/>
      <c r="N32" s="514"/>
      <c r="O32" s="45"/>
      <c r="P32" s="45"/>
      <c r="Q32" s="45"/>
      <c r="R32" s="45"/>
      <c r="S32" s="45"/>
      <c r="T32" s="45"/>
      <c r="U32" s="45"/>
      <c r="V32" s="45"/>
    </row>
    <row r="33" spans="2:36" ht="18.75" customHeight="1" x14ac:dyDescent="0.25">
      <c r="B33" s="263"/>
      <c r="C33" s="473" t="s">
        <v>514</v>
      </c>
      <c r="D33" s="351"/>
      <c r="E33" s="351"/>
      <c r="F33" s="351"/>
      <c r="G33" s="351"/>
      <c r="H33" s="351"/>
      <c r="I33" s="355"/>
      <c r="J33" s="355"/>
      <c r="K33" s="513"/>
      <c r="L33" s="513"/>
      <c r="M33" s="513"/>
      <c r="N33" s="514"/>
      <c r="O33" s="45"/>
      <c r="P33" s="45"/>
      <c r="Q33" s="45"/>
      <c r="R33" s="45"/>
      <c r="S33" s="45"/>
      <c r="T33" s="45"/>
      <c r="U33" s="45"/>
      <c r="V33" s="45"/>
    </row>
    <row r="34" spans="2:36" ht="18.75" customHeight="1" thickBot="1" x14ac:dyDescent="0.3">
      <c r="B34" s="265"/>
      <c r="C34" s="1058" t="s">
        <v>535</v>
      </c>
      <c r="D34" s="1058"/>
      <c r="E34" s="1058"/>
      <c r="F34" s="1058"/>
      <c r="G34" s="1058"/>
      <c r="H34" s="1058"/>
      <c r="I34" s="1058"/>
      <c r="J34" s="1058"/>
      <c r="K34" s="1058"/>
      <c r="L34" s="1058"/>
      <c r="M34" s="1058"/>
      <c r="N34" s="1059"/>
      <c r="O34" s="45"/>
      <c r="P34" s="45"/>
      <c r="Q34" s="45"/>
      <c r="R34" s="45"/>
      <c r="S34" s="45"/>
      <c r="T34" s="45"/>
      <c r="U34" s="45"/>
      <c r="V34" s="45"/>
      <c r="X34" s="93"/>
      <c r="Y34" s="85"/>
      <c r="AD34" s="93" t="s">
        <v>179</v>
      </c>
      <c r="AE34" s="21"/>
      <c r="AF34" s="85"/>
    </row>
    <row r="35" spans="2:36" ht="18.75" customHeight="1" thickBot="1" x14ac:dyDescent="0.3">
      <c r="C35" s="224"/>
      <c r="D35" s="1094"/>
      <c r="E35" s="1094"/>
      <c r="F35" s="1094"/>
      <c r="G35" s="1094"/>
      <c r="H35" s="224"/>
      <c r="I35" s="268"/>
      <c r="J35" s="45"/>
      <c r="K35" s="45"/>
      <c r="L35" s="45"/>
      <c r="M35" s="45"/>
      <c r="N35" s="45"/>
      <c r="O35" s="45"/>
      <c r="P35" s="45"/>
      <c r="Q35" s="45"/>
      <c r="R35" s="45"/>
      <c r="S35" s="45"/>
      <c r="T35" s="45"/>
      <c r="U35" s="45"/>
      <c r="V35" s="45"/>
      <c r="X35" s="94"/>
      <c r="Y35" s="65"/>
      <c r="AD35" s="81" t="s">
        <v>116</v>
      </c>
      <c r="AE35" s="45" t="s">
        <v>21</v>
      </c>
      <c r="AF35" s="67" t="s">
        <v>116</v>
      </c>
      <c r="AG35" s="67" t="s">
        <v>21</v>
      </c>
    </row>
    <row r="36" spans="2:36" ht="18.75" customHeight="1" x14ac:dyDescent="0.3">
      <c r="B36" s="324" t="s">
        <v>526</v>
      </c>
      <c r="C36" s="325"/>
      <c r="D36" s="325"/>
      <c r="E36" s="325"/>
      <c r="F36" s="325"/>
      <c r="G36" s="325"/>
      <c r="H36" s="325"/>
      <c r="I36" s="325"/>
      <c r="J36" s="325"/>
      <c r="K36" s="325"/>
      <c r="L36" s="326"/>
      <c r="M36" s="45"/>
      <c r="N36" s="45"/>
      <c r="O36" s="45"/>
      <c r="P36" s="45"/>
      <c r="Q36" s="45"/>
      <c r="R36" s="45"/>
      <c r="S36" s="45"/>
      <c r="T36" s="45"/>
      <c r="U36" s="45"/>
      <c r="V36" s="45"/>
      <c r="AD36" s="81" t="s">
        <v>114</v>
      </c>
      <c r="AE36" s="45" t="s">
        <v>121</v>
      </c>
      <c r="AF36" s="67" t="s">
        <v>114</v>
      </c>
      <c r="AG36" s="67" t="s">
        <v>114</v>
      </c>
    </row>
    <row r="37" spans="2:36" ht="18.75" customHeight="1" x14ac:dyDescent="0.25">
      <c r="B37" s="263"/>
      <c r="C37" s="272"/>
      <c r="D37" s="272"/>
      <c r="E37" s="272"/>
      <c r="F37" s="18"/>
      <c r="G37" s="18"/>
      <c r="H37" s="18"/>
      <c r="I37" s="18"/>
      <c r="J37" s="18"/>
      <c r="K37" s="18"/>
      <c r="L37" s="264"/>
      <c r="M37" s="45"/>
      <c r="N37" s="45"/>
      <c r="O37" s="45"/>
      <c r="P37" s="45"/>
      <c r="Q37" s="45"/>
      <c r="R37" s="45"/>
      <c r="S37" s="45"/>
      <c r="T37" s="45"/>
      <c r="U37" s="45"/>
      <c r="V37" s="45"/>
      <c r="AD37" s="81" t="s">
        <v>115</v>
      </c>
      <c r="AE37" s="45" t="s">
        <v>122</v>
      </c>
      <c r="AF37" s="67" t="s">
        <v>115</v>
      </c>
      <c r="AG37" s="67" t="s">
        <v>254</v>
      </c>
    </row>
    <row r="38" spans="2:36" ht="18.75" customHeight="1" x14ac:dyDescent="0.25">
      <c r="B38" s="263"/>
      <c r="C38" s="272"/>
      <c r="D38" s="417" t="s">
        <v>218</v>
      </c>
      <c r="E38" s="272"/>
      <c r="F38" s="273" t="s">
        <v>219</v>
      </c>
      <c r="G38" s="18"/>
      <c r="H38" s="18"/>
      <c r="I38" s="18"/>
      <c r="J38" s="18"/>
      <c r="K38" s="18"/>
      <c r="L38" s="264"/>
      <c r="M38" s="45"/>
      <c r="N38" s="45"/>
      <c r="O38" s="45"/>
      <c r="P38" s="45"/>
      <c r="Q38" s="45"/>
      <c r="R38" s="45"/>
      <c r="S38" s="45"/>
      <c r="U38" s="45"/>
      <c r="V38" s="45"/>
      <c r="AD38" s="81" t="s">
        <v>84</v>
      </c>
      <c r="AE38" s="45"/>
      <c r="AF38" s="67"/>
    </row>
    <row r="39" spans="2:36" ht="18.75" customHeight="1" x14ac:dyDescent="0.25">
      <c r="B39" s="263"/>
      <c r="C39" s="19"/>
      <c r="D39" s="19"/>
      <c r="E39" s="19"/>
      <c r="F39" s="20"/>
      <c r="G39" s="18"/>
      <c r="H39" s="20"/>
      <c r="I39" s="18"/>
      <c r="J39" s="18"/>
      <c r="K39" s="18"/>
      <c r="L39" s="264"/>
      <c r="M39" s="45"/>
      <c r="N39" s="45"/>
      <c r="O39" s="45"/>
      <c r="P39" s="45"/>
      <c r="Q39" s="45"/>
      <c r="R39" s="45"/>
      <c r="S39" s="45"/>
      <c r="T39" s="220" t="s">
        <v>494</v>
      </c>
      <c r="U39" s="45"/>
      <c r="V39" s="45"/>
      <c r="AD39" s="102" t="s">
        <v>124</v>
      </c>
      <c r="AE39" s="69"/>
      <c r="AF39" s="70"/>
    </row>
    <row r="40" spans="2:36" ht="18.75" customHeight="1" x14ac:dyDescent="0.25">
      <c r="B40" s="263"/>
      <c r="C40" s="410" t="s">
        <v>14</v>
      </c>
      <c r="D40" s="371" t="str">
        <f>IF(ISERROR(#REF!), " ", IF(G51="By weight",#REF!,#REF!))</f>
        <v xml:space="preserve"> </v>
      </c>
      <c r="E40" s="351"/>
      <c r="F40" s="351"/>
      <c r="G40" s="1080"/>
      <c r="H40" s="1095"/>
      <c r="I40" s="1086"/>
      <c r="J40" s="1075" t="str">
        <f>IF(COUNTIF('1.General_Info'!D9:J9,"Manufacturing*")=1,"Note: The calculator does not include average recycling composition for Manufacturing.  Please enter the makeup of your recycling by material BY WEIGHT.",IF('1.General_Info'!D9='1.General_Info'!AC18,"Note: The calculator does not include average recycling composition for Hotels-Small.  Please enter the makeup of your recycling by material BY WEIGHT.","Tip:  If you would like to change the makeup of all of your recycling (all containers combined) instead of using the average makeup for your business type on the left."&amp;" Please choose below  whether to evaluate this makeup by weight or  by volume."
))</f>
        <v>Tip:  If you would like to change the makeup of all of your recycling (all containers combined) instead of using the average makeup for your business type on the left. Please choose below  whether to evaluate this makeup by weight or  by volume.</v>
      </c>
      <c r="K40" s="1076"/>
      <c r="L40" s="1077"/>
      <c r="M40" s="45"/>
      <c r="N40" s="45"/>
      <c r="O40" s="45"/>
      <c r="P40" s="45"/>
      <c r="Q40" s="45"/>
      <c r="R40" s="45"/>
      <c r="S40" s="45"/>
      <c r="T40" s="495">
        <f xml:space="preserve"> IF($G$51="By weight", G40,#REF!)</f>
        <v>0</v>
      </c>
      <c r="U40" s="45"/>
      <c r="V40" s="45"/>
    </row>
    <row r="41" spans="2:36" ht="18.75" customHeight="1" x14ac:dyDescent="0.25">
      <c r="B41" s="263"/>
      <c r="C41" s="410" t="s">
        <v>13</v>
      </c>
      <c r="D41" s="371" t="str">
        <f>IF(ISERROR(#REF!)," ",IF(G51="By weight",#REF!,#REF!))</f>
        <v xml:space="preserve"> </v>
      </c>
      <c r="E41" s="351"/>
      <c r="F41" s="351"/>
      <c r="G41" s="1080"/>
      <c r="H41" s="1095"/>
      <c r="I41" s="1086"/>
      <c r="J41" s="1075"/>
      <c r="K41" s="1076"/>
      <c r="L41" s="1077"/>
      <c r="M41" s="45"/>
      <c r="N41" s="496"/>
      <c r="O41" s="45"/>
      <c r="P41" s="45"/>
      <c r="Q41" s="45"/>
      <c r="R41" s="45"/>
      <c r="S41" s="45"/>
      <c r="T41" s="495">
        <f xml:space="preserve"> IF($G$51="By weight", G41,#REF!)</f>
        <v>0</v>
      </c>
      <c r="U41" s="45"/>
      <c r="V41" s="45"/>
      <c r="W41" s="45"/>
      <c r="X41" s="93" t="s">
        <v>198</v>
      </c>
      <c r="Y41" s="85"/>
    </row>
    <row r="42" spans="2:36" ht="18.75" customHeight="1" x14ac:dyDescent="0.25">
      <c r="B42" s="263"/>
      <c r="C42" s="411" t="s">
        <v>15</v>
      </c>
      <c r="D42" s="371" t="str">
        <f>IF(ISERROR(#REF!)," ",IF(G51="By weight",#REF!,#REF!))</f>
        <v xml:space="preserve"> </v>
      </c>
      <c r="E42" s="351"/>
      <c r="F42" s="356"/>
      <c r="G42" s="1080"/>
      <c r="H42" s="1081"/>
      <c r="I42" s="1082"/>
      <c r="J42" s="1075"/>
      <c r="K42" s="1076"/>
      <c r="L42" s="1077"/>
      <c r="M42" s="45"/>
      <c r="N42" s="497"/>
      <c r="O42" s="45"/>
      <c r="P42" s="45"/>
      <c r="Q42" s="45"/>
      <c r="R42" s="45"/>
      <c r="S42" s="45"/>
      <c r="T42" s="495">
        <f xml:space="preserve"> IF($G$51="By weight", G42,#REF!)</f>
        <v>0</v>
      </c>
      <c r="U42" s="45"/>
      <c r="V42" s="45"/>
      <c r="W42" s="45"/>
      <c r="X42" s="107" t="str">
        <f>IF(W10=2, AH54, IF(X10=1, D27, K31))</f>
        <v xml:space="preserve"> </v>
      </c>
      <c r="Y42" s="85"/>
      <c r="Z42" s="108"/>
    </row>
    <row r="43" spans="2:36" ht="18.75" customHeight="1" x14ac:dyDescent="0.25">
      <c r="B43" s="263"/>
      <c r="C43" s="411" t="s">
        <v>16</v>
      </c>
      <c r="D43" s="371" t="str">
        <f>IF(ISERROR(#REF!)," ",IF(G51="By weight",#REF!,#REF!))</f>
        <v xml:space="preserve"> </v>
      </c>
      <c r="E43" s="351"/>
      <c r="F43" s="351"/>
      <c r="G43" s="1080"/>
      <c r="H43" s="1081"/>
      <c r="I43" s="1082"/>
      <c r="J43" s="1075"/>
      <c r="K43" s="1076"/>
      <c r="L43" s="1077"/>
      <c r="M43" s="45"/>
      <c r="N43" s="45"/>
      <c r="O43" s="45"/>
      <c r="P43" s="45"/>
      <c r="Q43" s="45"/>
      <c r="R43" s="45"/>
      <c r="S43" s="45"/>
      <c r="T43" s="495">
        <f xml:space="preserve"> IF($G$51="By weight", G43,#REF!)</f>
        <v>0</v>
      </c>
      <c r="U43" s="45"/>
      <c r="V43" s="45"/>
      <c r="X43" s="220" t="s">
        <v>233</v>
      </c>
    </row>
    <row r="44" spans="2:36" ht="18.75" customHeight="1" x14ac:dyDescent="0.25">
      <c r="B44" s="263"/>
      <c r="C44" s="411" t="s">
        <v>17</v>
      </c>
      <c r="D44" s="371" t="str">
        <f>IF(ISERROR(#REF!)," ",IF(G51="By weight",#REF!,#REF!))</f>
        <v xml:space="preserve"> </v>
      </c>
      <c r="E44" s="351"/>
      <c r="F44" s="351"/>
      <c r="G44" s="1080"/>
      <c r="H44" s="1081"/>
      <c r="I44" s="1082"/>
      <c r="J44" s="1075"/>
      <c r="K44" s="1076"/>
      <c r="L44" s="1077"/>
      <c r="M44" s="45"/>
      <c r="N44" s="45"/>
      <c r="O44" s="45"/>
      <c r="P44" s="45"/>
      <c r="Q44" s="45"/>
      <c r="R44" s="45"/>
      <c r="S44" s="45"/>
      <c r="T44" s="495">
        <f xml:space="preserve"> IF($G$51="By weight", G44,#REF!)</f>
        <v>0</v>
      </c>
      <c r="U44" s="45"/>
      <c r="V44" s="45"/>
      <c r="X44" s="108" t="e">
        <f>-#REF!*#REF!</f>
        <v>#REF!</v>
      </c>
    </row>
    <row r="45" spans="2:36" ht="18.75" customHeight="1" x14ac:dyDescent="0.25">
      <c r="B45" s="263"/>
      <c r="C45" s="411" t="s">
        <v>18</v>
      </c>
      <c r="D45" s="371" t="str">
        <f>IF(ISERROR(#REF!)," ",IF(G51="By weight",#REF!,#REF!))</f>
        <v xml:space="preserve"> </v>
      </c>
      <c r="E45" s="351"/>
      <c r="F45" s="351"/>
      <c r="G45" s="1080"/>
      <c r="H45" s="1081"/>
      <c r="I45" s="1082"/>
      <c r="J45" s="1075"/>
      <c r="K45" s="1076"/>
      <c r="L45" s="1077"/>
      <c r="M45" s="45"/>
      <c r="N45" s="45"/>
      <c r="O45" s="45"/>
      <c r="P45" s="45"/>
      <c r="Q45" s="45"/>
      <c r="R45" s="45"/>
      <c r="S45" s="45"/>
      <c r="T45" s="495">
        <f xml:space="preserve"> IF($G$51="By weight", G45,#REF!)</f>
        <v>0</v>
      </c>
      <c r="U45" s="45"/>
      <c r="V45" s="45"/>
      <c r="X45" s="45"/>
      <c r="Y45" s="45"/>
    </row>
    <row r="46" spans="2:36" ht="18.75" customHeight="1" x14ac:dyDescent="0.25">
      <c r="B46" s="263"/>
      <c r="C46" s="411" t="s">
        <v>19</v>
      </c>
      <c r="D46" s="371" t="str">
        <f>IF(ISERROR(#REF!)," ",IF(G51="By weight",#REF!,#REF!))</f>
        <v xml:space="preserve"> </v>
      </c>
      <c r="E46" s="351"/>
      <c r="F46" s="351"/>
      <c r="G46" s="1080"/>
      <c r="H46" s="1081"/>
      <c r="I46" s="1082"/>
      <c r="J46" s="274" t="s">
        <v>269</v>
      </c>
      <c r="K46" s="18"/>
      <c r="L46" s="264"/>
      <c r="M46" s="45"/>
      <c r="N46" s="45"/>
      <c r="O46" s="45"/>
      <c r="P46" s="45"/>
      <c r="Q46" s="45"/>
      <c r="R46" s="45"/>
      <c r="S46" s="45"/>
      <c r="T46" s="495">
        <f xml:space="preserve"> IF($G$51="By weight", G46,#REF!)</f>
        <v>0</v>
      </c>
      <c r="U46" s="45"/>
      <c r="V46" s="45"/>
      <c r="X46" s="109"/>
      <c r="Y46" s="21" t="s">
        <v>182</v>
      </c>
      <c r="Z46" s="85"/>
      <c r="AA46" s="45" t="s">
        <v>203</v>
      </c>
      <c r="AB46" s="220" t="s">
        <v>12</v>
      </c>
      <c r="AC46" s="220" t="s">
        <v>204</v>
      </c>
      <c r="AD46" s="220" t="s">
        <v>24</v>
      </c>
      <c r="AE46" s="220" t="s">
        <v>205</v>
      </c>
      <c r="AF46" s="220" t="s">
        <v>431</v>
      </c>
      <c r="AG46" s="220" t="s">
        <v>208</v>
      </c>
      <c r="AH46" s="220" t="s">
        <v>209</v>
      </c>
      <c r="AI46" s="220" t="s">
        <v>176</v>
      </c>
    </row>
    <row r="47" spans="2:36" ht="18.75" customHeight="1" x14ac:dyDescent="0.25">
      <c r="B47" s="263"/>
      <c r="C47" s="410" t="s">
        <v>357</v>
      </c>
      <c r="D47" s="371" t="str">
        <f>IF(ISERROR(#REF!)," ",IF(G51="By weight",#REF!,#REF!))</f>
        <v xml:space="preserve"> </v>
      </c>
      <c r="E47" s="351"/>
      <c r="F47" s="351"/>
      <c r="G47" s="1080"/>
      <c r="H47" s="1081"/>
      <c r="I47" s="1082"/>
      <c r="J47" s="1104" t="s">
        <v>270</v>
      </c>
      <c r="K47" s="1105"/>
      <c r="L47" s="1106"/>
      <c r="M47" s="45"/>
      <c r="N47" s="45"/>
      <c r="O47" s="45"/>
      <c r="P47" s="45"/>
      <c r="Q47" s="45"/>
      <c r="R47" s="45"/>
      <c r="S47" s="45"/>
      <c r="T47" s="495">
        <f xml:space="preserve"> IF($G$51="By weight", G47,#REF!)</f>
        <v>0</v>
      </c>
      <c r="U47" s="45"/>
      <c r="V47" s="45"/>
      <c r="X47" s="66"/>
      <c r="Y47" s="45" t="s">
        <v>130</v>
      </c>
      <c r="Z47" s="220" t="s">
        <v>187</v>
      </c>
      <c r="AC47" s="67"/>
      <c r="AJ47" s="220" t="s">
        <v>359</v>
      </c>
    </row>
    <row r="48" spans="2:36" ht="18.75" customHeight="1" x14ac:dyDescent="0.25">
      <c r="B48" s="263"/>
      <c r="C48" s="411" t="s">
        <v>104</v>
      </c>
      <c r="D48" s="371" t="str">
        <f>IF(ISERROR(#REF!)," ",IF(G51="By weight",#REF!,#REF!))</f>
        <v xml:space="preserve"> </v>
      </c>
      <c r="E48" s="351"/>
      <c r="F48" s="351"/>
      <c r="G48" s="1080"/>
      <c r="H48" s="1081"/>
      <c r="I48" s="1082"/>
      <c r="J48" s="18"/>
      <c r="K48" s="18"/>
      <c r="L48" s="264"/>
      <c r="M48" s="45"/>
      <c r="N48" s="45"/>
      <c r="O48" s="45"/>
      <c r="P48" s="45"/>
      <c r="Q48" s="45"/>
      <c r="R48" s="45"/>
      <c r="S48" s="45"/>
      <c r="T48" s="495">
        <f xml:space="preserve"> IF($G$51="By weight", G48,#REF!)</f>
        <v>0</v>
      </c>
      <c r="U48" s="45"/>
      <c r="V48" s="45"/>
      <c r="X48" s="220" t="s">
        <v>161</v>
      </c>
      <c r="Y48" s="102">
        <f>IF(L13='2.Current_Trash'!Y20,K13,IF(L13='2.Current_Trash'!Y19,K13/#REF!,0))</f>
        <v>0</v>
      </c>
      <c r="Z48" s="220" t="str">
        <f>K11</f>
        <v>(select from list)</v>
      </c>
      <c r="AA48" s="220" t="e">
        <f>IF(Z48=$X$63,#REF!, INDEX(#REF!, MATCH( Z48,#REF!, 0), 5))</f>
        <v>#REF!</v>
      </c>
      <c r="AB48" s="220" t="e">
        <f t="shared" ref="AB48:AB53" si="2">Y48*AA48/2000</f>
        <v>#REF!</v>
      </c>
      <c r="AC48" s="129" t="str">
        <f>K20</f>
        <v/>
      </c>
      <c r="AD48" s="220" t="e">
        <f>INDEX(#REF!, MATCH(Z48,#REF!, 0), 6)</f>
        <v>#REF!</v>
      </c>
      <c r="AE48" s="130" t="e">
        <f>IF(Z48=$X$63, SUM(#REF!), AC48*AD48)</f>
        <v>#VALUE!</v>
      </c>
      <c r="AF48" s="220" t="e">
        <f>IF(OR('3.Current_Recycling'!Z48&lt;&gt;'3.Current_Recycling'!$X$69, '3.Current_Recycling'!Z48&lt;&gt;'3.Current_Recycling'!$X$70, '3.Current_Recycling'!Z48&lt;&gt;'3.Current_Recycling'!$X$72), IF('9.CustomRates'!$U$14, '9.CustomRates'!BO19, '3.Current_Recycling'!AE48), IF('9.CustomRates'!$V$14, '9.CustomRates'!BO19, 0))</f>
        <v>#VALUE!</v>
      </c>
      <c r="AG48" s="220">
        <f t="shared" ref="AG48:AG53" si="3">IF(ISERROR(AF48), 0, AF48)</f>
        <v>0</v>
      </c>
      <c r="AH48" s="220" t="str">
        <f>IF(X10=1, D27, K31)</f>
        <v xml:space="preserve"> </v>
      </c>
      <c r="AI48" s="220" t="e">
        <f t="shared" ref="AI48:AI53" si="4">AH48/AC48</f>
        <v>#VALUE!</v>
      </c>
      <c r="AJ48" s="220">
        <f>IF(K17="yes", K18, 1)</f>
        <v>1</v>
      </c>
    </row>
    <row r="49" spans="2:36" ht="18.75" customHeight="1" x14ac:dyDescent="0.25">
      <c r="B49" s="263"/>
      <c r="C49" s="410" t="s">
        <v>196</v>
      </c>
      <c r="D49" s="506" t="str">
        <f>IF(D40=" "," ",SUM(D40:D48))</f>
        <v xml:space="preserve"> </v>
      </c>
      <c r="E49" s="18"/>
      <c r="F49" s="18"/>
      <c r="G49" s="1096" t="str">
        <f>IF(Y10=2, SUM(G40:I48), "")</f>
        <v/>
      </c>
      <c r="H49" s="1096"/>
      <c r="I49" s="1096"/>
      <c r="J49" s="1078" t="str">
        <f>IF(AND(Y10=2, SUM(G40:I48)&lt;&gt;1), "Error: please enter a composition that totals 100%", "")</f>
        <v/>
      </c>
      <c r="K49" s="1078"/>
      <c r="L49" s="1079"/>
      <c r="M49" s="45"/>
      <c r="N49" s="45"/>
      <c r="O49" s="45"/>
      <c r="P49" s="45"/>
      <c r="Q49" s="45"/>
      <c r="R49" s="45"/>
      <c r="S49" s="45"/>
      <c r="T49" s="45"/>
      <c r="U49" s="45"/>
      <c r="V49" s="45"/>
      <c r="X49" s="66" t="s">
        <v>162</v>
      </c>
      <c r="Y49" s="45">
        <f>IF(E75='2.Current_Trash'!AH48,D75,IF(E75='2.Current_Trash'!AH47,D75/#REF!,0))</f>
        <v>0</v>
      </c>
      <c r="Z49" s="220" t="str">
        <f>D73</f>
        <v>(select from list)</v>
      </c>
      <c r="AA49" s="220" t="e">
        <f>IF(Z49=$X$63,#REF!, INDEX(#REF!, MATCH( Z49,#REF!, 0), 5))</f>
        <v>#REF!</v>
      </c>
      <c r="AB49" s="220" t="e">
        <f t="shared" si="2"/>
        <v>#REF!</v>
      </c>
      <c r="AC49" s="129" t="str">
        <f>D82</f>
        <v/>
      </c>
      <c r="AD49" s="220" t="e">
        <f>INDEX(#REF!, MATCH(Z49,#REF!, 0), 6)</f>
        <v>#REF!</v>
      </c>
      <c r="AE49" s="130" t="e">
        <f>IF(Z49=$X$63, SUM(#REF!), AC49*AD49)</f>
        <v>#VALUE!</v>
      </c>
      <c r="AF49" s="220" t="e">
        <f>IF(OR('3.Current_Recycling'!Z49&lt;&gt;'3.Current_Recycling'!$X$69, '3.Current_Recycling'!Z49&lt;&gt;'3.Current_Recycling'!$X$70, '3.Current_Recycling'!Z49&lt;&gt;'3.Current_Recycling'!$X$72), IF('9.CustomRates'!$U$14, '9.CustomRates'!BO20, '3.Current_Recycling'!AE49), IF('9.CustomRates'!$V$14, '9.CustomRates'!BO20, 0))</f>
        <v>#VALUE!</v>
      </c>
      <c r="AG49" s="220">
        <f t="shared" si="3"/>
        <v>0</v>
      </c>
      <c r="AH49" s="220" t="str">
        <f>IF(ISBLANK(D85), D84, D86)</f>
        <v/>
      </c>
      <c r="AI49" s="220" t="e">
        <f t="shared" si="4"/>
        <v>#VALUE!</v>
      </c>
      <c r="AJ49" s="220">
        <f>IF(D79="yes", D80, 1)</f>
        <v>1</v>
      </c>
    </row>
    <row r="50" spans="2:36" ht="18.75" customHeight="1" x14ac:dyDescent="0.25">
      <c r="B50" s="263"/>
      <c r="C50" s="410"/>
      <c r="D50" s="370"/>
      <c r="E50" s="18"/>
      <c r="F50" s="18"/>
      <c r="G50" s="487"/>
      <c r="H50" s="487"/>
      <c r="I50" s="487"/>
      <c r="J50" s="1078"/>
      <c r="K50" s="1078"/>
      <c r="L50" s="1079"/>
      <c r="M50" s="45"/>
      <c r="N50" s="45"/>
      <c r="O50" s="45"/>
      <c r="P50" s="45"/>
      <c r="Q50" s="45"/>
      <c r="R50" s="45"/>
      <c r="S50" s="45"/>
      <c r="T50" s="45"/>
      <c r="U50" s="45"/>
      <c r="V50" s="45"/>
      <c r="X50" s="66" t="s">
        <v>163</v>
      </c>
      <c r="Y50" s="45">
        <f>IF(H75='2.Current_Trash'!AH48,F75,IF(H75='2.Current_Trash'!AH47,F75/#REF!,0))</f>
        <v>0</v>
      </c>
      <c r="Z50" s="220" t="str">
        <f>F73</f>
        <v>(select from list)</v>
      </c>
      <c r="AA50" s="220" t="e">
        <f>IF(Z50=$X$63,#REF!, INDEX(#REF!, MATCH( Z50,#REF!, 0), 5))</f>
        <v>#REF!</v>
      </c>
      <c r="AB50" s="220" t="e">
        <f t="shared" si="2"/>
        <v>#REF!</v>
      </c>
      <c r="AC50" s="129" t="str">
        <f>F82</f>
        <v/>
      </c>
      <c r="AD50" s="220" t="e">
        <f>INDEX(#REF!, MATCH(Z50,#REF!, 0), 6)</f>
        <v>#REF!</v>
      </c>
      <c r="AE50" s="130" t="e">
        <f>IF(Z50=$X$63, SUM(#REF!), AC50*AD50)</f>
        <v>#VALUE!</v>
      </c>
      <c r="AF50" s="220" t="e">
        <f>IF(OR('3.Current_Recycling'!Z50&lt;&gt;'3.Current_Recycling'!$X$69, '3.Current_Recycling'!Z50&lt;&gt;'3.Current_Recycling'!$X$70, '3.Current_Recycling'!Z50&lt;&gt;'3.Current_Recycling'!$X$72), IF('9.CustomRates'!$U$14, '9.CustomRates'!BO21, '3.Current_Recycling'!AE50), IF('9.CustomRates'!$V$14, '9.CustomRates'!BO21, 0))</f>
        <v>#VALUE!</v>
      </c>
      <c r="AG50" s="220">
        <f t="shared" si="3"/>
        <v>0</v>
      </c>
      <c r="AH50" s="220" t="str">
        <f>IF(ISBLANK(F85), F84, F86)</f>
        <v/>
      </c>
      <c r="AI50" s="220" t="e">
        <f t="shared" si="4"/>
        <v>#VALUE!</v>
      </c>
      <c r="AJ50" s="220">
        <f>IF(F79="yes", F80, 1)</f>
        <v>1</v>
      </c>
    </row>
    <row r="51" spans="2:36" ht="18.75" customHeight="1" x14ac:dyDescent="0.25">
      <c r="B51" s="263"/>
      <c r="C51" s="1102" t="s">
        <v>495</v>
      </c>
      <c r="D51" s="1102"/>
      <c r="E51" s="1102"/>
      <c r="F51" s="1102"/>
      <c r="G51" s="1048" t="s">
        <v>492</v>
      </c>
      <c r="H51" s="1049"/>
      <c r="I51" s="1050"/>
      <c r="J51" s="498"/>
      <c r="K51" s="498"/>
      <c r="L51" s="499"/>
      <c r="M51" s="45"/>
      <c r="N51" s="45"/>
      <c r="O51" s="45"/>
      <c r="P51" s="45"/>
      <c r="Q51" s="45"/>
      <c r="R51" s="45"/>
      <c r="S51" s="45"/>
      <c r="T51" s="45"/>
      <c r="U51" s="45"/>
      <c r="V51" s="45"/>
      <c r="X51" s="66" t="s">
        <v>164</v>
      </c>
      <c r="Y51" s="45">
        <f>IF(K75='2.Current_Trash'!AH48,J75,IF(K75='2.Current_Trash'!AH47,J75/#REF!,0))</f>
        <v>0</v>
      </c>
      <c r="Z51" s="220" t="str">
        <f>J73</f>
        <v>(select from list)</v>
      </c>
      <c r="AA51" s="220" t="e">
        <f>IF(Z51=$X$63,#REF!, INDEX(#REF!, MATCH( Z51,#REF!, 0), 5))</f>
        <v>#REF!</v>
      </c>
      <c r="AB51" s="220" t="e">
        <f t="shared" si="2"/>
        <v>#REF!</v>
      </c>
      <c r="AC51" s="129" t="str">
        <f>J82</f>
        <v/>
      </c>
      <c r="AD51" s="220" t="e">
        <f>INDEX(#REF!, MATCH(Z51,#REF!, 0), 6)</f>
        <v>#REF!</v>
      </c>
      <c r="AE51" s="130" t="e">
        <f>IF(Z51=$X$63, SUM(#REF!), AC51*AD51)</f>
        <v>#VALUE!</v>
      </c>
      <c r="AF51" s="220" t="e">
        <f>IF(OR('3.Current_Recycling'!Z51&lt;&gt;'3.Current_Recycling'!$X$69, '3.Current_Recycling'!Z51&lt;&gt;'3.Current_Recycling'!$X$70, '3.Current_Recycling'!Z51&lt;&gt;'3.Current_Recycling'!$X$72), IF('9.CustomRates'!$U$14, '9.CustomRates'!BO22, '3.Current_Recycling'!AE51), IF('9.CustomRates'!$V$14, '9.CustomRates'!BO22, 0))</f>
        <v>#VALUE!</v>
      </c>
      <c r="AG51" s="220">
        <f t="shared" si="3"/>
        <v>0</v>
      </c>
      <c r="AH51" s="220" t="str">
        <f>IF(ISBLANK(J85), J84, J86)</f>
        <v/>
      </c>
      <c r="AI51" s="220" t="e">
        <f t="shared" si="4"/>
        <v>#VALUE!</v>
      </c>
      <c r="AJ51" s="220">
        <f>IF(J79="yes", J80, 1)</f>
        <v>1</v>
      </c>
    </row>
    <row r="52" spans="2:36" ht="18.75" customHeight="1" thickBot="1" x14ac:dyDescent="0.3">
      <c r="B52" s="265"/>
      <c r="C52" s="1103"/>
      <c r="D52" s="1103"/>
      <c r="E52" s="1103"/>
      <c r="F52" s="1103"/>
      <c r="G52" s="266"/>
      <c r="H52" s="266"/>
      <c r="I52" s="266"/>
      <c r="J52" s="500"/>
      <c r="K52" s="500"/>
      <c r="L52" s="501"/>
      <c r="M52" s="45"/>
      <c r="N52" s="45"/>
      <c r="O52" s="45"/>
      <c r="P52" s="45"/>
      <c r="Q52" s="45"/>
      <c r="R52" s="45"/>
      <c r="S52" s="45"/>
      <c r="T52" s="45"/>
      <c r="U52" s="45"/>
      <c r="V52" s="45"/>
      <c r="X52" s="66" t="s">
        <v>165</v>
      </c>
      <c r="Y52" s="45">
        <f>IF(M75='2.Current_Trash'!AH48,L75,IF(M75='2.Current_Trash'!AH47,L75/#REF!,0))</f>
        <v>0</v>
      </c>
      <c r="Z52" s="220" t="str">
        <f>L73</f>
        <v>(select from list)</v>
      </c>
      <c r="AA52" s="220" t="e">
        <f>IF(Z52=$X$63,#REF!, INDEX(#REF!, MATCH( Z52,#REF!, 0), 5))</f>
        <v>#REF!</v>
      </c>
      <c r="AB52" s="220" t="e">
        <f t="shared" si="2"/>
        <v>#REF!</v>
      </c>
      <c r="AC52" s="129" t="str">
        <f>L82</f>
        <v/>
      </c>
      <c r="AD52" s="220" t="e">
        <f>INDEX(#REF!, MATCH(Z52,#REF!, 0), 6)</f>
        <v>#REF!</v>
      </c>
      <c r="AE52" s="130" t="e">
        <f>IF(Z52=$X$63, SUM(#REF!), AC52*AD52)</f>
        <v>#VALUE!</v>
      </c>
      <c r="AF52" s="220" t="e">
        <f>IF(OR('3.Current_Recycling'!Z52&lt;&gt;'3.Current_Recycling'!$X$69, '3.Current_Recycling'!Z52&lt;&gt;'3.Current_Recycling'!$X$70, '3.Current_Recycling'!Z52&lt;&gt;'3.Current_Recycling'!$X$72), IF('9.CustomRates'!$U$14, '9.CustomRates'!BO23, '3.Current_Recycling'!AE52), IF('9.CustomRates'!$V$14, '9.CustomRates'!BO23, 0))</f>
        <v>#VALUE!</v>
      </c>
      <c r="AG52" s="220">
        <f t="shared" si="3"/>
        <v>0</v>
      </c>
      <c r="AH52" s="220" t="str">
        <f>IF(ISBLANK(L85), L84, L86)</f>
        <v/>
      </c>
      <c r="AI52" s="220" t="e">
        <f t="shared" si="4"/>
        <v>#VALUE!</v>
      </c>
      <c r="AJ52" s="220">
        <f>IF(L79="yes", L80, 1)</f>
        <v>1</v>
      </c>
    </row>
    <row r="53" spans="2:36" ht="10.5" customHeight="1" x14ac:dyDescent="0.25">
      <c r="C53" s="224"/>
      <c r="D53" s="224"/>
      <c r="E53" s="224"/>
      <c r="F53" s="224"/>
      <c r="G53" s="224"/>
      <c r="H53" s="224"/>
      <c r="I53" s="224"/>
      <c r="J53" s="224"/>
      <c r="K53" s="224"/>
      <c r="L53" s="45"/>
      <c r="M53" s="45"/>
      <c r="N53" s="45"/>
      <c r="O53" s="45"/>
      <c r="P53" s="45"/>
      <c r="Q53" s="45"/>
      <c r="R53" s="45"/>
      <c r="S53" s="45"/>
      <c r="T53" s="45"/>
      <c r="U53" s="45"/>
      <c r="V53" s="45"/>
      <c r="X53" s="68" t="s">
        <v>363</v>
      </c>
      <c r="Y53" s="69">
        <f>IF(O75='2.Current_Trash'!AH48,N75,IF(O75='2.Current_Trash'!AH47,N75/#REF!,0))</f>
        <v>0</v>
      </c>
      <c r="Z53" s="220" t="str">
        <f>N73</f>
        <v>(select from list)</v>
      </c>
      <c r="AA53" s="220" t="e">
        <f>IF(Z53=$X$63,#REF!, INDEX(#REF!, MATCH( Z53,#REF!, 0), 5))</f>
        <v>#REF!</v>
      </c>
      <c r="AB53" s="220" t="e">
        <f t="shared" si="2"/>
        <v>#REF!</v>
      </c>
      <c r="AC53" s="129" t="str">
        <f>N82</f>
        <v/>
      </c>
      <c r="AD53" s="220" t="e">
        <f>INDEX(#REF!, MATCH(Z53,#REF!, 0), 6)</f>
        <v>#REF!</v>
      </c>
      <c r="AE53" s="130" t="e">
        <f>IF(Z53=$X$63, SUM(#REF!), AC53*AD53)</f>
        <v>#VALUE!</v>
      </c>
      <c r="AF53" s="220" t="e">
        <f>IF(OR('3.Current_Recycling'!Z53&lt;&gt;'3.Current_Recycling'!$X$69, '3.Current_Recycling'!Z53&lt;&gt;'3.Current_Recycling'!$X$70, '3.Current_Recycling'!Z53&lt;&gt;'3.Current_Recycling'!$X$72), IF('9.CustomRates'!$U$14, '9.CustomRates'!BO24, '3.Current_Recycling'!AE53), IF('9.CustomRates'!$V$14, '9.CustomRates'!BO24, 0))</f>
        <v>#VALUE!</v>
      </c>
      <c r="AG53" s="220">
        <f t="shared" si="3"/>
        <v>0</v>
      </c>
      <c r="AH53" s="220" t="str">
        <f>IF(ISBLANK(N85), N84, N86)</f>
        <v/>
      </c>
      <c r="AI53" s="220" t="e">
        <f t="shared" si="4"/>
        <v>#VALUE!</v>
      </c>
      <c r="AJ53" s="220">
        <f>IF(N79="yes", N80, 1)</f>
        <v>1</v>
      </c>
    </row>
    <row r="54" spans="2:36" ht="18.75" customHeight="1" x14ac:dyDescent="0.25">
      <c r="B54" s="220" t="s">
        <v>271</v>
      </c>
      <c r="C54" s="224"/>
      <c r="D54" s="224"/>
      <c r="E54" s="224"/>
      <c r="F54" s="224"/>
      <c r="G54" s="224"/>
      <c r="H54" s="224"/>
      <c r="I54" s="224"/>
      <c r="J54" s="224"/>
      <c r="K54" s="224"/>
      <c r="L54" s="45"/>
      <c r="M54" s="45"/>
      <c r="N54" s="45"/>
      <c r="O54" s="45"/>
      <c r="P54" s="45"/>
      <c r="Q54" s="45"/>
      <c r="R54" s="45"/>
      <c r="S54" s="45"/>
      <c r="T54" s="45"/>
      <c r="U54" s="45"/>
      <c r="V54" s="45"/>
      <c r="Z54" s="220" t="s">
        <v>196</v>
      </c>
      <c r="AC54" s="222">
        <f>SUM(AC48:AC53)</f>
        <v>0</v>
      </c>
      <c r="AE54" s="108"/>
      <c r="AF54" s="108"/>
      <c r="AG54" s="220">
        <f>SUM(AG48:AG53)</f>
        <v>0</v>
      </c>
      <c r="AH54" s="220">
        <f>SUM(AH48:AH53)</f>
        <v>0</v>
      </c>
      <c r="AI54" s="220">
        <f>SUM(AH48:AH53)</f>
        <v>0</v>
      </c>
    </row>
    <row r="55" spans="2:36" ht="10.5" customHeight="1" x14ac:dyDescent="0.25">
      <c r="O55" s="45"/>
      <c r="P55" s="45"/>
      <c r="Q55" s="45"/>
      <c r="R55" s="45"/>
      <c r="S55" s="45"/>
      <c r="T55" s="45"/>
      <c r="U55" s="45"/>
      <c r="V55" s="45"/>
      <c r="AC55" s="222"/>
      <c r="AE55" s="108"/>
      <c r="AF55" s="108"/>
    </row>
    <row r="56" spans="2:36" ht="18.75" customHeight="1" x14ac:dyDescent="0.25">
      <c r="B56" s="166" t="s">
        <v>515</v>
      </c>
      <c r="C56" s="21"/>
      <c r="D56" s="21"/>
      <c r="E56" s="21"/>
      <c r="F56" s="21"/>
      <c r="G56" s="21"/>
      <c r="H56" s="21"/>
      <c r="I56" s="21"/>
      <c r="J56" s="21"/>
      <c r="K56" s="21"/>
      <c r="L56" s="21"/>
      <c r="M56" s="21"/>
      <c r="N56" s="21"/>
      <c r="O56" s="21"/>
      <c r="P56" s="21"/>
      <c r="Q56" s="21"/>
      <c r="R56" s="21"/>
      <c r="S56" s="45"/>
      <c r="T56" s="45"/>
      <c r="U56" s="45"/>
      <c r="V56" s="45"/>
    </row>
    <row r="57" spans="2:36" ht="24" customHeight="1" x14ac:dyDescent="0.25">
      <c r="B57" s="208"/>
      <c r="C57" s="220" t="str">
        <f>IF(U8=0, "No, information is missing on General Info tab", IF(SUM(U8:U14)=6, "Yes. Please proceed to the next question below.", ""))</f>
        <v>No, information is missing on General Info tab</v>
      </c>
      <c r="D57" s="45"/>
      <c r="E57" s="45"/>
      <c r="F57" s="45"/>
      <c r="G57" s="45"/>
      <c r="H57" s="45"/>
      <c r="I57" s="45"/>
      <c r="J57" s="45"/>
      <c r="K57" s="220" t="str">
        <f>IF(U13=0, "No, changed makeup of trash must add to 100%", "")</f>
        <v/>
      </c>
      <c r="M57" s="45"/>
      <c r="N57" s="45"/>
      <c r="O57" s="45"/>
      <c r="P57" s="45"/>
      <c r="Q57" s="45"/>
      <c r="R57" s="45"/>
      <c r="S57" s="45"/>
      <c r="T57" s="45"/>
      <c r="U57" s="45"/>
      <c r="V57" s="45"/>
      <c r="X57" s="45"/>
    </row>
    <row r="58" spans="2:36" ht="24" customHeight="1" x14ac:dyDescent="0.25">
      <c r="B58" s="208"/>
      <c r="C58" s="220" t="str">
        <f>IF(U12=0, "No, to use actual cost, enter information in cells K27:K29", "")</f>
        <v/>
      </c>
      <c r="D58" s="45"/>
      <c r="E58" s="45"/>
      <c r="F58" s="45"/>
      <c r="G58" s="45"/>
      <c r="H58" s="45"/>
      <c r="I58" s="45"/>
      <c r="J58" s="45"/>
      <c r="K58" s="220" t="str">
        <f>IF(U11=0, "No, to estimate using trash amount from cost, enter cost in cell K25", "")</f>
        <v/>
      </c>
      <c r="M58" s="45"/>
      <c r="N58" s="45"/>
      <c r="O58" s="45"/>
      <c r="P58" s="45"/>
      <c r="Q58" s="45"/>
      <c r="R58" s="45"/>
      <c r="S58" s="45"/>
      <c r="T58" s="45"/>
      <c r="U58" s="45"/>
      <c r="V58" s="45"/>
    </row>
    <row r="59" spans="2:36" ht="24" customHeight="1" x14ac:dyDescent="0.25">
      <c r="B59" s="208"/>
      <c r="C59" s="220" t="str">
        <f>IF(U10=0, "No, to estimate amount using using information about containers and pickups, enter information in cells K11:L118", "")</f>
        <v/>
      </c>
      <c r="O59" s="45"/>
      <c r="P59" s="45"/>
      <c r="Q59" s="45"/>
      <c r="R59" s="45"/>
      <c r="S59" s="45"/>
      <c r="T59" s="45"/>
      <c r="U59" s="45"/>
      <c r="V59" s="45"/>
    </row>
    <row r="60" spans="2:36" ht="24" customHeight="1" x14ac:dyDescent="0.25">
      <c r="B60" s="208"/>
      <c r="C60" s="220" t="str">
        <f>IF(U14=0, "You have selected that you do not currently have recycling on the General Info page. If you have recycling, please select a different option.", "")</f>
        <v>You have selected that you do not currently have recycling on the General Info page. If you have recycling, please select a different option.</v>
      </c>
      <c r="O60" s="45"/>
      <c r="P60" s="45"/>
      <c r="Q60" s="45"/>
      <c r="R60" s="45"/>
      <c r="S60" s="45"/>
      <c r="T60" s="45"/>
      <c r="U60" s="45"/>
      <c r="V60" s="45"/>
    </row>
    <row r="61" spans="2:36" ht="18.75" customHeight="1" x14ac:dyDescent="0.25">
      <c r="B61" s="166" t="s">
        <v>457</v>
      </c>
      <c r="C61" s="21"/>
      <c r="D61" s="21"/>
      <c r="E61" s="21"/>
      <c r="F61" s="21"/>
      <c r="G61" s="21"/>
      <c r="H61" s="21"/>
      <c r="I61" s="21"/>
      <c r="J61" s="21"/>
      <c r="K61" s="21"/>
      <c r="L61" s="21"/>
      <c r="M61" s="21"/>
      <c r="N61" s="21"/>
      <c r="O61" s="21"/>
      <c r="P61" s="21"/>
      <c r="Q61" s="21"/>
      <c r="R61" s="21"/>
      <c r="S61" s="45"/>
      <c r="T61" s="45"/>
      <c r="U61" s="45"/>
      <c r="V61" s="45"/>
      <c r="X61" s="220" t="s">
        <v>187</v>
      </c>
      <c r="Z61" s="220" t="s">
        <v>12</v>
      </c>
    </row>
    <row r="62" spans="2:36" ht="24" customHeight="1" x14ac:dyDescent="0.25">
      <c r="B62" s="208"/>
      <c r="C62" s="177" t="s">
        <v>216</v>
      </c>
      <c r="D62" s="1051" t="s">
        <v>531</v>
      </c>
      <c r="E62" s="1051"/>
      <c r="F62" s="1051"/>
      <c r="G62" s="1051"/>
      <c r="H62" s="1051"/>
      <c r="I62" s="1051"/>
      <c r="J62" s="1051"/>
      <c r="K62" s="1051"/>
      <c r="L62" s="1051"/>
      <c r="M62" s="1051"/>
      <c r="N62" s="1051"/>
      <c r="O62" s="45"/>
      <c r="P62" s="45"/>
      <c r="Q62" s="45"/>
      <c r="R62" s="45"/>
      <c r="S62" s="45"/>
      <c r="T62" s="45"/>
      <c r="U62" s="45"/>
      <c r="V62" s="45"/>
      <c r="X62" s="45" t="s">
        <v>0</v>
      </c>
      <c r="Z62" s="220">
        <f>SUMIF($Z$48:$Z$53,X62, $AC$48:$AC$53)</f>
        <v>0</v>
      </c>
    </row>
    <row r="63" spans="2:36" ht="24" customHeight="1" x14ac:dyDescent="0.25">
      <c r="B63" s="208"/>
      <c r="C63" s="178"/>
      <c r="D63" s="45"/>
      <c r="E63" s="45"/>
      <c r="F63" s="45"/>
      <c r="G63" s="45"/>
      <c r="H63" s="45"/>
      <c r="I63" s="45"/>
      <c r="J63" s="45"/>
      <c r="K63" s="45"/>
      <c r="L63" s="45"/>
      <c r="M63" s="45"/>
      <c r="N63" s="45"/>
      <c r="O63" s="45"/>
      <c r="P63" s="45"/>
      <c r="Q63" s="45"/>
      <c r="R63" s="45"/>
      <c r="S63" s="45"/>
      <c r="T63" s="45"/>
      <c r="U63" s="45"/>
      <c r="V63" s="45"/>
      <c r="X63" s="220" t="s">
        <v>181</v>
      </c>
      <c r="Z63" s="220">
        <f>SUMIF($Z$48:$Z$53,X63, $AC$48:$AC$53)</f>
        <v>0</v>
      </c>
    </row>
    <row r="64" spans="2:36" ht="12.75" customHeight="1" x14ac:dyDescent="0.25">
      <c r="C64" s="177" t="s">
        <v>217</v>
      </c>
      <c r="D64" s="1029" t="s">
        <v>534</v>
      </c>
      <c r="E64" s="1029"/>
      <c r="F64" s="1029"/>
      <c r="G64" s="1029"/>
      <c r="H64" s="1029"/>
      <c r="I64" s="1029"/>
      <c r="J64" s="1029"/>
      <c r="K64" s="1029"/>
      <c r="L64" s="1029"/>
      <c r="M64" s="1101"/>
      <c r="S64" s="45"/>
      <c r="T64" s="45"/>
      <c r="U64" s="45"/>
      <c r="V64" s="45"/>
      <c r="X64" s="45" t="s">
        <v>13</v>
      </c>
      <c r="Z64" s="220">
        <f t="shared" ref="Z64:Z70" si="5">SUMIF($Z$48:$Z$53,X64, $AC$48:$AC$53)</f>
        <v>0</v>
      </c>
    </row>
    <row r="65" spans="2:29" ht="18.75" customHeight="1" x14ac:dyDescent="0.25">
      <c r="C65" s="177"/>
      <c r="D65" s="1029" t="s">
        <v>533</v>
      </c>
      <c r="E65" s="1029"/>
      <c r="F65" s="1029"/>
      <c r="G65" s="1029"/>
      <c r="H65" s="1029"/>
      <c r="I65" s="1029"/>
      <c r="J65" s="1029"/>
      <c r="K65" s="1029"/>
      <c r="L65" s="1029"/>
      <c r="O65" s="176"/>
      <c r="S65" s="45"/>
      <c r="U65" s="45"/>
      <c r="V65" s="45"/>
      <c r="X65" s="45" t="s">
        <v>14</v>
      </c>
      <c r="Z65" s="220">
        <f t="shared" si="5"/>
        <v>0</v>
      </c>
    </row>
    <row r="66" spans="2:29" ht="18.75" customHeight="1" x14ac:dyDescent="0.25">
      <c r="C66" s="177"/>
      <c r="S66" s="45"/>
      <c r="U66" s="45"/>
      <c r="V66" s="45"/>
      <c r="X66" s="45" t="s">
        <v>15</v>
      </c>
      <c r="Z66" s="220">
        <f t="shared" si="5"/>
        <v>0</v>
      </c>
    </row>
    <row r="67" spans="2:29" x14ac:dyDescent="0.25">
      <c r="B67" s="166" t="s">
        <v>458</v>
      </c>
      <c r="C67" s="21"/>
      <c r="D67" s="21"/>
      <c r="E67" s="21"/>
      <c r="F67" s="21"/>
      <c r="G67" s="21"/>
      <c r="H67" s="21"/>
      <c r="I67" s="21"/>
      <c r="J67" s="21"/>
      <c r="K67" s="21"/>
      <c r="L67" s="21"/>
      <c r="M67" s="21"/>
      <c r="N67" s="21"/>
      <c r="O67" s="21"/>
      <c r="P67" s="21"/>
      <c r="Q67" s="21"/>
      <c r="R67" s="21"/>
      <c r="U67" s="45"/>
      <c r="V67" s="45"/>
      <c r="X67" s="45" t="s">
        <v>16</v>
      </c>
      <c r="Z67" s="220">
        <f t="shared" si="5"/>
        <v>0</v>
      </c>
    </row>
    <row r="68" spans="2:29" ht="18.75" customHeight="1" thickBot="1" x14ac:dyDescent="0.3">
      <c r="K68" s="45"/>
      <c r="L68" s="45"/>
      <c r="M68" s="45"/>
      <c r="N68" s="45"/>
      <c r="O68" s="45"/>
      <c r="P68" s="45"/>
      <c r="Q68" s="45"/>
      <c r="R68" s="45"/>
      <c r="U68" s="45"/>
      <c r="V68" s="45"/>
      <c r="X68" s="45" t="s">
        <v>87</v>
      </c>
      <c r="Z68" s="220">
        <f t="shared" si="5"/>
        <v>0</v>
      </c>
    </row>
    <row r="69" spans="2:29" ht="18.75" customHeight="1" x14ac:dyDescent="0.3">
      <c r="B69" s="324" t="s">
        <v>473</v>
      </c>
      <c r="C69" s="325"/>
      <c r="D69" s="325"/>
      <c r="E69" s="325"/>
      <c r="F69" s="325"/>
      <c r="G69" s="325"/>
      <c r="H69" s="325"/>
      <c r="I69" s="325"/>
      <c r="J69" s="325"/>
      <c r="K69" s="325"/>
      <c r="L69" s="325"/>
      <c r="M69" s="325"/>
      <c r="N69" s="325"/>
      <c r="O69" s="325"/>
      <c r="P69" s="326"/>
      <c r="R69" s="45"/>
      <c r="U69" s="45"/>
      <c r="V69" s="45"/>
      <c r="X69" s="220" t="s">
        <v>88</v>
      </c>
      <c r="Z69" s="220">
        <f t="shared" si="5"/>
        <v>0</v>
      </c>
    </row>
    <row r="70" spans="2:29" x14ac:dyDescent="0.25">
      <c r="B70" s="278"/>
      <c r="C70" s="275"/>
      <c r="D70" s="59"/>
      <c r="E70" s="59"/>
      <c r="F70" s="59"/>
      <c r="G70" s="59"/>
      <c r="H70" s="59"/>
      <c r="I70" s="59"/>
      <c r="J70" s="59"/>
      <c r="K70" s="59"/>
      <c r="L70" s="59"/>
      <c r="M70" s="59"/>
      <c r="N70" s="59"/>
      <c r="O70" s="59"/>
      <c r="P70" s="279"/>
      <c r="R70" s="45"/>
      <c r="U70" s="45"/>
      <c r="V70" s="45"/>
      <c r="X70" s="220" t="s">
        <v>19</v>
      </c>
      <c r="Y70" s="45"/>
      <c r="Z70" s="220">
        <f t="shared" si="5"/>
        <v>0</v>
      </c>
    </row>
    <row r="71" spans="2:29" ht="20.25" customHeight="1" x14ac:dyDescent="0.25">
      <c r="B71" s="278"/>
      <c r="C71" s="59"/>
      <c r="D71" s="59"/>
      <c r="E71" s="59"/>
      <c r="F71" s="59"/>
      <c r="G71" s="59"/>
      <c r="H71" s="59"/>
      <c r="I71" s="59"/>
      <c r="J71" s="59"/>
      <c r="K71" s="59"/>
      <c r="L71" s="59"/>
      <c r="M71" s="59"/>
      <c r="N71" s="59"/>
      <c r="O71" s="59"/>
      <c r="P71" s="280"/>
      <c r="R71" s="45"/>
      <c r="U71" s="45"/>
      <c r="V71" s="45"/>
      <c r="X71" s="220" t="s">
        <v>128</v>
      </c>
      <c r="Z71" s="220">
        <f>SUMIF($Z$48:$Z$53,X71, $AC$48:$AC$53)</f>
        <v>0</v>
      </c>
      <c r="AC71" s="45"/>
    </row>
    <row r="72" spans="2:29" ht="36.75" customHeight="1" x14ac:dyDescent="0.25">
      <c r="B72" s="281"/>
      <c r="C72" s="282"/>
      <c r="D72" s="416" t="s">
        <v>283</v>
      </c>
      <c r="E72" s="283"/>
      <c r="F72" s="1098" t="s">
        <v>286</v>
      </c>
      <c r="G72" s="1098"/>
      <c r="H72" s="59"/>
      <c r="I72" s="59"/>
      <c r="J72" s="416" t="s">
        <v>364</v>
      </c>
      <c r="K72" s="285"/>
      <c r="L72" s="416" t="s">
        <v>285</v>
      </c>
      <c r="M72" s="286"/>
      <c r="N72" s="521" t="s">
        <v>362</v>
      </c>
      <c r="O72" s="20"/>
      <c r="P72" s="280"/>
      <c r="R72" s="45"/>
      <c r="U72" s="45"/>
      <c r="V72" s="45"/>
      <c r="X72" s="220" t="s">
        <v>126</v>
      </c>
      <c r="Z72" s="220">
        <f>SUMIF($Z$48:$Z$53,X72, $AC$48:$AC$53)</f>
        <v>0</v>
      </c>
    </row>
    <row r="73" spans="2:29" ht="18.75" customHeight="1" x14ac:dyDescent="0.25">
      <c r="B73" s="263"/>
      <c r="C73" s="351" t="s">
        <v>112</v>
      </c>
      <c r="D73" s="385" t="s">
        <v>0</v>
      </c>
      <c r="E73" s="376"/>
      <c r="F73" s="1099" t="s">
        <v>0</v>
      </c>
      <c r="G73" s="1100"/>
      <c r="H73" s="377"/>
      <c r="I73" s="377"/>
      <c r="J73" s="385" t="s">
        <v>0</v>
      </c>
      <c r="K73" s="378"/>
      <c r="L73" s="385" t="s">
        <v>0</v>
      </c>
      <c r="M73" s="376"/>
      <c r="N73" s="385" t="s">
        <v>0</v>
      </c>
      <c r="O73" s="379"/>
      <c r="P73" s="280"/>
      <c r="R73" s="45"/>
      <c r="U73" s="45"/>
      <c r="V73" s="45"/>
      <c r="X73" s="220" t="s">
        <v>127</v>
      </c>
      <c r="Z73" s="220">
        <f>SUMIF($Z$48:$Z$53,X73, $AC$48:$AC$53)</f>
        <v>0</v>
      </c>
    </row>
    <row r="74" spans="2:29" ht="18.75" customHeight="1" x14ac:dyDescent="0.25">
      <c r="B74" s="263"/>
      <c r="C74" s="351"/>
      <c r="D74" s="380"/>
      <c r="E74" s="353" t="s">
        <v>300</v>
      </c>
      <c r="F74" s="380"/>
      <c r="G74" s="380"/>
      <c r="H74" s="1097" t="s">
        <v>300</v>
      </c>
      <c r="I74" s="1097"/>
      <c r="J74" s="380"/>
      <c r="K74" s="353" t="s">
        <v>300</v>
      </c>
      <c r="L74" s="380"/>
      <c r="M74" s="353" t="s">
        <v>300</v>
      </c>
      <c r="N74" s="380"/>
      <c r="O74" s="353" t="s">
        <v>300</v>
      </c>
      <c r="P74" s="280"/>
      <c r="R74" s="45"/>
      <c r="U74" s="45"/>
      <c r="V74" s="45"/>
    </row>
    <row r="75" spans="2:29" ht="18.75" customHeight="1" x14ac:dyDescent="0.25">
      <c r="B75" s="263"/>
      <c r="C75" s="351" t="s">
        <v>255</v>
      </c>
      <c r="D75" s="390"/>
      <c r="E75" s="392" t="s">
        <v>21</v>
      </c>
      <c r="F75" s="1085"/>
      <c r="G75" s="1082"/>
      <c r="H75" s="1081" t="s">
        <v>21</v>
      </c>
      <c r="I75" s="1081"/>
      <c r="J75" s="360"/>
      <c r="K75" s="360" t="s">
        <v>21</v>
      </c>
      <c r="L75" s="360"/>
      <c r="M75" s="372" t="s">
        <v>21</v>
      </c>
      <c r="N75" s="389"/>
      <c r="O75" s="389" t="s">
        <v>21</v>
      </c>
      <c r="P75" s="280"/>
      <c r="R75" s="45"/>
      <c r="U75" s="45"/>
      <c r="V75" s="45"/>
    </row>
    <row r="76" spans="2:29" ht="18.75" customHeight="1" x14ac:dyDescent="0.25">
      <c r="B76" s="263"/>
      <c r="C76" s="351" t="s">
        <v>256</v>
      </c>
      <c r="D76" s="360"/>
      <c r="E76" s="351"/>
      <c r="F76" s="1085"/>
      <c r="G76" s="1082"/>
      <c r="H76" s="377"/>
      <c r="I76" s="377"/>
      <c r="J76" s="360"/>
      <c r="K76" s="381"/>
      <c r="L76" s="360"/>
      <c r="M76" s="351"/>
      <c r="N76" s="389"/>
      <c r="O76" s="379"/>
      <c r="P76" s="280"/>
      <c r="R76" s="45"/>
      <c r="U76" s="45"/>
      <c r="V76" s="45"/>
    </row>
    <row r="77" spans="2:29" ht="18.75" customHeight="1" x14ac:dyDescent="0.25">
      <c r="B77" s="263"/>
      <c r="C77" s="351" t="s">
        <v>11</v>
      </c>
      <c r="D77" s="386">
        <v>0.75</v>
      </c>
      <c r="E77" s="380"/>
      <c r="F77" s="1080">
        <v>0.75</v>
      </c>
      <c r="G77" s="1086"/>
      <c r="H77" s="377"/>
      <c r="I77" s="377"/>
      <c r="J77" s="386">
        <v>0.75</v>
      </c>
      <c r="K77" s="381"/>
      <c r="L77" s="386">
        <v>0.75</v>
      </c>
      <c r="M77" s="380"/>
      <c r="N77" s="393">
        <v>0.75</v>
      </c>
      <c r="O77" s="379"/>
      <c r="P77" s="280"/>
      <c r="R77" s="45"/>
      <c r="U77" s="45"/>
    </row>
    <row r="78" spans="2:29" ht="18.75" customHeight="1" x14ac:dyDescent="0.25">
      <c r="B78" s="263"/>
      <c r="C78" s="351" t="s">
        <v>358</v>
      </c>
      <c r="D78" s="360"/>
      <c r="E78" s="382"/>
      <c r="F78" s="1085"/>
      <c r="G78" s="1082"/>
      <c r="H78" s="377"/>
      <c r="I78" s="377"/>
      <c r="J78" s="360"/>
      <c r="K78" s="381"/>
      <c r="L78" s="360"/>
      <c r="M78" s="382"/>
      <c r="N78" s="389"/>
      <c r="O78" s="383"/>
      <c r="P78" s="280"/>
      <c r="R78" s="45"/>
      <c r="U78" s="45"/>
    </row>
    <row r="79" spans="2:29" ht="18.75" customHeight="1" x14ac:dyDescent="0.25">
      <c r="B79" s="263"/>
      <c r="C79" s="351" t="s">
        <v>27</v>
      </c>
      <c r="D79" s="360" t="s">
        <v>122</v>
      </c>
      <c r="E79" s="351"/>
      <c r="F79" s="1085" t="s">
        <v>122</v>
      </c>
      <c r="G79" s="1082"/>
      <c r="H79" s="377"/>
      <c r="I79" s="377"/>
      <c r="J79" s="360" t="s">
        <v>122</v>
      </c>
      <c r="K79" s="381"/>
      <c r="L79" s="360" t="s">
        <v>122</v>
      </c>
      <c r="M79" s="351"/>
      <c r="N79" s="389" t="s">
        <v>122</v>
      </c>
      <c r="O79" s="380"/>
      <c r="P79" s="280"/>
      <c r="R79" s="45"/>
    </row>
    <row r="80" spans="2:29" ht="18.75" customHeight="1" x14ac:dyDescent="0.25">
      <c r="B80" s="263"/>
      <c r="C80" s="303" t="s">
        <v>129</v>
      </c>
      <c r="D80" s="384">
        <v>1</v>
      </c>
      <c r="E80" s="18"/>
      <c r="F80" s="1087">
        <v>1</v>
      </c>
      <c r="G80" s="1087"/>
      <c r="H80" s="59"/>
      <c r="I80" s="59"/>
      <c r="J80" s="384">
        <v>1</v>
      </c>
      <c r="K80" s="161"/>
      <c r="L80" s="384">
        <v>1</v>
      </c>
      <c r="M80" s="18"/>
      <c r="N80" s="391">
        <v>1</v>
      </c>
      <c r="O80" s="277"/>
      <c r="P80" s="280"/>
      <c r="R80" s="45"/>
      <c r="U80" s="45"/>
    </row>
    <row r="81" spans="1:21" ht="18.75" customHeight="1" x14ac:dyDescent="0.25">
      <c r="B81" s="263"/>
      <c r="C81" s="18"/>
      <c r="D81" s="160"/>
      <c r="E81" s="18"/>
      <c r="F81" s="160"/>
      <c r="G81" s="160"/>
      <c r="H81" s="59"/>
      <c r="I81" s="59"/>
      <c r="J81" s="160"/>
      <c r="K81" s="161"/>
      <c r="L81" s="160"/>
      <c r="M81" s="18"/>
      <c r="N81" s="160"/>
      <c r="O81" s="160"/>
      <c r="P81" s="280"/>
      <c r="R81" s="45"/>
      <c r="U81" s="45"/>
    </row>
    <row r="82" spans="1:21" ht="18.75" customHeight="1" x14ac:dyDescent="0.25">
      <c r="B82" s="263"/>
      <c r="C82" s="351" t="s">
        <v>344</v>
      </c>
      <c r="D82" s="387" t="str">
        <f>IF(D75="", "", (AB49*D76*D77*D78*52*AJ49))</f>
        <v/>
      </c>
      <c r="E82" s="351"/>
      <c r="F82" s="1088" t="str">
        <f>IF(F75="", "", (AB50*F76*F77*F78*52*AJ50))</f>
        <v/>
      </c>
      <c r="G82" s="1089"/>
      <c r="H82" s="377"/>
      <c r="I82" s="377"/>
      <c r="J82" s="387" t="str">
        <f>IF(J75="","",(AB51*J76*J77*J78*52*AJ51))</f>
        <v/>
      </c>
      <c r="K82" s="381"/>
      <c r="L82" s="387" t="str">
        <f>IF(L75="","",(AB52*L76*L77*L78*52*AJ52))</f>
        <v/>
      </c>
      <c r="M82" s="351"/>
      <c r="N82" s="388" t="str">
        <f>IF(N75="","",(AB53*N76*N77*N78*52*AJ53))</f>
        <v/>
      </c>
      <c r="O82" s="277"/>
      <c r="P82" s="280"/>
      <c r="R82" s="45"/>
      <c r="U82" s="45"/>
    </row>
    <row r="83" spans="1:21" ht="18.75" customHeight="1" x14ac:dyDescent="0.25">
      <c r="B83" s="263"/>
      <c r="C83" s="351"/>
      <c r="D83" s="380"/>
      <c r="E83" s="351"/>
      <c r="F83" s="380"/>
      <c r="G83" s="380"/>
      <c r="H83" s="377"/>
      <c r="I83" s="377"/>
      <c r="J83" s="380"/>
      <c r="K83" s="380"/>
      <c r="L83" s="380"/>
      <c r="M83" s="351"/>
      <c r="N83" s="380"/>
      <c r="O83" s="276"/>
      <c r="P83" s="280"/>
      <c r="R83" s="45"/>
      <c r="U83" s="45"/>
    </row>
    <row r="84" spans="1:21" ht="18.75" customHeight="1" x14ac:dyDescent="0.25">
      <c r="B84" s="263"/>
      <c r="C84" s="351" t="s">
        <v>368</v>
      </c>
      <c r="D84" s="419" t="str">
        <f>IF(ISERROR(AF49), "", AF49)</f>
        <v/>
      </c>
      <c r="E84" s="351"/>
      <c r="F84" s="1090" t="str">
        <f>IF(ISERROR(AF50), "", AF50)</f>
        <v/>
      </c>
      <c r="G84" s="1091"/>
      <c r="H84" s="377"/>
      <c r="I84" s="377"/>
      <c r="J84" s="421" t="str">
        <f>IF(ISERROR(AF51), "", AF51)</f>
        <v/>
      </c>
      <c r="K84" s="381"/>
      <c r="L84" s="421" t="str">
        <f>IF(ISERROR(AF52), "", AF52)</f>
        <v/>
      </c>
      <c r="M84" s="351"/>
      <c r="N84" s="422" t="str">
        <f>IF(ISERROR(AF53), "", AF53)</f>
        <v/>
      </c>
      <c r="O84" s="277"/>
      <c r="P84" s="280"/>
      <c r="R84" s="45"/>
      <c r="U84" s="45"/>
    </row>
    <row r="85" spans="1:21" ht="18.75" customHeight="1" x14ac:dyDescent="0.25">
      <c r="B85" s="263"/>
      <c r="C85" s="351" t="s">
        <v>369</v>
      </c>
      <c r="D85" s="420"/>
      <c r="E85" s="351"/>
      <c r="F85" s="1092"/>
      <c r="G85" s="1093"/>
      <c r="H85" s="377"/>
      <c r="I85" s="377"/>
      <c r="J85" s="420"/>
      <c r="K85" s="381"/>
      <c r="L85" s="420"/>
      <c r="M85" s="351"/>
      <c r="N85" s="423"/>
      <c r="O85" s="18"/>
      <c r="P85" s="280"/>
      <c r="R85" s="45"/>
      <c r="U85" s="45"/>
    </row>
    <row r="86" spans="1:21" ht="18.75" customHeight="1" x14ac:dyDescent="0.25">
      <c r="B86" s="263"/>
      <c r="C86" s="351" t="s">
        <v>370</v>
      </c>
      <c r="D86" s="421" t="str">
        <f>IF(D85="", "", D85*AJ49)</f>
        <v/>
      </c>
      <c r="E86" s="351"/>
      <c r="F86" s="1083" t="str">
        <f>IF(F85="", "", F85*AJ50)</f>
        <v/>
      </c>
      <c r="G86" s="1084"/>
      <c r="H86" s="377"/>
      <c r="I86" s="377"/>
      <c r="J86" s="421" t="str">
        <f>IF(J85="", "", J85*AJ51)</f>
        <v/>
      </c>
      <c r="K86" s="381"/>
      <c r="L86" s="421" t="str">
        <f>IF(L85="", "", L85*AJ52)</f>
        <v/>
      </c>
      <c r="M86" s="351"/>
      <c r="N86" s="422" t="str">
        <f>IF(N85="", "", N85*AJ53)</f>
        <v/>
      </c>
      <c r="O86" s="18"/>
      <c r="P86" s="280"/>
      <c r="Q86" s="45"/>
      <c r="R86" s="45"/>
      <c r="U86" s="45"/>
    </row>
    <row r="87" spans="1:21" ht="18.75" customHeight="1" thickBot="1" x14ac:dyDescent="0.3">
      <c r="B87" s="265"/>
      <c r="C87" s="270" t="s">
        <v>360</v>
      </c>
      <c r="D87" s="266"/>
      <c r="E87" s="284"/>
      <c r="F87" s="284"/>
      <c r="G87" s="284"/>
      <c r="H87" s="284"/>
      <c r="I87" s="284"/>
      <c r="J87" s="284"/>
      <c r="K87" s="284"/>
      <c r="L87" s="284"/>
      <c r="M87" s="266"/>
      <c r="N87" s="266"/>
      <c r="O87" s="266"/>
      <c r="P87" s="267"/>
      <c r="Q87" s="45"/>
      <c r="R87" s="45"/>
      <c r="U87" s="45"/>
    </row>
    <row r="88" spans="1:21" x14ac:dyDescent="0.25">
      <c r="B88" s="47"/>
      <c r="D88" s="45"/>
      <c r="E88" s="45"/>
      <c r="F88" s="45"/>
      <c r="G88" s="45"/>
      <c r="H88" s="45"/>
      <c r="I88" s="45"/>
      <c r="J88" s="45"/>
      <c r="L88" s="45"/>
      <c r="M88" s="45"/>
      <c r="N88" s="45"/>
      <c r="O88" s="45"/>
      <c r="P88" s="45"/>
      <c r="Q88" s="45"/>
      <c r="R88" s="45"/>
      <c r="U88" s="45"/>
    </row>
    <row r="89" spans="1:21" ht="18.75" customHeight="1" x14ac:dyDescent="0.25">
      <c r="A89" s="327"/>
      <c r="B89" s="327"/>
      <c r="C89" s="327"/>
      <c r="D89" s="327"/>
      <c r="E89" s="327"/>
      <c r="F89" s="327"/>
      <c r="G89" s="327"/>
      <c r="H89" s="327"/>
      <c r="I89" s="327"/>
      <c r="J89" s="327"/>
      <c r="K89" s="327"/>
      <c r="L89" s="327"/>
      <c r="M89" s="327"/>
      <c r="N89" s="327"/>
      <c r="O89" s="327"/>
      <c r="P89" s="327"/>
      <c r="Q89" s="327"/>
      <c r="R89" s="327"/>
      <c r="U89" s="45"/>
    </row>
    <row r="90" spans="1:21" ht="18.75" customHeight="1" x14ac:dyDescent="0.25">
      <c r="U90" s="45"/>
    </row>
    <row r="91" spans="1:21" ht="18.75" customHeight="1" x14ac:dyDescent="0.25"/>
    <row r="92" spans="1:21" ht="18.75" customHeight="1" x14ac:dyDescent="0.25"/>
    <row r="93" spans="1:21" ht="18.75" customHeight="1" x14ac:dyDescent="0.25"/>
    <row r="94" spans="1:21" ht="18.75" customHeight="1" x14ac:dyDescent="0.25"/>
    <row r="95" spans="1:21" ht="18.75" customHeight="1" x14ac:dyDescent="0.25"/>
    <row r="96" spans="1:21" ht="18.75" customHeight="1" x14ac:dyDescent="0.25"/>
    <row r="97" ht="18.75" customHeight="1" x14ac:dyDescent="0.25"/>
    <row r="98" ht="18.75" customHeight="1" x14ac:dyDescent="0.25"/>
    <row r="99" ht="18.75" customHeight="1" x14ac:dyDescent="0.25"/>
    <row r="100" ht="18.75" customHeight="1" x14ac:dyDescent="0.25"/>
    <row r="101" ht="18.75" customHeight="1" x14ac:dyDescent="0.25"/>
    <row r="102" ht="18.75" customHeight="1" x14ac:dyDescent="0.25"/>
    <row r="103" ht="18.75" customHeight="1" x14ac:dyDescent="0.25"/>
    <row r="104" ht="18.75" customHeight="1" x14ac:dyDescent="0.25"/>
    <row r="105" ht="18.75" customHeight="1" x14ac:dyDescent="0.25"/>
    <row r="106" ht="18.75" customHeight="1" x14ac:dyDescent="0.25"/>
    <row r="107" ht="18.75" customHeight="1" x14ac:dyDescent="0.25"/>
    <row r="108" ht="18.75" customHeight="1" x14ac:dyDescent="0.25"/>
    <row r="109" ht="18.75" customHeight="1" x14ac:dyDescent="0.25"/>
    <row r="110" ht="18.75" customHeight="1" x14ac:dyDescent="0.25"/>
    <row r="111" ht="18.75" customHeight="1" x14ac:dyDescent="0.25"/>
    <row r="112" ht="18.75" customHeight="1" x14ac:dyDescent="0.25"/>
    <row r="113" spans="21:21" ht="18.75" customHeight="1" x14ac:dyDescent="0.25"/>
    <row r="114" spans="21:21" ht="18.75" customHeight="1" x14ac:dyDescent="0.25"/>
    <row r="115" spans="21:21" ht="18.75" customHeight="1" x14ac:dyDescent="0.25"/>
    <row r="116" spans="21:21" ht="18.75" customHeight="1" x14ac:dyDescent="0.25"/>
    <row r="117" spans="21:21" ht="18.75" customHeight="1" x14ac:dyDescent="0.25"/>
    <row r="118" spans="21:21" ht="18.75" customHeight="1" x14ac:dyDescent="0.25"/>
    <row r="119" spans="21:21" ht="18.75" customHeight="1" x14ac:dyDescent="0.25"/>
    <row r="120" spans="21:21" ht="18.75" customHeight="1" x14ac:dyDescent="0.25"/>
    <row r="121" spans="21:21" ht="18.75" customHeight="1" x14ac:dyDescent="0.25"/>
    <row r="122" spans="21:21" ht="18.75" customHeight="1" x14ac:dyDescent="0.25"/>
    <row r="123" spans="21:21" ht="18.75" customHeight="1" x14ac:dyDescent="0.25"/>
    <row r="124" spans="21:21" x14ac:dyDescent="0.25">
      <c r="U124" s="3"/>
    </row>
  </sheetData>
  <sheetProtection sheet="1" objects="1" scenarios="1"/>
  <mergeCells count="46">
    <mergeCell ref="G47:I47"/>
    <mergeCell ref="G49:I49"/>
    <mergeCell ref="G48:I48"/>
    <mergeCell ref="H74:I74"/>
    <mergeCell ref="F72:G72"/>
    <mergeCell ref="F73:G73"/>
    <mergeCell ref="D62:N62"/>
    <mergeCell ref="D64:M64"/>
    <mergeCell ref="C51:F52"/>
    <mergeCell ref="G51:I51"/>
    <mergeCell ref="J47:L47"/>
    <mergeCell ref="D35:G35"/>
    <mergeCell ref="G41:I41"/>
    <mergeCell ref="G42:I42"/>
    <mergeCell ref="G40:I40"/>
    <mergeCell ref="G44:I44"/>
    <mergeCell ref="G43:I43"/>
    <mergeCell ref="J40:L45"/>
    <mergeCell ref="J49:L50"/>
    <mergeCell ref="G45:I45"/>
    <mergeCell ref="G46:I46"/>
    <mergeCell ref="F86:G86"/>
    <mergeCell ref="H75:I75"/>
    <mergeCell ref="F75:G75"/>
    <mergeCell ref="F76:G76"/>
    <mergeCell ref="F77:G77"/>
    <mergeCell ref="F78:G78"/>
    <mergeCell ref="F79:G79"/>
    <mergeCell ref="F80:G80"/>
    <mergeCell ref="F82:G82"/>
    <mergeCell ref="F84:G84"/>
    <mergeCell ref="F85:G85"/>
    <mergeCell ref="D65:L65"/>
    <mergeCell ref="C34:N34"/>
    <mergeCell ref="L26:N31"/>
    <mergeCell ref="M8:R9"/>
    <mergeCell ref="C24:F25"/>
    <mergeCell ref="C8:F9"/>
    <mergeCell ref="K11:L11"/>
    <mergeCell ref="H8:L9"/>
    <mergeCell ref="L14:M19"/>
    <mergeCell ref="Q10:R10"/>
    <mergeCell ref="L20:M21"/>
    <mergeCell ref="C15:E20"/>
    <mergeCell ref="N18:Q20"/>
    <mergeCell ref="G24:L25"/>
  </mergeCells>
  <conditionalFormatting sqref="D49:D50">
    <cfRule type="expression" dxfId="43" priority="83">
      <formula>$Y$10=1</formula>
    </cfRule>
  </conditionalFormatting>
  <conditionalFormatting sqref="G49:G50">
    <cfRule type="expression" dxfId="42" priority="82">
      <formula>$G$49&lt;&gt;100%</formula>
    </cfRule>
  </conditionalFormatting>
  <conditionalFormatting sqref="G18">
    <cfRule type="expression" dxfId="41" priority="58">
      <formula>AND($K$17="yes", $W$10=2)</formula>
    </cfRule>
  </conditionalFormatting>
  <conditionalFormatting sqref="K18">
    <cfRule type="expression" dxfId="40" priority="57">
      <formula>AND($K$17="yes", $W$10=2)</formula>
    </cfRule>
  </conditionalFormatting>
  <conditionalFormatting sqref="N12">
    <cfRule type="expression" dxfId="39" priority="56">
      <formula>AND($P$11="yes", $W$10=3)</formula>
    </cfRule>
  </conditionalFormatting>
  <conditionalFormatting sqref="P12">
    <cfRule type="expression" dxfId="38" priority="55">
      <formula>AND($P$11="yes", $W$10=3)</formula>
    </cfRule>
  </conditionalFormatting>
  <conditionalFormatting sqref="C80">
    <cfRule type="expression" dxfId="37" priority="45">
      <formula>$N$79="yes"</formula>
    </cfRule>
    <cfRule type="expression" dxfId="36" priority="46">
      <formula>$L$79="yes"</formula>
    </cfRule>
    <cfRule type="expression" dxfId="35" priority="47">
      <formula>$J$79="yes"</formula>
    </cfRule>
    <cfRule type="expression" dxfId="34" priority="48">
      <formula>$F$79="yes"</formula>
    </cfRule>
    <cfRule type="expression" dxfId="33" priority="49">
      <formula>$D$79="yes"</formula>
    </cfRule>
  </conditionalFormatting>
  <conditionalFormatting sqref="N80 L80 J80 F80:G80 D80">
    <cfRule type="expression" dxfId="32" priority="40">
      <formula>AND(D79="yes", $W$10=2)</formula>
    </cfRule>
  </conditionalFormatting>
  <conditionalFormatting sqref="C10:C13">
    <cfRule type="expression" dxfId="31" priority="39">
      <formula>$W$10=1</formula>
    </cfRule>
  </conditionalFormatting>
  <conditionalFormatting sqref="O74 C73:C79 C82:C86 D72 F72:G72 J72 L72 N72 E74 H74 K74 M74 G11 G13:G17 G20 K10 L12 L14:M19">
    <cfRule type="expression" dxfId="30" priority="38">
      <formula>$W$10=2</formula>
    </cfRule>
  </conditionalFormatting>
  <conditionalFormatting sqref="L20:M21">
    <cfRule type="expression" dxfId="29" priority="37">
      <formula>$W$10=2</formula>
    </cfRule>
  </conditionalFormatting>
  <conditionalFormatting sqref="N14:N15 N10:N11">
    <cfRule type="expression" dxfId="28" priority="36">
      <formula>$W$10=3</formula>
    </cfRule>
  </conditionalFormatting>
  <conditionalFormatting sqref="C27:C28">
    <cfRule type="expression" dxfId="27" priority="34">
      <formula>$X$10=1</formula>
    </cfRule>
  </conditionalFormatting>
  <conditionalFormatting sqref="G29">
    <cfRule type="expression" dxfId="26" priority="33">
      <formula>$K$28="yes"</formula>
    </cfRule>
  </conditionalFormatting>
  <conditionalFormatting sqref="G27:G28 G31:G33">
    <cfRule type="expression" dxfId="25" priority="32">
      <formula>$X$10=2</formula>
    </cfRule>
  </conditionalFormatting>
  <conditionalFormatting sqref="J40">
    <cfRule type="expression" dxfId="24" priority="29">
      <formula>$W$5=1</formula>
    </cfRule>
  </conditionalFormatting>
  <conditionalFormatting sqref="K26">
    <cfRule type="expression" dxfId="23" priority="19">
      <formula>AND($W$10=2, $X$10=2)</formula>
    </cfRule>
  </conditionalFormatting>
  <conditionalFormatting sqref="D26">
    <cfRule type="expression" dxfId="22" priority="18">
      <formula>AND($W$10=2, $X$10=1)</formula>
    </cfRule>
  </conditionalFormatting>
  <conditionalFormatting sqref="C57:N60">
    <cfRule type="expression" dxfId="21" priority="17">
      <formula>SUM($U$8:$U$13)&lt;&gt;5</formula>
    </cfRule>
  </conditionalFormatting>
  <conditionalFormatting sqref="C59:C60">
    <cfRule type="expression" dxfId="20" priority="16">
      <formula>SUM($U$8:$U$13)&lt;&gt;6</formula>
    </cfRule>
  </conditionalFormatting>
  <conditionalFormatting sqref="C6">
    <cfRule type="expression" dxfId="19" priority="15">
      <formula>SUM($U$8:$U$13)&lt;&gt;5</formula>
    </cfRule>
  </conditionalFormatting>
  <conditionalFormatting sqref="C6">
    <cfRule type="expression" dxfId="18" priority="14">
      <formula>SUM($U$8:$U$13)&lt;&gt;6</formula>
    </cfRule>
  </conditionalFormatting>
  <conditionalFormatting sqref="G40:I48">
    <cfRule type="expression" dxfId="17" priority="12">
      <formula>AND($G$49&lt;&gt;100%, $Y$10=2)</formula>
    </cfRule>
    <cfRule type="expression" dxfId="16" priority="5">
      <formula>$Y$10=2</formula>
    </cfRule>
  </conditionalFormatting>
  <conditionalFormatting sqref="K29">
    <cfRule type="expression" dxfId="15" priority="11">
      <formula>$K$28="yes"</formula>
    </cfRule>
  </conditionalFormatting>
  <conditionalFormatting sqref="P14">
    <cfRule type="expression" dxfId="14" priority="10">
      <formula>$W$10=3</formula>
    </cfRule>
  </conditionalFormatting>
  <conditionalFormatting sqref="P11 P10:R10">
    <cfRule type="expression" dxfId="13" priority="9">
      <formula>$W$10=3</formula>
    </cfRule>
  </conditionalFormatting>
  <conditionalFormatting sqref="N82 N84 N86 L82 L84 L86 J82 J84 J86 F82:G82 F86:G86 F84:G84 D82 D84 D86 K20">
    <cfRule type="expression" dxfId="12" priority="8">
      <formula>$W$10=2</formula>
    </cfRule>
  </conditionalFormatting>
  <conditionalFormatting sqref="O75 N75:N79 N73 N85 M75 L75:L79 L73 L85 J75:J79 J73 J85 K75 H75:I75 F75:G79 F73:G73 F85:G85 E75 D75:D79 D73 D85 K13:K17 L13 K11:L11">
    <cfRule type="expression" dxfId="11" priority="7">
      <formula>$W$10=2</formula>
    </cfRule>
  </conditionalFormatting>
  <conditionalFormatting sqref="D10">
    <cfRule type="expression" dxfId="10" priority="6">
      <formula>$W$10=1</formula>
    </cfRule>
  </conditionalFormatting>
  <conditionalFormatting sqref="D40:D48">
    <cfRule type="expression" dxfId="9" priority="4">
      <formula>$Y$10=1</formula>
    </cfRule>
  </conditionalFormatting>
  <conditionalFormatting sqref="K31">
    <cfRule type="expression" dxfId="8" priority="3">
      <formula>$X$10=2</formula>
    </cfRule>
  </conditionalFormatting>
  <conditionalFormatting sqref="K27:K28">
    <cfRule type="expression" dxfId="7" priority="2">
      <formula>$X$10=2</formula>
    </cfRule>
  </conditionalFormatting>
  <conditionalFormatting sqref="D27">
    <cfRule type="expression" dxfId="6" priority="1">
      <formula>$X$10=1</formula>
    </cfRule>
  </conditionalFormatting>
  <dataValidations count="7">
    <dataValidation type="list" allowBlank="1" showInputMessage="1" showErrorMessage="1" sqref="N79 L79 J79 D79 F79 K28 K17 P11">
      <formula1>$AE$35:$AE$37</formula1>
    </dataValidation>
    <dataValidation type="list" allowBlank="1" showInputMessage="1" showErrorMessage="1" sqref="N73 K11 F73 D73 J73 L73">
      <formula1>$X$62:$X$73</formula1>
    </dataValidation>
    <dataValidation type="list" allowBlank="1" showInputMessage="1" showErrorMessage="1" sqref="O75 E75 H75 K75 M75">
      <formula1>$AG$35:$AG$37</formula1>
    </dataValidation>
    <dataValidation type="list" allowBlank="1" showInputMessage="1" showErrorMessage="1" sqref="E77 M77">
      <formula1>$W$17:$W$19</formula1>
    </dataValidation>
    <dataValidation type="list" allowBlank="1" showInputMessage="1" showErrorMessage="1" sqref="L13">
      <formula1>$AF$35:$AF$37</formula1>
    </dataValidation>
    <dataValidation type="list" allowBlank="1" showInputMessage="1" showErrorMessage="1" sqref="Q10:R10">
      <formula1>$AD$35:$AD$39</formula1>
    </dataValidation>
    <dataValidation type="list" allowBlank="1" showInputMessage="1" showErrorMessage="1" sqref="G51">
      <formula1>"By weight, By volume"</formula1>
    </dataValidation>
  </dataValidations>
  <hyperlinks>
    <hyperlink ref="L20" location="Current_Trash!B50" display="&quot;Multiple Bins&quot; section"/>
    <hyperlink ref="L20:L21" location="Current_Trash!B75" display="&quot;Multiple Container&quot; section"/>
    <hyperlink ref="J47:L47" location="'7.Glossary'!A88" display="Click here for definitions"/>
    <hyperlink ref="D62" location="'Future_Benefits '!A1" display="Click here to evaluate the benefits of recycling or eliminating your trash"/>
    <hyperlink ref="D64" location="Current_Rec!A1" display="Click here to revise your current recycling information"/>
    <hyperlink ref="D64:K64" location="'2.Current_Trash'!A1" display="Click here to revise your current trash information"/>
    <hyperlink ref="L20:M21" location="'3.Current_Recycling'!B75" display="&quot;Multiple Container&quot; section"/>
    <hyperlink ref="D62:L62" location="'4.Future_Benefits '!A1" display="Click here to evaluate the benefits of recycling or eliminating your trash"/>
    <hyperlink ref="C34:M34" location="'9.CustomRates'!A1" display="If you know your local service rates and would like to enter these into the calculator for more accurate results, click here"/>
    <hyperlink ref="D65" location="'1.General_Info'!A1" display="Click here to enter current recycling information that is different than defaults"/>
  </hyperlinks>
  <pageMargins left="0.7" right="0.7" top="0.75" bottom="0.75" header="0.3" footer="0.3"/>
  <pageSetup scale="4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58" r:id="rId4" name="Option Button 14">
              <controlPr defaultSize="0" autoFill="0" autoLine="0" autoPict="0">
                <anchor moveWithCells="1">
                  <from>
                    <xdr:col>1</xdr:col>
                    <xdr:colOff>28575</xdr:colOff>
                    <xdr:row>7</xdr:row>
                    <xdr:rowOff>114300</xdr:rowOff>
                  </from>
                  <to>
                    <xdr:col>2</xdr:col>
                    <xdr:colOff>133350</xdr:colOff>
                    <xdr:row>8</xdr:row>
                    <xdr:rowOff>104775</xdr:rowOff>
                  </to>
                </anchor>
              </controlPr>
            </control>
          </mc:Choice>
        </mc:AlternateContent>
        <mc:AlternateContent xmlns:mc="http://schemas.openxmlformats.org/markup-compatibility/2006">
          <mc:Choice Requires="x14">
            <control shapeId="31759" r:id="rId5" name="Option Button 15">
              <controlPr defaultSize="0" autoFill="0" autoLine="0" autoPict="0">
                <anchor moveWithCells="1">
                  <from>
                    <xdr:col>6</xdr:col>
                    <xdr:colOff>28575</xdr:colOff>
                    <xdr:row>7</xdr:row>
                    <xdr:rowOff>95250</xdr:rowOff>
                  </from>
                  <to>
                    <xdr:col>7</xdr:col>
                    <xdr:colOff>104775</xdr:colOff>
                    <xdr:row>8</xdr:row>
                    <xdr:rowOff>76200</xdr:rowOff>
                  </to>
                </anchor>
              </controlPr>
            </control>
          </mc:Choice>
        </mc:AlternateContent>
        <mc:AlternateContent xmlns:mc="http://schemas.openxmlformats.org/markup-compatibility/2006">
          <mc:Choice Requires="x14">
            <control shapeId="31760" r:id="rId6" name="Option Button 16">
              <controlPr defaultSize="0" autoFill="0" autoLine="0" autoPict="0">
                <anchor moveWithCells="1">
                  <from>
                    <xdr:col>12</xdr:col>
                    <xdr:colOff>238125</xdr:colOff>
                    <xdr:row>7</xdr:row>
                    <xdr:rowOff>123825</xdr:rowOff>
                  </from>
                  <to>
                    <xdr:col>13</xdr:col>
                    <xdr:colOff>38100</xdr:colOff>
                    <xdr:row>8</xdr:row>
                    <xdr:rowOff>104775</xdr:rowOff>
                  </to>
                </anchor>
              </controlPr>
            </control>
          </mc:Choice>
        </mc:AlternateContent>
        <mc:AlternateContent xmlns:mc="http://schemas.openxmlformats.org/markup-compatibility/2006">
          <mc:Choice Requires="x14">
            <control shapeId="31761" r:id="rId7" name="Group Box 17">
              <controlPr defaultSize="0" print="0" autoFill="0" autoPict="0">
                <anchor moveWithCells="1">
                  <from>
                    <xdr:col>0</xdr:col>
                    <xdr:colOff>85725</xdr:colOff>
                    <xdr:row>5</xdr:row>
                    <xdr:rowOff>276225</xdr:rowOff>
                  </from>
                  <to>
                    <xdr:col>18</xdr:col>
                    <xdr:colOff>19050</xdr:colOff>
                    <xdr:row>21</xdr:row>
                    <xdr:rowOff>19050</xdr:rowOff>
                  </to>
                </anchor>
              </controlPr>
            </control>
          </mc:Choice>
        </mc:AlternateContent>
        <mc:AlternateContent xmlns:mc="http://schemas.openxmlformats.org/markup-compatibility/2006">
          <mc:Choice Requires="x14">
            <control shapeId="31762" r:id="rId8" name="Group Box 18">
              <controlPr defaultSize="0" print="0" autoFill="0" autoPict="0">
                <anchor moveWithCells="1">
                  <from>
                    <xdr:col>0</xdr:col>
                    <xdr:colOff>85725</xdr:colOff>
                    <xdr:row>21</xdr:row>
                    <xdr:rowOff>209550</xdr:rowOff>
                  </from>
                  <to>
                    <xdr:col>14</xdr:col>
                    <xdr:colOff>19050</xdr:colOff>
                    <xdr:row>34</xdr:row>
                    <xdr:rowOff>28575</xdr:rowOff>
                  </to>
                </anchor>
              </controlPr>
            </control>
          </mc:Choice>
        </mc:AlternateContent>
        <mc:AlternateContent xmlns:mc="http://schemas.openxmlformats.org/markup-compatibility/2006">
          <mc:Choice Requires="x14">
            <control shapeId="31763" r:id="rId9" name="Group Box 19">
              <controlPr defaultSize="0" print="0" autoFill="0" autoPict="0">
                <anchor moveWithCells="1">
                  <from>
                    <xdr:col>0</xdr:col>
                    <xdr:colOff>85725</xdr:colOff>
                    <xdr:row>34</xdr:row>
                    <xdr:rowOff>228600</xdr:rowOff>
                  </from>
                  <to>
                    <xdr:col>12</xdr:col>
                    <xdr:colOff>19050</xdr:colOff>
                    <xdr:row>52</xdr:row>
                    <xdr:rowOff>19050</xdr:rowOff>
                  </to>
                </anchor>
              </controlPr>
            </control>
          </mc:Choice>
        </mc:AlternateContent>
        <mc:AlternateContent xmlns:mc="http://schemas.openxmlformats.org/markup-compatibility/2006">
          <mc:Choice Requires="x14">
            <control shapeId="31764" r:id="rId10" name="Option Button 20">
              <controlPr defaultSize="0" autoFill="0" autoLine="0" autoPict="0">
                <anchor moveWithCells="1">
                  <from>
                    <xdr:col>2</xdr:col>
                    <xdr:colOff>609600</xdr:colOff>
                    <xdr:row>37</xdr:row>
                    <xdr:rowOff>0</xdr:rowOff>
                  </from>
                  <to>
                    <xdr:col>2</xdr:col>
                    <xdr:colOff>914400</xdr:colOff>
                    <xdr:row>38</xdr:row>
                    <xdr:rowOff>0</xdr:rowOff>
                  </to>
                </anchor>
              </controlPr>
            </control>
          </mc:Choice>
        </mc:AlternateContent>
        <mc:AlternateContent xmlns:mc="http://schemas.openxmlformats.org/markup-compatibility/2006">
          <mc:Choice Requires="x14">
            <control shapeId="31765" r:id="rId11" name="Option Button 21">
              <controlPr defaultSize="0" autoFill="0" autoLine="0" autoPict="0">
                <anchor moveWithCells="1">
                  <from>
                    <xdr:col>4</xdr:col>
                    <xdr:colOff>428625</xdr:colOff>
                    <xdr:row>37</xdr:row>
                    <xdr:rowOff>0</xdr:rowOff>
                  </from>
                  <to>
                    <xdr:col>5</xdr:col>
                    <xdr:colOff>257175</xdr:colOff>
                    <xdr:row>37</xdr:row>
                    <xdr:rowOff>219075</xdr:rowOff>
                  </to>
                </anchor>
              </controlPr>
            </control>
          </mc:Choice>
        </mc:AlternateContent>
        <mc:AlternateContent xmlns:mc="http://schemas.openxmlformats.org/markup-compatibility/2006">
          <mc:Choice Requires="x14">
            <control shapeId="31766" r:id="rId12" name="Option Button 22">
              <controlPr defaultSize="0" autoFill="0" autoLine="0" autoPict="0">
                <anchor moveWithCells="1">
                  <from>
                    <xdr:col>1</xdr:col>
                    <xdr:colOff>28575</xdr:colOff>
                    <xdr:row>23</xdr:row>
                    <xdr:rowOff>123825</xdr:rowOff>
                  </from>
                  <to>
                    <xdr:col>2</xdr:col>
                    <xdr:colOff>133350</xdr:colOff>
                    <xdr:row>24</xdr:row>
                    <xdr:rowOff>104775</xdr:rowOff>
                  </to>
                </anchor>
              </controlPr>
            </control>
          </mc:Choice>
        </mc:AlternateContent>
        <mc:AlternateContent xmlns:mc="http://schemas.openxmlformats.org/markup-compatibility/2006">
          <mc:Choice Requires="x14">
            <control shapeId="31767" r:id="rId13" name="Option Button 23">
              <controlPr defaultSize="0" autoFill="0" autoLine="0" autoPict="0">
                <anchor moveWithCells="1">
                  <from>
                    <xdr:col>5</xdr:col>
                    <xdr:colOff>200025</xdr:colOff>
                    <xdr:row>23</xdr:row>
                    <xdr:rowOff>114300</xdr:rowOff>
                  </from>
                  <to>
                    <xdr:col>6</xdr:col>
                    <xdr:colOff>104775</xdr:colOff>
                    <xdr:row>24</xdr:row>
                    <xdr:rowOff>95250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sheetPr>
  <dimension ref="A1:BT79"/>
  <sheetViews>
    <sheetView showGridLines="0" topLeftCell="A4" zoomScaleNormal="100" zoomScaleSheetLayoutView="98" workbookViewId="0">
      <selection activeCell="N8" sqref="N8:O8"/>
    </sheetView>
  </sheetViews>
  <sheetFormatPr defaultRowHeight="15" x14ac:dyDescent="0.25"/>
  <cols>
    <col min="1" max="1" width="1.7109375" style="8" customWidth="1"/>
    <col min="2" max="2" width="2.42578125" style="8" customWidth="1"/>
    <col min="3" max="3" width="2.7109375" style="8" customWidth="1"/>
    <col min="4" max="4" width="18.140625" style="8" customWidth="1"/>
    <col min="5" max="5" width="1.85546875" style="8" customWidth="1"/>
    <col min="6" max="9" width="7.7109375" style="8" customWidth="1"/>
    <col min="10" max="10" width="8.42578125" style="8" bestFit="1" customWidth="1"/>
    <col min="11" max="11" width="8.28515625" style="8" customWidth="1"/>
    <col min="12" max="12" width="1.85546875" style="8" customWidth="1"/>
    <col min="13" max="13" width="9.42578125" style="8" customWidth="1"/>
    <col min="14" max="14" width="9.140625" style="8" customWidth="1"/>
    <col min="15" max="15" width="1.85546875" style="8" customWidth="1"/>
    <col min="16" max="17" width="9.5703125" style="8" customWidth="1"/>
    <col min="18" max="18" width="9.5703125" style="8" bestFit="1" customWidth="1"/>
    <col min="19" max="19" width="3.5703125" style="8" customWidth="1"/>
    <col min="20" max="20" width="9.5703125" style="8" bestFit="1" customWidth="1"/>
    <col min="21" max="21" width="11.140625" style="8" customWidth="1"/>
    <col min="22" max="22" width="11.85546875" style="8" customWidth="1"/>
    <col min="23" max="23" width="58.7109375" style="8" customWidth="1"/>
    <col min="24" max="24" width="9.140625" style="8"/>
    <col min="25" max="25" width="15.28515625" style="8" customWidth="1"/>
    <col min="26" max="26" width="13" style="8" customWidth="1"/>
    <col min="27" max="27" width="3.85546875" style="8" customWidth="1"/>
    <col min="28" max="28" width="3.85546875" style="8" hidden="1" customWidth="1"/>
    <col min="29" max="29" width="20" style="8" hidden="1" customWidth="1"/>
    <col min="30" max="30" width="8.5703125" style="8" hidden="1" customWidth="1"/>
    <col min="31" max="37" width="9.85546875" style="8" hidden="1" customWidth="1"/>
    <col min="38" max="38" width="8.140625" style="8" hidden="1" customWidth="1"/>
    <col min="39" max="40" width="7.42578125" style="8" hidden="1" customWidth="1"/>
    <col min="41" max="41" width="8.5703125" style="8" hidden="1" customWidth="1"/>
    <col min="42" max="42" width="9.85546875" style="110" hidden="1" customWidth="1"/>
    <col min="43" max="43" width="9.85546875" style="8" hidden="1" customWidth="1"/>
    <col min="44" max="47" width="9.7109375" style="8" hidden="1" customWidth="1"/>
    <col min="48" max="49" width="9.140625" style="8" hidden="1" customWidth="1"/>
    <col min="50" max="50" width="13.42578125" style="8" hidden="1" customWidth="1"/>
    <col min="51" max="51" width="10.28515625" style="8" hidden="1" customWidth="1"/>
    <col min="52" max="53" width="10.42578125" style="8" hidden="1" customWidth="1"/>
    <col min="54" max="54" width="9.140625" style="8" hidden="1" customWidth="1"/>
    <col min="55" max="55" width="13.42578125" style="8" hidden="1" customWidth="1"/>
    <col min="56" max="72" width="9.140625" style="8" hidden="1" customWidth="1"/>
    <col min="73" max="16384" width="9.140625" style="8"/>
  </cols>
  <sheetData>
    <row r="1" spans="1:71" x14ac:dyDescent="0.25">
      <c r="A1" s="328"/>
      <c r="B1" s="328"/>
      <c r="C1" s="328"/>
      <c r="D1" s="328"/>
      <c r="E1" s="328"/>
      <c r="F1" s="328"/>
      <c r="G1" s="328"/>
      <c r="H1" s="328"/>
      <c r="I1" s="328"/>
      <c r="J1" s="328"/>
      <c r="K1" s="328"/>
      <c r="L1" s="328"/>
      <c r="M1" s="328"/>
      <c r="N1" s="328"/>
      <c r="O1" s="328"/>
      <c r="P1" s="328"/>
      <c r="Q1" s="328"/>
      <c r="R1" s="328"/>
      <c r="S1" s="328"/>
      <c r="T1" s="328"/>
    </row>
    <row r="2" spans="1:71" ht="15.75" x14ac:dyDescent="0.25">
      <c r="B2" s="123" t="s">
        <v>366</v>
      </c>
    </row>
    <row r="3" spans="1:71" ht="23.25" x14ac:dyDescent="0.35">
      <c r="B3" s="170" t="s">
        <v>482</v>
      </c>
      <c r="C3" s="10"/>
    </row>
    <row r="4" spans="1:71" ht="18" customHeight="1" x14ac:dyDescent="0.25">
      <c r="B4" s="508"/>
    </row>
    <row r="5" spans="1:71" ht="18.75" customHeight="1" x14ac:dyDescent="0.25">
      <c r="B5" s="193" t="s">
        <v>459</v>
      </c>
      <c r="C5" s="11"/>
      <c r="D5" s="11"/>
      <c r="E5" s="11"/>
      <c r="F5" s="11"/>
      <c r="G5" s="11"/>
      <c r="H5" s="11"/>
      <c r="I5" s="11"/>
      <c r="J5" s="11"/>
      <c r="K5" s="11"/>
      <c r="L5" s="11"/>
      <c r="M5" s="11"/>
      <c r="N5" s="11"/>
      <c r="O5" s="11"/>
      <c r="P5" s="11"/>
      <c r="Q5" s="11"/>
      <c r="R5" s="11"/>
      <c r="S5" s="11"/>
      <c r="T5" s="11"/>
    </row>
    <row r="9" spans="1:71" ht="70.5" customHeight="1" thickBot="1" x14ac:dyDescent="0.3"/>
    <row r="10" spans="1:71" ht="18.75" customHeight="1" thickBot="1" x14ac:dyDescent="0.3">
      <c r="C10" s="453" t="s">
        <v>301</v>
      </c>
      <c r="D10" s="454"/>
      <c r="E10" s="455"/>
      <c r="F10" s="1111" t="str">
        <f>IF(ISBLANK('1.General_Info'!D8), "", '1.General_Info'!D8)</f>
        <v>TEEST BIZ</v>
      </c>
      <c r="G10" s="1111"/>
      <c r="H10" s="1111"/>
      <c r="I10" s="1111"/>
      <c r="J10" s="1111"/>
      <c r="K10" s="1111"/>
      <c r="L10" s="1111"/>
      <c r="M10" s="1111"/>
      <c r="N10" s="1111"/>
      <c r="O10" s="1118" t="s">
        <v>411</v>
      </c>
      <c r="P10" s="1118"/>
      <c r="Q10" s="1118"/>
      <c r="R10" s="1118"/>
      <c r="S10" s="1119"/>
      <c r="T10" s="13"/>
    </row>
    <row r="11" spans="1:71" s="13" customFormat="1" ht="18.75" customHeight="1" x14ac:dyDescent="0.25">
      <c r="C11" s="34"/>
      <c r="D11" s="186"/>
      <c r="E11" s="186"/>
      <c r="F11" s="186"/>
      <c r="G11" s="186"/>
      <c r="H11" s="186"/>
      <c r="I11" s="186"/>
      <c r="J11" s="309"/>
      <c r="K11" s="1110" t="s">
        <v>518</v>
      </c>
      <c r="L11" s="1110"/>
      <c r="M11" s="1110"/>
      <c r="N11" s="1110"/>
      <c r="O11" s="1110"/>
      <c r="P11" s="1110"/>
      <c r="Q11" s="1110"/>
      <c r="R11" s="186"/>
      <c r="S11" s="36"/>
      <c r="AL11" s="406" t="s">
        <v>350</v>
      </c>
      <c r="AM11" s="407"/>
      <c r="AN11" s="407"/>
      <c r="AO11" s="407"/>
      <c r="AP11" s="407"/>
      <c r="AQ11" s="407"/>
      <c r="AR11" s="408"/>
      <c r="AS11" s="407"/>
      <c r="AT11" s="407"/>
      <c r="AU11" s="409"/>
      <c r="AV11" s="63"/>
      <c r="AW11" s="63"/>
    </row>
    <row r="12" spans="1:71" s="13" customFormat="1" ht="18.75" customHeight="1" x14ac:dyDescent="0.25">
      <c r="C12" s="34"/>
      <c r="D12" s="35"/>
      <c r="E12" s="35"/>
      <c r="F12" s="1117" t="s">
        <v>123</v>
      </c>
      <c r="G12" s="1117"/>
      <c r="H12" s="1117"/>
      <c r="I12" s="1117"/>
      <c r="J12" s="1117"/>
      <c r="K12" s="1117"/>
      <c r="L12" s="225"/>
      <c r="M12" s="1115" t="s">
        <v>265</v>
      </c>
      <c r="N12" s="1116"/>
      <c r="O12" s="209"/>
      <c r="P12" s="1112" t="s">
        <v>23</v>
      </c>
      <c r="Q12" s="1113"/>
      <c r="R12" s="1114"/>
      <c r="S12" s="36"/>
      <c r="AD12" s="406" t="s">
        <v>349</v>
      </c>
      <c r="AE12" s="404"/>
      <c r="AF12" s="404"/>
      <c r="AG12" s="404"/>
      <c r="AH12" s="404"/>
      <c r="AI12" s="404"/>
      <c r="AJ12" s="404"/>
      <c r="AK12" s="405"/>
      <c r="AL12" s="48" t="s">
        <v>230</v>
      </c>
      <c r="AM12" s="11"/>
      <c r="AN12" s="11"/>
      <c r="AO12" s="49"/>
      <c r="AP12" s="203" t="s">
        <v>227</v>
      </c>
      <c r="AQ12" s="11"/>
      <c r="AR12" s="49"/>
      <c r="AS12" s="203" t="s">
        <v>229</v>
      </c>
      <c r="AT12" s="11"/>
      <c r="AU12" s="49"/>
      <c r="AV12" s="406" t="s">
        <v>351</v>
      </c>
      <c r="AW12" s="404"/>
      <c r="AX12" s="404"/>
      <c r="AY12" s="404"/>
      <c r="AZ12" s="404"/>
      <c r="BA12" s="405"/>
      <c r="BB12" s="406" t="s">
        <v>352</v>
      </c>
      <c r="BC12" s="404"/>
      <c r="BD12" s="405"/>
      <c r="BF12" s="406" t="s">
        <v>392</v>
      </c>
      <c r="BG12" s="407"/>
      <c r="BH12" s="404"/>
      <c r="BI12" s="404"/>
      <c r="BJ12" s="404"/>
      <c r="BK12" s="405"/>
      <c r="BL12" s="406" t="s">
        <v>410</v>
      </c>
      <c r="BM12" s="405"/>
      <c r="BN12" s="406" t="s">
        <v>438</v>
      </c>
      <c r="BO12" s="405"/>
      <c r="BQ12" s="16" t="s">
        <v>440</v>
      </c>
    </row>
    <row r="13" spans="1:71" s="13" customFormat="1" ht="46.5" customHeight="1" x14ac:dyDescent="0.25">
      <c r="C13" s="34"/>
      <c r="D13" s="312" t="s">
        <v>274</v>
      </c>
      <c r="E13" s="35"/>
      <c r="F13" s="250" t="s">
        <v>261</v>
      </c>
      <c r="G13" s="251" t="s">
        <v>262</v>
      </c>
      <c r="H13" s="251" t="s">
        <v>263</v>
      </c>
      <c r="I13" s="251" t="s">
        <v>264</v>
      </c>
      <c r="J13" s="251" t="s">
        <v>243</v>
      </c>
      <c r="K13" s="315" t="s">
        <v>336</v>
      </c>
      <c r="L13" s="35"/>
      <c r="M13" s="483" t="s">
        <v>210</v>
      </c>
      <c r="N13" s="228" t="s">
        <v>266</v>
      </c>
      <c r="O13" s="35"/>
      <c r="P13" s="230" t="s">
        <v>333</v>
      </c>
      <c r="Q13" s="232" t="s">
        <v>334</v>
      </c>
      <c r="R13" s="232" t="s">
        <v>335</v>
      </c>
      <c r="S13" s="36"/>
      <c r="AB13" s="152" t="s">
        <v>189</v>
      </c>
      <c r="AC13" s="133"/>
      <c r="AD13" s="403" t="s">
        <v>212</v>
      </c>
      <c r="AE13" s="316" t="s">
        <v>193</v>
      </c>
      <c r="AF13" s="316" t="s">
        <v>194</v>
      </c>
      <c r="AG13" s="316" t="s">
        <v>211</v>
      </c>
      <c r="AH13" s="316" t="s">
        <v>213</v>
      </c>
      <c r="AI13" s="316" t="s">
        <v>214</v>
      </c>
      <c r="AJ13" s="316" t="s">
        <v>337</v>
      </c>
      <c r="AK13" s="316" t="s">
        <v>338</v>
      </c>
      <c r="AL13" s="207" t="s">
        <v>223</v>
      </c>
      <c r="AM13" s="205" t="s">
        <v>224</v>
      </c>
      <c r="AN13" s="205" t="s">
        <v>226</v>
      </c>
      <c r="AO13" s="206" t="s">
        <v>225</v>
      </c>
      <c r="AP13" s="204" t="s">
        <v>231</v>
      </c>
      <c r="AQ13" s="205" t="s">
        <v>188</v>
      </c>
      <c r="AR13" s="206" t="s">
        <v>184</v>
      </c>
      <c r="AS13" s="204" t="s">
        <v>228</v>
      </c>
      <c r="AT13" s="205" t="s">
        <v>188</v>
      </c>
      <c r="AU13" s="206" t="s">
        <v>184</v>
      </c>
      <c r="AV13" s="131" t="s">
        <v>185</v>
      </c>
      <c r="AW13" s="132" t="s">
        <v>199</v>
      </c>
      <c r="AX13" s="132" t="s">
        <v>200</v>
      </c>
      <c r="AY13" s="132" t="s">
        <v>231</v>
      </c>
      <c r="AZ13" s="132" t="s">
        <v>190</v>
      </c>
      <c r="BA13" s="133" t="s">
        <v>186</v>
      </c>
      <c r="BB13" s="131" t="s">
        <v>232</v>
      </c>
      <c r="BC13" s="132" t="s">
        <v>191</v>
      </c>
      <c r="BD13" s="133" t="s">
        <v>192</v>
      </c>
      <c r="BF13" s="13" t="s">
        <v>397</v>
      </c>
      <c r="BG13" s="13" t="s">
        <v>393</v>
      </c>
      <c r="BH13" s="13" t="s">
        <v>394</v>
      </c>
      <c r="BI13" s="13" t="s">
        <v>395</v>
      </c>
      <c r="BJ13" s="13" t="s">
        <v>396</v>
      </c>
      <c r="BK13" s="13" t="s">
        <v>435</v>
      </c>
      <c r="BL13" s="13" t="s">
        <v>404</v>
      </c>
      <c r="BM13" s="13" t="s">
        <v>405</v>
      </c>
      <c r="BN13" s="13" t="s">
        <v>439</v>
      </c>
      <c r="BO13" s="13" t="s">
        <v>405</v>
      </c>
      <c r="BQ13" s="13" t="s">
        <v>441</v>
      </c>
      <c r="BR13" s="13" t="s">
        <v>133</v>
      </c>
      <c r="BS13" s="13" t="s">
        <v>196</v>
      </c>
    </row>
    <row r="14" spans="1:71" s="13" customFormat="1" ht="15" customHeight="1" x14ac:dyDescent="0.25">
      <c r="C14" s="34"/>
      <c r="D14" s="251" t="s">
        <v>110</v>
      </c>
      <c r="E14" s="38"/>
      <c r="F14" s="251" t="s">
        <v>12</v>
      </c>
      <c r="G14" s="251" t="s">
        <v>12</v>
      </c>
      <c r="H14" s="251" t="s">
        <v>12</v>
      </c>
      <c r="I14" s="251" t="s">
        <v>83</v>
      </c>
      <c r="J14" s="251" t="s">
        <v>22</v>
      </c>
      <c r="K14" s="251" t="s">
        <v>111</v>
      </c>
      <c r="L14" s="35"/>
      <c r="M14" s="484" t="s">
        <v>83</v>
      </c>
      <c r="N14" s="229" t="s">
        <v>83</v>
      </c>
      <c r="O14" s="35"/>
      <c r="P14" s="231" t="s">
        <v>12</v>
      </c>
      <c r="Q14" s="231" t="s">
        <v>22</v>
      </c>
      <c r="R14" s="231" t="s">
        <v>111</v>
      </c>
      <c r="S14" s="36"/>
      <c r="X14" s="71"/>
      <c r="Y14" s="71"/>
      <c r="Z14" s="71"/>
      <c r="AB14" s="95" t="s">
        <v>14</v>
      </c>
      <c r="AC14" s="153"/>
      <c r="AD14" s="134" t="e">
        <f>#REF!</f>
        <v>#REF!</v>
      </c>
      <c r="AE14" s="114"/>
      <c r="AF14" s="114"/>
      <c r="AG14" s="114" t="e">
        <f>#REF!</f>
        <v>#REF!</v>
      </c>
      <c r="AH14" s="114"/>
      <c r="AI14" s="113" t="e">
        <f>AG14*#REF!</f>
        <v>#REF!</v>
      </c>
      <c r="AJ14" s="113" t="e">
        <f>AG14*#REF!</f>
        <v>#REF!</v>
      </c>
      <c r="AK14" s="113" t="e">
        <f>AI14-AJ14</f>
        <v>#REF!</v>
      </c>
      <c r="AL14" s="134" t="e">
        <f>G15*N15</f>
        <v>#VALUE!</v>
      </c>
      <c r="AM14" s="114" t="e">
        <f>F15*N15</f>
        <v>#VALUE!</v>
      </c>
      <c r="AN14" s="114" t="e">
        <f>AL14*#REF!</f>
        <v>#VALUE!</v>
      </c>
      <c r="AO14" s="113" t="e">
        <f>AM14*#REF!</f>
        <v>#VALUE!</v>
      </c>
      <c r="AP14" s="114"/>
      <c r="AQ14" s="114"/>
      <c r="AR14" s="114"/>
      <c r="AS14" s="114"/>
      <c r="AT14" s="114"/>
      <c r="AU14" s="135"/>
      <c r="AV14" s="134">
        <f>IF(ISBLANK(M15),0,(H15-SUM(AL14:AM14))*(M15-I15))</f>
        <v>0</v>
      </c>
      <c r="AW14" s="113" t="e">
        <f>AV14*#REF!</f>
        <v>#REF!</v>
      </c>
      <c r="AX14" s="113" t="e">
        <f>AV14*#REF!</f>
        <v>#REF!</v>
      </c>
      <c r="AY14" s="113"/>
      <c r="AZ14" s="114"/>
      <c r="BA14" s="135"/>
      <c r="BB14" s="114" t="e">
        <f>AM14+AV14</f>
        <v>#VALUE!</v>
      </c>
      <c r="BC14" s="114" t="e">
        <f>AN14+AO14+AW14-AX14</f>
        <v>#VALUE!</v>
      </c>
      <c r="BD14" s="135" t="e">
        <f>-SUM(AR15, AU15,BA15)</f>
        <v>#VALUE!</v>
      </c>
      <c r="BE14" s="114"/>
      <c r="BF14" s="114"/>
      <c r="BG14" s="114"/>
      <c r="BH14" s="114"/>
      <c r="BI14" s="114"/>
      <c r="BJ14" s="114"/>
      <c r="BK14" s="114"/>
      <c r="BL14" s="452" t="e">
        <f>IF(SUM(BG56:BI56)=0,0,SUM(BG15:BH15)/SUM($BG$56:$BI$56))</f>
        <v>#VALUE!</v>
      </c>
      <c r="BM14" s="287" t="e">
        <f>'9.CustomRates'!$BQ$71*'4.Future_Benefits '!BL14</f>
        <v>#VALUE!</v>
      </c>
      <c r="BN14" s="452" t="e">
        <f>IF(SUM($BH$56:$BK$56)=0,0,SUM(BH15:BK15)/SUM($BH$56:$BK$56))</f>
        <v>#VALUE!</v>
      </c>
      <c r="BO14" s="287" t="e">
        <f>'9.CustomRates'!$BR$34*'4.Future_Benefits '!BN14</f>
        <v>#VALUE!</v>
      </c>
      <c r="BQ14" s="13" t="e">
        <f>IF('9.CustomRates'!$T$14, '4.Future_Benefits '!BM14, '4.Future_Benefits '!AO14+'4.Future_Benefits '!AW14)</f>
        <v>#VALUE!</v>
      </c>
      <c r="BR14" s="13" t="e">
        <f>IF('9.CustomRates'!$U$14, '4.Future_Benefits '!BO14, '4.Future_Benefits '!AN14-'4.Future_Benefits '!AX14)</f>
        <v>#VALUE!</v>
      </c>
      <c r="BS14" s="13" t="e">
        <f>SUM(BQ14:BR14)</f>
        <v>#VALUE!</v>
      </c>
    </row>
    <row r="15" spans="1:71" ht="18.75" customHeight="1" x14ac:dyDescent="0.25">
      <c r="C15" s="37"/>
      <c r="D15" s="249" t="s">
        <v>14</v>
      </c>
      <c r="E15" s="194"/>
      <c r="F15" s="247" t="str">
        <f xml:space="preserve"> IF(ISERROR(#REF!), "",#REF!)</f>
        <v/>
      </c>
      <c r="G15" s="247" t="str">
        <f xml:space="preserve"> IF(ISERROR(#REF!), "",#REF!)</f>
        <v/>
      </c>
      <c r="H15" s="247" t="str">
        <f>IF(ISERROR(F15+G15), "", F15+G15)</f>
        <v/>
      </c>
      <c r="I15" s="248" t="str">
        <f>IF(ISERROR(G15/H15),"",G15/H15)</f>
        <v/>
      </c>
      <c r="J15" s="318" t="str">
        <f>IF(ISERROR(AK14), "", AK14)</f>
        <v/>
      </c>
      <c r="K15" s="317" t="str">
        <f>IF(ISERROR(AH15),"",-AH15)</f>
        <v/>
      </c>
      <c r="L15" s="195"/>
      <c r="M15" s="485"/>
      <c r="N15" s="196"/>
      <c r="O15" s="197"/>
      <c r="P15" s="252" t="str">
        <f>IF(ISERROR(BB14), "", BB14)</f>
        <v/>
      </c>
      <c r="Q15" s="297" t="str">
        <f>IF(ISERROR(BS14), "", BS14)</f>
        <v/>
      </c>
      <c r="R15" s="253" t="str">
        <f>IF(ISERROR(BD14), "", BD14)</f>
        <v/>
      </c>
      <c r="S15" s="39"/>
      <c r="T15" s="306" t="s">
        <v>313</v>
      </c>
      <c r="X15" s="72"/>
      <c r="Y15" s="72"/>
      <c r="Z15" s="72"/>
      <c r="AB15" s="96"/>
      <c r="AC15" s="154" t="s">
        <v>134</v>
      </c>
      <c r="AD15" s="136" t="e">
        <f>#REF!</f>
        <v>#REF!</v>
      </c>
      <c r="AE15" s="137" t="e">
        <f>AD15*#REF!-AD15*#REF!</f>
        <v>#REF!</v>
      </c>
      <c r="AF15" s="137" t="e">
        <f>AD15*#REF!-AD15*#REF!</f>
        <v>#REF!</v>
      </c>
      <c r="AG15" s="137" t="e">
        <f>#REF!</f>
        <v>#REF!</v>
      </c>
      <c r="AH15" s="137" t="e">
        <f>AG15*#REF!-AG15*#REF!</f>
        <v>#REF!</v>
      </c>
      <c r="AI15" s="137"/>
      <c r="AJ15" s="217"/>
      <c r="AK15" s="217"/>
      <c r="AL15" s="210" t="e">
        <f>AL14</f>
        <v>#VALUE!</v>
      </c>
      <c r="AM15" s="211" t="e">
        <f>AM14</f>
        <v>#VALUE!</v>
      </c>
      <c r="AN15" s="211"/>
      <c r="AO15" s="212"/>
      <c r="AP15" s="137" t="e">
        <f>AM15*#REF!</f>
        <v>#VALUE!</v>
      </c>
      <c r="AQ15" s="137" t="e">
        <f>AM15*#REF!</f>
        <v>#VALUE!</v>
      </c>
      <c r="AR15" s="211" t="e">
        <f>AQ15-AP15</f>
        <v>#VALUE!</v>
      </c>
      <c r="AS15" s="211" t="e">
        <f>AL15*#REF!</f>
        <v>#VALUE!</v>
      </c>
      <c r="AT15" s="137" t="e">
        <f>AL15*#REF!</f>
        <v>#VALUE!</v>
      </c>
      <c r="AU15" s="213" t="e">
        <f>AT15-AS15</f>
        <v>#VALUE!</v>
      </c>
      <c r="AV15" s="210">
        <f>AV14</f>
        <v>0</v>
      </c>
      <c r="AW15" s="212"/>
      <c r="AX15" s="217"/>
      <c r="AY15" s="217" t="e">
        <f>AV15*#REF!</f>
        <v>#REF!</v>
      </c>
      <c r="AZ15" s="211" t="e">
        <f>AV15*#REF!</f>
        <v>#REF!</v>
      </c>
      <c r="BA15" s="213" t="e">
        <f>AZ15-AY15</f>
        <v>#REF!</v>
      </c>
      <c r="BB15" s="211"/>
      <c r="BC15" s="211"/>
      <c r="BD15" s="213"/>
      <c r="BE15" s="211"/>
      <c r="BF15" s="211">
        <v>53</v>
      </c>
      <c r="BG15" s="211" t="e">
        <f>AM15*2000/BF15</f>
        <v>#VALUE!</v>
      </c>
      <c r="BH15" s="211">
        <f>AV15*2000/BF15</f>
        <v>0</v>
      </c>
      <c r="BI15" s="211"/>
      <c r="BJ15" s="211" t="e">
        <f>AM15*2000/BF15</f>
        <v>#VALUE!</v>
      </c>
    </row>
    <row r="16" spans="1:71" ht="18.75" customHeight="1" x14ac:dyDescent="0.25">
      <c r="C16" s="37"/>
      <c r="D16" s="249" t="s">
        <v>13</v>
      </c>
      <c r="E16" s="194"/>
      <c r="F16" s="247" t="str">
        <f xml:space="preserve"> IF(ISERROR(#REF!), "",#REF!)</f>
        <v/>
      </c>
      <c r="G16" s="247" t="str">
        <f xml:space="preserve"> IF(ISERROR(#REF!), "",#REF!)</f>
        <v/>
      </c>
      <c r="H16" s="247" t="str">
        <f t="shared" ref="H16:H23" si="0">IF(ISERROR(F16+G16), "", F16+G16)</f>
        <v/>
      </c>
      <c r="I16" s="248" t="str">
        <f t="shared" ref="I16:I24" si="1">IF(ISERROR(G16/H16),"",G16/H16)</f>
        <v/>
      </c>
      <c r="J16" s="318" t="str">
        <f>IF(ISERROR(AK16), "", AK16)</f>
        <v/>
      </c>
      <c r="K16" s="317" t="str">
        <f>IF(ISERROR(SUM(AH17:AH22)), "", -SUM(AH17:AH22))</f>
        <v/>
      </c>
      <c r="L16" s="195"/>
      <c r="M16" s="485"/>
      <c r="N16" s="196"/>
      <c r="O16" s="197"/>
      <c r="P16" s="252" t="str">
        <f>IF(ISERROR(BB16), "", BB16)</f>
        <v/>
      </c>
      <c r="Q16" s="297" t="str">
        <f>IF(ISERROR(BS16),"",BS16)</f>
        <v/>
      </c>
      <c r="R16" s="253" t="str">
        <f>IF(ISERROR(BD16),"",BD16)</f>
        <v/>
      </c>
      <c r="S16" s="39"/>
      <c r="X16" s="72"/>
      <c r="Y16" s="72"/>
      <c r="Z16" s="72"/>
      <c r="AB16" s="95" t="s">
        <v>13</v>
      </c>
      <c r="AC16" s="153"/>
      <c r="AD16" s="134" t="e">
        <f>#REF!</f>
        <v>#REF!</v>
      </c>
      <c r="AE16" s="114"/>
      <c r="AF16" s="114"/>
      <c r="AG16" s="114" t="e">
        <f>#REF!</f>
        <v>#REF!</v>
      </c>
      <c r="AH16" s="114"/>
      <c r="AI16" s="113" t="e">
        <f>AG16*#REF!</f>
        <v>#REF!</v>
      </c>
      <c r="AJ16" s="113" t="e">
        <f>AG16*#REF!</f>
        <v>#REF!</v>
      </c>
      <c r="AK16" s="113" t="e">
        <f>AI16-AJ16</f>
        <v>#REF!</v>
      </c>
      <c r="AL16" s="134" t="e">
        <f>G16*N16</f>
        <v>#VALUE!</v>
      </c>
      <c r="AM16" s="114" t="e">
        <f>F16*N16</f>
        <v>#VALUE!</v>
      </c>
      <c r="AN16" s="114" t="e">
        <f>AL16*#REF!</f>
        <v>#VALUE!</v>
      </c>
      <c r="AO16" s="113" t="e">
        <f>AM16*#REF!</f>
        <v>#VALUE!</v>
      </c>
      <c r="AP16" s="114"/>
      <c r="AQ16" s="114"/>
      <c r="AR16" s="114"/>
      <c r="AS16" s="114"/>
      <c r="AT16" s="114"/>
      <c r="AU16" s="135"/>
      <c r="AV16" s="134">
        <f>IF(ISBLANK(M16),0,(M16-I16)*(H16-SUM(AL17:AM22)))</f>
        <v>0</v>
      </c>
      <c r="AW16" s="113" t="e">
        <f>AV16*#REF!</f>
        <v>#REF!</v>
      </c>
      <c r="AX16" s="113" t="e">
        <f>AV16*#REF!</f>
        <v>#REF!</v>
      </c>
      <c r="AY16" s="113"/>
      <c r="AZ16" s="114"/>
      <c r="BA16" s="135"/>
      <c r="BB16" s="114" t="e">
        <f>AM16+AV16</f>
        <v>#VALUE!</v>
      </c>
      <c r="BC16" s="114" t="e">
        <f>AN16+AO16+AW16-AX16</f>
        <v>#VALUE!</v>
      </c>
      <c r="BD16" s="135" t="e">
        <f>-SUM(AR17:AR22, AU17:AU22,BA17:BA22)</f>
        <v>#REF!</v>
      </c>
      <c r="BE16" s="114"/>
      <c r="BF16" s="114"/>
      <c r="BG16" s="114"/>
      <c r="BH16" s="114"/>
      <c r="BI16" s="114"/>
      <c r="BJ16" s="114"/>
      <c r="BK16" s="114"/>
      <c r="BL16" s="452" t="e">
        <f>IF(SUM(BG56:BI56)=0,0,SUM(BG17:BH22)/SUM($BG$56:$BI$56))</f>
        <v>#VALUE!</v>
      </c>
      <c r="BM16" s="287" t="e">
        <f>'9.CustomRates'!$BQ$71*'4.Future_Benefits '!BL16</f>
        <v>#VALUE!</v>
      </c>
      <c r="BN16" s="452" t="e">
        <f>IF(SUM($BH$56:$BK$56)=0,0,SUM(BH17:BK22)/SUM($BH$56:$BK$56))</f>
        <v>#VALUE!</v>
      </c>
      <c r="BO16" s="287" t="e">
        <f>'9.CustomRates'!$BR$34*'4.Future_Benefits '!BN16</f>
        <v>#VALUE!</v>
      </c>
      <c r="BQ16" s="13" t="e">
        <f>IF('9.CustomRates'!$T$14, '4.Future_Benefits '!BM16, '4.Future_Benefits '!AO16+'4.Future_Benefits '!AW16)</f>
        <v>#VALUE!</v>
      </c>
      <c r="BR16" s="13" t="e">
        <f>IF('9.CustomRates'!$U$14, '4.Future_Benefits '!BO16, '4.Future_Benefits '!AN16-'4.Future_Benefits '!AX16)</f>
        <v>#VALUE!</v>
      </c>
      <c r="BS16" s="13" t="e">
        <f>SUM(BQ16:BR16)</f>
        <v>#VALUE!</v>
      </c>
    </row>
    <row r="17" spans="2:71" ht="18.75" customHeight="1" x14ac:dyDescent="0.25">
      <c r="C17" s="37"/>
      <c r="D17" s="249" t="s">
        <v>15</v>
      </c>
      <c r="E17" s="194"/>
      <c r="F17" s="247" t="str">
        <f xml:space="preserve"> IF(ISERROR(#REF!), "",#REF!)</f>
        <v/>
      </c>
      <c r="G17" s="247" t="str">
        <f xml:space="preserve"> IF(ISERROR(#REF!), "",#REF!)</f>
        <v/>
      </c>
      <c r="H17" s="247" t="str">
        <f t="shared" si="0"/>
        <v/>
      </c>
      <c r="I17" s="248" t="str">
        <f t="shared" si="1"/>
        <v/>
      </c>
      <c r="J17" s="318" t="str">
        <f>IF(ISERROR(AK25), "", AK25)</f>
        <v/>
      </c>
      <c r="K17" s="317" t="str">
        <f>IF(ISERROR(SUM(AH26:AH30)), "", -SUM(AH26:AH30))</f>
        <v/>
      </c>
      <c r="L17" s="195"/>
      <c r="M17" s="485"/>
      <c r="N17" s="196"/>
      <c r="O17" s="197"/>
      <c r="P17" s="252" t="str">
        <f>IF(ISERROR(BB25), "", BB25)</f>
        <v/>
      </c>
      <c r="Q17" s="297" t="str">
        <f>IF(ISERROR(BS25), "", BS25)</f>
        <v/>
      </c>
      <c r="R17" s="253" t="str">
        <f>IF(ISERROR(BD25), "", BD25)</f>
        <v/>
      </c>
      <c r="S17" s="39"/>
      <c r="X17" s="72"/>
      <c r="Y17" s="72"/>
      <c r="Z17" s="72"/>
      <c r="AB17" s="96"/>
      <c r="AC17" s="154" t="s">
        <v>135</v>
      </c>
      <c r="AD17" s="139" t="e">
        <f>#REF!</f>
        <v>#REF!</v>
      </c>
      <c r="AE17" s="116" t="e">
        <f>AD17*#REF!</f>
        <v>#REF!</v>
      </c>
      <c r="AF17" s="116" t="e">
        <f>AD17*#REF!-AD17*#REF!</f>
        <v>#REF!</v>
      </c>
      <c r="AG17" s="116" t="e">
        <f>#REF!</f>
        <v>#REF!</v>
      </c>
      <c r="AH17" s="116" t="e">
        <f>AG17*#REF!-AG17*#REF!</f>
        <v>#REF!</v>
      </c>
      <c r="AI17" s="116"/>
      <c r="AJ17" s="115"/>
      <c r="AK17" s="115"/>
      <c r="AL17" s="139" t="e">
        <f t="shared" ref="AL17:AL22" si="2">IF($AD$16=0, 0, AD17/$AD$16*$AL$16)</f>
        <v>#REF!</v>
      </c>
      <c r="AM17" s="116" t="e">
        <f t="shared" ref="AM17:AM22" si="3">IF($AD$16=0, 0, AD17/$AD$16*$AM$16)</f>
        <v>#REF!</v>
      </c>
      <c r="AN17" s="116"/>
      <c r="AO17" s="115"/>
      <c r="AP17" s="116" t="e">
        <f>AM17*#REF!</f>
        <v>#REF!</v>
      </c>
      <c r="AQ17" s="116" t="e">
        <f>AM17*#REF!</f>
        <v>#REF!</v>
      </c>
      <c r="AR17" s="211" t="e">
        <f t="shared" ref="AR17:AR22" si="4">AQ17-AP17</f>
        <v>#REF!</v>
      </c>
      <c r="AS17" s="116" t="e">
        <f>AL17*#REF!</f>
        <v>#REF!</v>
      </c>
      <c r="AT17" s="116" t="e">
        <f>AL17*#REF!</f>
        <v>#REF!</v>
      </c>
      <c r="AU17" s="213" t="e">
        <f t="shared" ref="AU17:AU22" si="5">AT17-AS17</f>
        <v>#REF!</v>
      </c>
      <c r="AV17" s="139">
        <f t="shared" ref="AV17:AV22" si="6">IF(ISBLANK($M$16), 0, IF($AD$16=0, 0, AD17/$AD$16*$AV$16))</f>
        <v>0</v>
      </c>
      <c r="AW17" s="115"/>
      <c r="AX17" s="115"/>
      <c r="AY17" s="115" t="e">
        <f>AV17*#REF!</f>
        <v>#REF!</v>
      </c>
      <c r="AZ17" s="116" t="e">
        <f>AV17*#REF!</f>
        <v>#REF!</v>
      </c>
      <c r="BA17" s="140" t="e">
        <f t="shared" ref="BA17:BA42" si="7">AZ17-AY17</f>
        <v>#REF!</v>
      </c>
      <c r="BB17" s="116"/>
      <c r="BC17" s="116"/>
      <c r="BD17" s="140"/>
      <c r="BE17" s="116"/>
      <c r="BF17" s="116">
        <v>108</v>
      </c>
      <c r="BG17" s="211" t="e">
        <f t="shared" ref="BG17:BG22" si="8">AM17*2000/BF17</f>
        <v>#REF!</v>
      </c>
      <c r="BH17" s="211">
        <f t="shared" ref="BH17:BH22" si="9">AV17*2000/BF17</f>
        <v>0</v>
      </c>
      <c r="BI17" s="211"/>
      <c r="BJ17" s="211" t="e">
        <f t="shared" ref="BJ17:BJ22" si="10">AM17*2000/BF17</f>
        <v>#REF!</v>
      </c>
      <c r="BL17" s="452"/>
      <c r="BM17" s="287"/>
    </row>
    <row r="18" spans="2:71" ht="18.75" customHeight="1" x14ac:dyDescent="0.25">
      <c r="C18" s="37"/>
      <c r="D18" s="249" t="s">
        <v>16</v>
      </c>
      <c r="E18" s="194"/>
      <c r="F18" s="247" t="str">
        <f xml:space="preserve"> IF(ISERROR(#REF!), "",#REF!)</f>
        <v/>
      </c>
      <c r="G18" s="247" t="str">
        <f xml:space="preserve"> IF(ISERROR(#REF!), "",#REF!)</f>
        <v/>
      </c>
      <c r="H18" s="247" t="str">
        <f t="shared" si="0"/>
        <v/>
      </c>
      <c r="I18" s="248" t="str">
        <f t="shared" si="1"/>
        <v/>
      </c>
      <c r="J18" s="318" t="str">
        <f>IF(ISERROR(AK31), "", AK31)</f>
        <v/>
      </c>
      <c r="K18" s="317" t="str">
        <f>IF(ISERROR(SUM(AH32:AH34)),"",-SUM(AH32:AH34))</f>
        <v/>
      </c>
      <c r="L18" s="195"/>
      <c r="M18" s="485"/>
      <c r="N18" s="196"/>
      <c r="O18" s="197"/>
      <c r="P18" s="252" t="str">
        <f>IF(ISERROR(BB31), "", BB31)</f>
        <v/>
      </c>
      <c r="Q18" s="297" t="str">
        <f>IF(ISERROR(BS31), "", BS31)</f>
        <v/>
      </c>
      <c r="R18" s="253" t="str">
        <f>IF(ISERROR(BD31), "", BD31)</f>
        <v/>
      </c>
      <c r="S18" s="39"/>
      <c r="X18" s="72"/>
      <c r="Y18" s="72"/>
      <c r="Z18" s="72"/>
      <c r="AB18" s="96"/>
      <c r="AC18" s="154" t="s">
        <v>136</v>
      </c>
      <c r="AD18" s="139" t="e">
        <f>#REF!</f>
        <v>#REF!</v>
      </c>
      <c r="AE18" s="116" t="e">
        <f>AD18*#REF!</f>
        <v>#REF!</v>
      </c>
      <c r="AF18" s="116" t="e">
        <f>AD18*#REF!-AD18*#REF!</f>
        <v>#REF!</v>
      </c>
      <c r="AG18" s="116" t="e">
        <f>#REF!</f>
        <v>#REF!</v>
      </c>
      <c r="AH18" s="116" t="e">
        <f>AG18*#REF!-AG18*#REF!</f>
        <v>#REF!</v>
      </c>
      <c r="AI18" s="116"/>
      <c r="AJ18" s="115"/>
      <c r="AK18" s="115"/>
      <c r="AL18" s="139" t="e">
        <f t="shared" si="2"/>
        <v>#REF!</v>
      </c>
      <c r="AM18" s="116" t="e">
        <f t="shared" si="3"/>
        <v>#REF!</v>
      </c>
      <c r="AN18" s="116"/>
      <c r="AO18" s="115"/>
      <c r="AP18" s="116" t="e">
        <f>AM18*#REF!</f>
        <v>#REF!</v>
      </c>
      <c r="AQ18" s="116" t="e">
        <f>AM18*#REF!</f>
        <v>#REF!</v>
      </c>
      <c r="AR18" s="211" t="e">
        <f t="shared" si="4"/>
        <v>#REF!</v>
      </c>
      <c r="AS18" s="116" t="e">
        <f>AL18*#REF!</f>
        <v>#REF!</v>
      </c>
      <c r="AT18" s="116" t="e">
        <f>AL18*#REF!</f>
        <v>#REF!</v>
      </c>
      <c r="AU18" s="213" t="e">
        <f t="shared" si="5"/>
        <v>#REF!</v>
      </c>
      <c r="AV18" s="139">
        <f t="shared" si="6"/>
        <v>0</v>
      </c>
      <c r="AW18" s="115"/>
      <c r="AX18" s="115"/>
      <c r="AY18" s="115" t="e">
        <f>AV18*#REF!</f>
        <v>#REF!</v>
      </c>
      <c r="AZ18" s="116" t="e">
        <f>AV18*#REF!</f>
        <v>#REF!</v>
      </c>
      <c r="BA18" s="140" t="e">
        <f t="shared" si="7"/>
        <v>#REF!</v>
      </c>
      <c r="BB18" s="116"/>
      <c r="BC18" s="116"/>
      <c r="BD18" s="140"/>
      <c r="BE18" s="116"/>
      <c r="BF18" s="116">
        <v>360</v>
      </c>
      <c r="BG18" s="211" t="e">
        <f t="shared" si="8"/>
        <v>#REF!</v>
      </c>
      <c r="BH18" s="211">
        <f t="shared" si="9"/>
        <v>0</v>
      </c>
      <c r="BI18" s="211"/>
      <c r="BJ18" s="211" t="e">
        <f t="shared" si="10"/>
        <v>#REF!</v>
      </c>
      <c r="BL18" s="452"/>
      <c r="BM18" s="287"/>
    </row>
    <row r="19" spans="2:71" ht="18.75" customHeight="1" x14ac:dyDescent="0.25">
      <c r="C19" s="37"/>
      <c r="D19" s="249" t="s">
        <v>17</v>
      </c>
      <c r="E19" s="194"/>
      <c r="F19" s="247" t="str">
        <f xml:space="preserve"> IF(ISERROR(#REF!), "",#REF!)</f>
        <v/>
      </c>
      <c r="G19" s="247" t="str">
        <f xml:space="preserve"> IF(ISERROR(#REF!), "",#REF!)</f>
        <v/>
      </c>
      <c r="H19" s="247" t="str">
        <f t="shared" si="0"/>
        <v/>
      </c>
      <c r="I19" s="248" t="str">
        <f t="shared" si="1"/>
        <v/>
      </c>
      <c r="J19" s="318" t="str">
        <f>IF(ISERROR(AK23), "", AK23)</f>
        <v/>
      </c>
      <c r="K19" s="317" t="str">
        <f>IF(ISERROR(AH24),"",-SUM(AH24))</f>
        <v/>
      </c>
      <c r="L19" s="198"/>
      <c r="M19" s="485"/>
      <c r="N19" s="199"/>
      <c r="O19" s="197"/>
      <c r="P19" s="252" t="str">
        <f>IF(ISERROR(BB23), "", BB23)</f>
        <v/>
      </c>
      <c r="Q19" s="297" t="str">
        <f>IF(ISERROR(BS23), "", BS23)</f>
        <v/>
      </c>
      <c r="R19" s="253" t="str">
        <f>IF(ISERROR(BD23), "", BD23)</f>
        <v/>
      </c>
      <c r="S19" s="41"/>
      <c r="X19" s="72"/>
      <c r="Y19" s="72"/>
      <c r="Z19" s="72"/>
      <c r="AB19" s="96"/>
      <c r="AC19" s="154" t="s">
        <v>137</v>
      </c>
      <c r="AD19" s="139" t="e">
        <f>#REF!</f>
        <v>#REF!</v>
      </c>
      <c r="AE19" s="116" t="e">
        <f>AD19*#REF!</f>
        <v>#REF!</v>
      </c>
      <c r="AF19" s="116" t="e">
        <f>AD19*#REF!-AD19*#REF!</f>
        <v>#REF!</v>
      </c>
      <c r="AG19" s="116" t="e">
        <f>#REF!</f>
        <v>#REF!</v>
      </c>
      <c r="AH19" s="116" t="e">
        <f>AG19*#REF!-AG19*#REF!</f>
        <v>#REF!</v>
      </c>
      <c r="AI19" s="116"/>
      <c r="AJ19" s="115"/>
      <c r="AK19" s="115"/>
      <c r="AL19" s="139" t="e">
        <f t="shared" si="2"/>
        <v>#REF!</v>
      </c>
      <c r="AM19" s="116" t="e">
        <f t="shared" si="3"/>
        <v>#REF!</v>
      </c>
      <c r="AN19" s="116"/>
      <c r="AO19" s="115"/>
      <c r="AP19" s="116" t="e">
        <f>AM19*#REF!</f>
        <v>#REF!</v>
      </c>
      <c r="AQ19" s="116" t="e">
        <f>AM19*#REF!</f>
        <v>#REF!</v>
      </c>
      <c r="AR19" s="211" t="e">
        <f t="shared" si="4"/>
        <v>#REF!</v>
      </c>
      <c r="AS19" s="116" t="e">
        <f>AL19*#REF!</f>
        <v>#REF!</v>
      </c>
      <c r="AT19" s="116" t="e">
        <f>AL19*#REF!</f>
        <v>#REF!</v>
      </c>
      <c r="AU19" s="213" t="e">
        <f t="shared" si="5"/>
        <v>#REF!</v>
      </c>
      <c r="AV19" s="139">
        <f t="shared" si="6"/>
        <v>0</v>
      </c>
      <c r="AW19" s="115"/>
      <c r="AX19" s="115"/>
      <c r="AY19" s="115" t="e">
        <f>AV19*#REF!</f>
        <v>#REF!</v>
      </c>
      <c r="AZ19" s="116" t="e">
        <f>AV19*#REF!</f>
        <v>#REF!</v>
      </c>
      <c r="BA19" s="140" t="e">
        <f t="shared" si="7"/>
        <v>#REF!</v>
      </c>
      <c r="BB19" s="116"/>
      <c r="BC19" s="116"/>
      <c r="BD19" s="140"/>
      <c r="BE19" s="116"/>
      <c r="BF19" s="116">
        <v>158</v>
      </c>
      <c r="BG19" s="211" t="e">
        <f t="shared" si="8"/>
        <v>#REF!</v>
      </c>
      <c r="BH19" s="211">
        <f t="shared" si="9"/>
        <v>0</v>
      </c>
      <c r="BI19" s="211"/>
      <c r="BJ19" s="211" t="e">
        <f t="shared" si="10"/>
        <v>#REF!</v>
      </c>
      <c r="BL19" s="452"/>
      <c r="BM19" s="287"/>
    </row>
    <row r="20" spans="2:71" ht="18.75" customHeight="1" x14ac:dyDescent="0.25">
      <c r="C20" s="37"/>
      <c r="D20" s="249" t="s">
        <v>18</v>
      </c>
      <c r="E20" s="194"/>
      <c r="F20" s="247" t="str">
        <f xml:space="preserve"> IF(ISERROR(#REF!), "",#REF!)</f>
        <v/>
      </c>
      <c r="G20" s="247" t="str">
        <f>IF(ISERROR(#REF!), "",#REF!)</f>
        <v/>
      </c>
      <c r="H20" s="247" t="str">
        <f t="shared" si="0"/>
        <v/>
      </c>
      <c r="I20" s="248" t="str">
        <f t="shared" si="1"/>
        <v/>
      </c>
      <c r="J20" s="318" t="str">
        <f>IF(ISERROR(AK35), "", AK35)</f>
        <v/>
      </c>
      <c r="K20" s="317" t="str">
        <f>IF(ISERROR(AH36),"",-SUM(AH36))</f>
        <v/>
      </c>
      <c r="L20" s="198"/>
      <c r="M20" s="485"/>
      <c r="N20" s="199"/>
      <c r="O20" s="197"/>
      <c r="P20" s="252" t="str">
        <f>IF(ISERROR(BB35), "",BB35)</f>
        <v/>
      </c>
      <c r="Q20" s="297" t="str">
        <f>IF(ISERROR(BS35), "", BS35)</f>
        <v/>
      </c>
      <c r="R20" s="253" t="str">
        <f>IF(ISERROR(BD35), "", BD35)</f>
        <v/>
      </c>
      <c r="S20" s="41"/>
      <c r="X20" s="72"/>
      <c r="Y20" s="72"/>
      <c r="Z20" s="72"/>
      <c r="AB20" s="96"/>
      <c r="AC20" s="154" t="s">
        <v>138</v>
      </c>
      <c r="AD20" s="139" t="e">
        <f>#REF!</f>
        <v>#REF!</v>
      </c>
      <c r="AE20" s="116" t="e">
        <f>AD20*#REF!</f>
        <v>#REF!</v>
      </c>
      <c r="AF20" s="116" t="e">
        <f>AD20*#REF!-AD20*#REF!</f>
        <v>#REF!</v>
      </c>
      <c r="AG20" s="116" t="e">
        <f>#REF!</f>
        <v>#REF!</v>
      </c>
      <c r="AH20" s="116" t="e">
        <f>AG20*#REF!-AG20*#REF!</f>
        <v>#REF!</v>
      </c>
      <c r="AI20" s="116"/>
      <c r="AJ20" s="115"/>
      <c r="AK20" s="115"/>
      <c r="AL20" s="139" t="e">
        <f t="shared" si="2"/>
        <v>#REF!</v>
      </c>
      <c r="AM20" s="116" t="e">
        <f t="shared" si="3"/>
        <v>#REF!</v>
      </c>
      <c r="AN20" s="116"/>
      <c r="AO20" s="115"/>
      <c r="AP20" s="116" t="e">
        <f>AM20*#REF!</f>
        <v>#REF!</v>
      </c>
      <c r="AQ20" s="116" t="e">
        <f>AM20*#REF!</f>
        <v>#REF!</v>
      </c>
      <c r="AR20" s="211" t="e">
        <f t="shared" si="4"/>
        <v>#REF!</v>
      </c>
      <c r="AS20" s="116" t="e">
        <f>AL20*#REF!</f>
        <v>#REF!</v>
      </c>
      <c r="AT20" s="116" t="e">
        <f>AL20*#REF!</f>
        <v>#REF!</v>
      </c>
      <c r="AU20" s="213" t="e">
        <f t="shared" si="5"/>
        <v>#REF!</v>
      </c>
      <c r="AV20" s="139">
        <f t="shared" si="6"/>
        <v>0</v>
      </c>
      <c r="AW20" s="115"/>
      <c r="AX20" s="115"/>
      <c r="AY20" s="115" t="e">
        <f>AV20*#REF!</f>
        <v>#REF!</v>
      </c>
      <c r="AZ20" s="116" t="e">
        <f>AV20*#REF!</f>
        <v>#REF!</v>
      </c>
      <c r="BA20" s="140" t="e">
        <f t="shared" si="7"/>
        <v>#REF!</v>
      </c>
      <c r="BB20" s="116"/>
      <c r="BC20" s="116"/>
      <c r="BD20" s="140"/>
      <c r="BE20" s="116"/>
      <c r="BF20" s="116">
        <v>158</v>
      </c>
      <c r="BG20" s="211" t="e">
        <f t="shared" si="8"/>
        <v>#REF!</v>
      </c>
      <c r="BH20" s="211">
        <f t="shared" si="9"/>
        <v>0</v>
      </c>
      <c r="BI20" s="211"/>
      <c r="BJ20" s="211" t="e">
        <f t="shared" si="10"/>
        <v>#REF!</v>
      </c>
      <c r="BL20" s="452"/>
      <c r="BM20" s="287"/>
    </row>
    <row r="21" spans="2:71" ht="18.75" customHeight="1" x14ac:dyDescent="0.25">
      <c r="C21" s="37"/>
      <c r="D21" s="249" t="s">
        <v>19</v>
      </c>
      <c r="E21" s="194"/>
      <c r="F21" s="247" t="str">
        <f xml:space="preserve"> IF(ISERROR(#REF!), "",#REF!)</f>
        <v/>
      </c>
      <c r="G21" s="247" t="str">
        <f xml:space="preserve"> IF(ISERROR(#REF!), "",#REF!)</f>
        <v/>
      </c>
      <c r="H21" s="247" t="str">
        <f t="shared" si="0"/>
        <v/>
      </c>
      <c r="I21" s="248" t="str">
        <f t="shared" si="1"/>
        <v/>
      </c>
      <c r="J21" s="318" t="str">
        <f>IF(ISERROR(AK37), "", AK37)</f>
        <v/>
      </c>
      <c r="K21" s="317" t="str">
        <f>IF(ISERROR(SUM(AH38:AH40)),"",-SUM(AH38:AH40))</f>
        <v/>
      </c>
      <c r="L21" s="198"/>
      <c r="M21" s="485"/>
      <c r="N21" s="199"/>
      <c r="O21" s="197"/>
      <c r="P21" s="252" t="str">
        <f>IF(ISERROR(BB37), "", BB37)</f>
        <v/>
      </c>
      <c r="Q21" s="297" t="str">
        <f>IF(ISERROR(BS37), "", BS37)</f>
        <v/>
      </c>
      <c r="R21" s="253" t="str">
        <f>IF(ISERROR(BD37), "", BD37)</f>
        <v/>
      </c>
      <c r="S21" s="41"/>
      <c r="X21" s="72"/>
      <c r="Y21" s="72"/>
      <c r="Z21" s="72"/>
      <c r="AB21" s="96"/>
      <c r="AC21" s="154" t="s">
        <v>139</v>
      </c>
      <c r="AD21" s="139" t="e">
        <f>#REF!</f>
        <v>#REF!</v>
      </c>
      <c r="AE21" s="116" t="e">
        <f>AD21*#REF!</f>
        <v>#REF!</v>
      </c>
      <c r="AF21" s="116" t="e">
        <f>AD21*#REF!-AD21*#REF!</f>
        <v>#REF!</v>
      </c>
      <c r="AG21" s="116" t="e">
        <f>#REF!</f>
        <v>#REF!</v>
      </c>
      <c r="AH21" s="116" t="e">
        <f>AG21*#REF!-AG21*#REF!</f>
        <v>#REF!</v>
      </c>
      <c r="AI21" s="116"/>
      <c r="AJ21" s="115"/>
      <c r="AK21" s="115"/>
      <c r="AL21" s="139" t="e">
        <f t="shared" si="2"/>
        <v>#REF!</v>
      </c>
      <c r="AM21" s="116" t="e">
        <f t="shared" si="3"/>
        <v>#REF!</v>
      </c>
      <c r="AN21" s="116"/>
      <c r="AO21" s="115"/>
      <c r="AP21" s="116" t="e">
        <f>AM21*#REF!</f>
        <v>#REF!</v>
      </c>
      <c r="AQ21" s="116" t="e">
        <f>AM21*#REF!</f>
        <v>#REF!</v>
      </c>
      <c r="AR21" s="211" t="e">
        <f t="shared" si="4"/>
        <v>#REF!</v>
      </c>
      <c r="AS21" s="116" t="e">
        <f>AL21*#REF!</f>
        <v>#REF!</v>
      </c>
      <c r="AT21" s="116" t="e">
        <f>AL21*#REF!</f>
        <v>#REF!</v>
      </c>
      <c r="AU21" s="213" t="e">
        <f t="shared" si="5"/>
        <v>#REF!</v>
      </c>
      <c r="AV21" s="139">
        <f t="shared" si="6"/>
        <v>0</v>
      </c>
      <c r="AW21" s="115"/>
      <c r="AX21" s="115"/>
      <c r="AY21" s="115" t="e">
        <f>AV21*#REF!</f>
        <v>#REF!</v>
      </c>
      <c r="AZ21" s="116" t="e">
        <f>AV21*#REF!</f>
        <v>#REF!</v>
      </c>
      <c r="BA21" s="140" t="e">
        <f t="shared" si="7"/>
        <v>#REF!</v>
      </c>
      <c r="BB21" s="116"/>
      <c r="BC21" s="116"/>
      <c r="BD21" s="140"/>
      <c r="BE21" s="116"/>
      <c r="BF21" s="116">
        <v>363.5</v>
      </c>
      <c r="BG21" s="211" t="e">
        <f t="shared" si="8"/>
        <v>#REF!</v>
      </c>
      <c r="BH21" s="211">
        <f t="shared" si="9"/>
        <v>0</v>
      </c>
      <c r="BI21" s="211"/>
      <c r="BJ21" s="211" t="e">
        <f t="shared" si="10"/>
        <v>#REF!</v>
      </c>
      <c r="BL21" s="452"/>
      <c r="BM21" s="287"/>
    </row>
    <row r="22" spans="2:71" ht="18.75" customHeight="1" x14ac:dyDescent="0.25">
      <c r="C22" s="37"/>
      <c r="D22" s="412" t="s">
        <v>353</v>
      </c>
      <c r="E22" s="194"/>
      <c r="F22" s="247" t="str">
        <f xml:space="preserve"> IF(ISERROR(#REF!), "",#REF!)</f>
        <v/>
      </c>
      <c r="G22" s="247" t="str">
        <f>IF(ISERROR(#REF!),"",#REF!)</f>
        <v/>
      </c>
      <c r="H22" s="247" t="str">
        <f t="shared" si="0"/>
        <v/>
      </c>
      <c r="I22" s="248" t="str">
        <f t="shared" si="1"/>
        <v/>
      </c>
      <c r="J22" s="318" t="str">
        <f>IF(ISERROR(AK41), "", AK41)</f>
        <v/>
      </c>
      <c r="K22" s="317" t="str">
        <f>IF(ISERROR(AH42),"",-SUM(AH42))</f>
        <v/>
      </c>
      <c r="L22" s="198"/>
      <c r="M22" s="485"/>
      <c r="N22" s="199"/>
      <c r="O22" s="197"/>
      <c r="P22" s="252" t="str">
        <f>IF(ISERROR(BB41), "", BB41)</f>
        <v/>
      </c>
      <c r="Q22" s="297" t="str">
        <f>IF(ISERROR(BS41),"",BS41)</f>
        <v/>
      </c>
      <c r="R22" s="253" t="str">
        <f>IF(ISERROR(BD41),"",BD41)</f>
        <v/>
      </c>
      <c r="S22" s="41"/>
      <c r="X22" s="72"/>
      <c r="Y22" s="72"/>
      <c r="Z22" s="72"/>
      <c r="AB22" s="96"/>
      <c r="AC22" s="154" t="s">
        <v>140</v>
      </c>
      <c r="AD22" s="139" t="e">
        <f>#REF!</f>
        <v>#REF!</v>
      </c>
      <c r="AE22" s="116" t="e">
        <f>AD22*#REF!</f>
        <v>#REF!</v>
      </c>
      <c r="AF22" s="116" t="e">
        <f>AD22*#REF!-AD22*#REF!</f>
        <v>#REF!</v>
      </c>
      <c r="AG22" s="116" t="e">
        <f>#REF!</f>
        <v>#REF!</v>
      </c>
      <c r="AH22" s="116" t="e">
        <f>AG22*#REF!-AG22*#REF!</f>
        <v>#REF!</v>
      </c>
      <c r="AI22" s="116"/>
      <c r="AJ22" s="115"/>
      <c r="AK22" s="115"/>
      <c r="AL22" s="139" t="e">
        <f t="shared" si="2"/>
        <v>#REF!</v>
      </c>
      <c r="AM22" s="116" t="e">
        <f t="shared" si="3"/>
        <v>#REF!</v>
      </c>
      <c r="AN22" s="116"/>
      <c r="AO22" s="115"/>
      <c r="AP22" s="116" t="e">
        <f>AM22*#REF!</f>
        <v>#REF!</v>
      </c>
      <c r="AQ22" s="116" t="e">
        <f>AM22*#REF!</f>
        <v>#REF!</v>
      </c>
      <c r="AR22" s="211" t="e">
        <f t="shared" si="4"/>
        <v>#REF!</v>
      </c>
      <c r="AS22" s="116" t="e">
        <f>AL22*#REF!</f>
        <v>#REF!</v>
      </c>
      <c r="AT22" s="116" t="e">
        <f>AL22*#REF!</f>
        <v>#REF!</v>
      </c>
      <c r="AU22" s="213" t="e">
        <f t="shared" si="5"/>
        <v>#REF!</v>
      </c>
      <c r="AV22" s="139">
        <f t="shared" si="6"/>
        <v>0</v>
      </c>
      <c r="AW22" s="115"/>
      <c r="AX22" s="115"/>
      <c r="AY22" s="115" t="e">
        <f>AV22*#REF!</f>
        <v>#REF!</v>
      </c>
      <c r="AZ22" s="116" t="e">
        <f>AV22*#REF!</f>
        <v>#REF!</v>
      </c>
      <c r="BA22" s="140" t="e">
        <f t="shared" si="7"/>
        <v>#REF!</v>
      </c>
      <c r="BB22" s="116"/>
      <c r="BC22" s="116"/>
      <c r="BD22" s="140"/>
      <c r="BE22" s="116"/>
      <c r="BF22" s="116">
        <v>250</v>
      </c>
      <c r="BG22" s="211" t="e">
        <f t="shared" si="8"/>
        <v>#REF!</v>
      </c>
      <c r="BH22" s="211">
        <f t="shared" si="9"/>
        <v>0</v>
      </c>
      <c r="BI22" s="211"/>
      <c r="BJ22" s="211" t="e">
        <f t="shared" si="10"/>
        <v>#REF!</v>
      </c>
      <c r="BL22" s="452"/>
      <c r="BM22" s="287"/>
    </row>
    <row r="23" spans="2:71" ht="18.75" customHeight="1" x14ac:dyDescent="0.25">
      <c r="C23" s="37"/>
      <c r="D23" s="249" t="s">
        <v>104</v>
      </c>
      <c r="E23" s="194"/>
      <c r="F23" s="247" t="str">
        <f xml:space="preserve"> IF(ISERROR(#REF!), "",#REF!)</f>
        <v/>
      </c>
      <c r="G23" s="247" t="str">
        <f>IF(ISERROR(#REF!),"",#REF!)</f>
        <v/>
      </c>
      <c r="H23" s="247" t="str">
        <f t="shared" si="0"/>
        <v/>
      </c>
      <c r="I23" s="248" t="str">
        <f t="shared" si="1"/>
        <v/>
      </c>
      <c r="J23" s="202"/>
      <c r="K23" s="202"/>
      <c r="L23" s="198"/>
      <c r="M23" s="200"/>
      <c r="N23" s="199"/>
      <c r="O23" s="197"/>
      <c r="P23" s="252" t="str">
        <f>IF(ISERROR(BB43), "", BB43)</f>
        <v/>
      </c>
      <c r="Q23" s="297" t="str">
        <f>IF(ISERROR(BS43), "", BS43)</f>
        <v/>
      </c>
      <c r="R23" s="253">
        <f>IF(ISERROR(BD43), "", BD43)</f>
        <v>0</v>
      </c>
      <c r="S23" s="41"/>
      <c r="X23" s="72"/>
      <c r="Y23" s="72"/>
      <c r="Z23" s="72"/>
      <c r="AB23" s="97" t="s">
        <v>17</v>
      </c>
      <c r="AC23" s="155"/>
      <c r="AD23" s="141" t="e">
        <f>#REF!</f>
        <v>#REF!</v>
      </c>
      <c r="AE23" s="118"/>
      <c r="AF23" s="118"/>
      <c r="AG23" s="118" t="e">
        <f>#REF!</f>
        <v>#REF!</v>
      </c>
      <c r="AH23" s="118"/>
      <c r="AI23" s="113" t="e">
        <f>AG23*#REF!</f>
        <v>#REF!</v>
      </c>
      <c r="AJ23" s="117" t="e">
        <f>#REF!*AG23</f>
        <v>#REF!</v>
      </c>
      <c r="AK23" s="113" t="e">
        <f>AI23-AJ23</f>
        <v>#REF!</v>
      </c>
      <c r="AL23" s="141" t="e">
        <f>G19*N19</f>
        <v>#VALUE!</v>
      </c>
      <c r="AM23" s="118" t="e">
        <f>F19*N19</f>
        <v>#VALUE!</v>
      </c>
      <c r="AN23" s="118" t="e">
        <f>AL23*#REF!</f>
        <v>#VALUE!</v>
      </c>
      <c r="AO23" s="113" t="e">
        <f>AM23*#REF!</f>
        <v>#VALUE!</v>
      </c>
      <c r="AP23" s="118"/>
      <c r="AQ23" s="118"/>
      <c r="AR23" s="118"/>
      <c r="AS23" s="118"/>
      <c r="AT23" s="118"/>
      <c r="AU23" s="142"/>
      <c r="AV23" s="141">
        <f>IF(ISBLANK(M19),0,(M19-I19)*(H19-SUM(AL24:AM24)))</f>
        <v>0</v>
      </c>
      <c r="AW23" s="113" t="e">
        <f>AV23*#REF!</f>
        <v>#REF!</v>
      </c>
      <c r="AX23" s="117" t="e">
        <f>#REF!*AV23</f>
        <v>#REF!</v>
      </c>
      <c r="AY23" s="117"/>
      <c r="AZ23" s="118"/>
      <c r="BA23" s="142"/>
      <c r="BB23" s="118" t="e">
        <f>AM23+AV23</f>
        <v>#VALUE!</v>
      </c>
      <c r="BC23" s="118" t="e">
        <f>AN23+AO23+AW23-AX23</f>
        <v>#VALUE!</v>
      </c>
      <c r="BD23" s="142" t="e">
        <f>-SUM(AR24, AU24,BA24)</f>
        <v>#VALUE!</v>
      </c>
      <c r="BE23" s="118"/>
      <c r="BF23" s="118"/>
      <c r="BG23" s="118"/>
      <c r="BH23" s="118"/>
      <c r="BI23" s="118"/>
      <c r="BJ23" s="118"/>
      <c r="BK23" s="118"/>
      <c r="BL23" s="452" t="e">
        <f>IF(SUM(BG56:BI56)=0,0,SUM(BG24:BH24)/SUM($BG$56:$BI$56))</f>
        <v>#VALUE!</v>
      </c>
      <c r="BM23" s="287" t="e">
        <f>'9.CustomRates'!$BQ$71*'4.Future_Benefits '!BL23</f>
        <v>#VALUE!</v>
      </c>
      <c r="BN23" s="452" t="e">
        <f>IF(SUM($BH$56:$BK$56)=0,0,SUM(BH24:BK24)/SUM($BH$56:$BK$56))</f>
        <v>#VALUE!</v>
      </c>
      <c r="BO23" s="287" t="e">
        <f>'9.CustomRates'!$BR$34*'4.Future_Benefits '!BN23</f>
        <v>#VALUE!</v>
      </c>
      <c r="BQ23" s="13" t="e">
        <f>IF('9.CustomRates'!$T$14, '4.Future_Benefits '!BM23, '4.Future_Benefits '!AO23+'4.Future_Benefits '!AW23)</f>
        <v>#VALUE!</v>
      </c>
      <c r="BR23" s="13" t="e">
        <f>IF('9.CustomRates'!$U$14, '4.Future_Benefits '!BO23, '4.Future_Benefits '!AN23-'4.Future_Benefits '!AX23)</f>
        <v>#VALUE!</v>
      </c>
      <c r="BS23" s="13" t="e">
        <f>SUM(BQ23:BR23)</f>
        <v>#VALUE!</v>
      </c>
    </row>
    <row r="24" spans="2:71" ht="18.75" customHeight="1" x14ac:dyDescent="0.25">
      <c r="C24" s="37"/>
      <c r="D24" s="194" t="s">
        <v>196</v>
      </c>
      <c r="E24" s="194"/>
      <c r="F24" s="201">
        <f>IF(ISERROR(SUM(F15:F23)),"",SUM(F15:F23))</f>
        <v>0</v>
      </c>
      <c r="G24" s="201">
        <f>IF(ISERROR(SUM(G15:G23)),"",SUM(G15:G23))</f>
        <v>0</v>
      </c>
      <c r="H24" s="201">
        <f>IF(ISERROR(SUM(H15:H23)),"",SUM(H15:H23))</f>
        <v>0</v>
      </c>
      <c r="I24" s="202" t="str">
        <f t="shared" si="1"/>
        <v/>
      </c>
      <c r="J24" s="319">
        <f>IF(ISERROR(SUM(J15:J23)),"",SUM(J15:J23))</f>
        <v>0</v>
      </c>
      <c r="K24" s="201">
        <f>IF(ISERROR(SUM(K15:K23)),"",SUM(K15:K23))</f>
        <v>0</v>
      </c>
      <c r="L24" s="198"/>
      <c r="M24" s="198"/>
      <c r="N24" s="198"/>
      <c r="O24" s="197"/>
      <c r="P24" s="201">
        <f>IF(ISERROR(SUM(P15:P23)),"",SUM(P15:P23))</f>
        <v>0</v>
      </c>
      <c r="Q24" s="298">
        <f>IF(ISERROR(SUM(Q15:Q23)),"",SUM(Q15:Q23))</f>
        <v>0</v>
      </c>
      <c r="R24" s="201">
        <f>IF(ISERROR(SUM(R15:R23)),"",SUM(R15:R23))</f>
        <v>0</v>
      </c>
      <c r="S24" s="41"/>
      <c r="X24" s="72"/>
      <c r="Y24" s="72"/>
      <c r="Z24" s="72"/>
      <c r="AB24" s="98"/>
      <c r="AC24" s="156" t="s">
        <v>17</v>
      </c>
      <c r="AD24" s="143" t="e">
        <f>#REF!</f>
        <v>#REF!</v>
      </c>
      <c r="AE24" s="112" t="e">
        <f>AD24*#REF!</f>
        <v>#REF!</v>
      </c>
      <c r="AF24" s="112" t="e">
        <f>AD24*#REF!-AD24*#REF!</f>
        <v>#REF!</v>
      </c>
      <c r="AG24" s="112" t="e">
        <f>#REF!</f>
        <v>#REF!</v>
      </c>
      <c r="AH24" s="112" t="e">
        <f>AG24*#REF!-AG24*#REF!</f>
        <v>#REF!</v>
      </c>
      <c r="AI24" s="112"/>
      <c r="AJ24" s="111"/>
      <c r="AK24" s="111"/>
      <c r="AL24" s="143" t="e">
        <f>AL23</f>
        <v>#VALUE!</v>
      </c>
      <c r="AM24" s="112" t="e">
        <f>AM23</f>
        <v>#VALUE!</v>
      </c>
      <c r="AN24" s="112"/>
      <c r="AO24" s="111"/>
      <c r="AP24" s="112" t="e">
        <f>AM24*#REF!</f>
        <v>#VALUE!</v>
      </c>
      <c r="AQ24" s="112" t="e">
        <f>AM24*#REF!</f>
        <v>#VALUE!</v>
      </c>
      <c r="AR24" s="211" t="e">
        <f>AQ24-AP24</f>
        <v>#VALUE!</v>
      </c>
      <c r="AS24" s="112" t="e">
        <f>AL24*#REF!</f>
        <v>#VALUE!</v>
      </c>
      <c r="AT24" s="112" t="e">
        <f>AL24*#REF!</f>
        <v>#VALUE!</v>
      </c>
      <c r="AU24" s="213" t="e">
        <f>AT24-AS24</f>
        <v>#VALUE!</v>
      </c>
      <c r="AV24" s="210">
        <f>AV23</f>
        <v>0</v>
      </c>
      <c r="AW24" s="111"/>
      <c r="AX24" s="111"/>
      <c r="AY24" s="111" t="e">
        <f>AV24*#REF!</f>
        <v>#REF!</v>
      </c>
      <c r="AZ24" s="112" t="e">
        <f>AV24*#REF!</f>
        <v>#REF!</v>
      </c>
      <c r="BA24" s="144" t="e">
        <f t="shared" si="7"/>
        <v>#REF!</v>
      </c>
      <c r="BB24" s="112"/>
      <c r="BC24" s="112"/>
      <c r="BD24" s="144"/>
      <c r="BE24" s="112"/>
      <c r="BF24" s="112">
        <v>600</v>
      </c>
      <c r="BG24" s="211" t="e">
        <f>AM24*2000/BF24</f>
        <v>#VALUE!</v>
      </c>
      <c r="BH24" s="211">
        <f>AV24*2000/BF24</f>
        <v>0</v>
      </c>
      <c r="BI24" s="211"/>
      <c r="BJ24" s="211" t="e">
        <f>AM24*2000/BF24</f>
        <v>#VALUE!</v>
      </c>
    </row>
    <row r="25" spans="2:71" ht="18.75" customHeight="1" x14ac:dyDescent="0.25">
      <c r="C25" s="37"/>
      <c r="D25" s="194"/>
      <c r="E25" s="194"/>
      <c r="F25" s="201"/>
      <c r="G25" s="201"/>
      <c r="H25" s="201"/>
      <c r="I25" s="202"/>
      <c r="J25" s="202"/>
      <c r="K25" s="202"/>
      <c r="L25" s="198"/>
      <c r="M25" s="198"/>
      <c r="N25" s="198"/>
      <c r="O25" s="197"/>
      <c r="P25" s="201"/>
      <c r="Q25" s="298"/>
      <c r="R25" s="201"/>
      <c r="S25" s="41"/>
      <c r="X25" s="526" t="s">
        <v>348</v>
      </c>
      <c r="Y25" s="526"/>
      <c r="Z25" s="526"/>
      <c r="AA25" s="532"/>
      <c r="AB25" s="97" t="s">
        <v>15</v>
      </c>
      <c r="AC25" s="153"/>
      <c r="AD25" s="134" t="e">
        <f>#REF!</f>
        <v>#REF!</v>
      </c>
      <c r="AE25" s="114"/>
      <c r="AF25" s="114"/>
      <c r="AG25" s="114" t="e">
        <f>#REF!</f>
        <v>#REF!</v>
      </c>
      <c r="AH25" s="114"/>
      <c r="AI25" s="113" t="e">
        <f>AG25*#REF!</f>
        <v>#REF!</v>
      </c>
      <c r="AJ25" s="113" t="e">
        <f>AG25*#REF!</f>
        <v>#REF!</v>
      </c>
      <c r="AK25" s="113" t="e">
        <f>AI25-AJ25</f>
        <v>#REF!</v>
      </c>
      <c r="AL25" s="141" t="e">
        <f>G17*N17</f>
        <v>#VALUE!</v>
      </c>
      <c r="AM25" s="118" t="e">
        <f>F17*N17</f>
        <v>#VALUE!</v>
      </c>
      <c r="AN25" s="118" t="e">
        <f>AL25*#REF!</f>
        <v>#VALUE!</v>
      </c>
      <c r="AO25" s="113" t="e">
        <f>AM25*#REF!</f>
        <v>#VALUE!</v>
      </c>
      <c r="AP25" s="114"/>
      <c r="AQ25" s="114"/>
      <c r="AR25" s="114"/>
      <c r="AS25" s="114"/>
      <c r="AT25" s="114"/>
      <c r="AU25" s="135"/>
      <c r="AV25" s="134">
        <f>IF(ISBLANK(M17),0,(M17-I17)*(H17-SUM(AL26:AM30)))</f>
        <v>0</v>
      </c>
      <c r="AW25" s="113" t="e">
        <f>AV25*#REF!</f>
        <v>#REF!</v>
      </c>
      <c r="AX25" s="113" t="e">
        <f>AV25*#REF!</f>
        <v>#REF!</v>
      </c>
      <c r="AY25" s="113"/>
      <c r="AZ25" s="114"/>
      <c r="BA25" s="135"/>
      <c r="BB25" s="114" t="e">
        <f>AM25+AV25</f>
        <v>#VALUE!</v>
      </c>
      <c r="BC25" s="114" t="e">
        <f>AN25+AO25+AW25-AX25</f>
        <v>#VALUE!</v>
      </c>
      <c r="BD25" s="135" t="e">
        <f>-SUM(AR26:AR30, AU26:AU30,BA26:BA30)</f>
        <v>#REF!</v>
      </c>
      <c r="BE25" s="114"/>
      <c r="BF25" s="114"/>
      <c r="BG25" s="114"/>
      <c r="BH25" s="114"/>
      <c r="BI25" s="114"/>
      <c r="BJ25" s="114"/>
      <c r="BK25" s="114"/>
      <c r="BL25" s="452" t="e">
        <f>IF(SUM(BG56:BI56)=0,0,SUM(BG26:BH30)/SUM($BG$56:$BI$56))</f>
        <v>#VALUE!</v>
      </c>
      <c r="BM25" s="287" t="e">
        <f>'9.CustomRates'!$BQ$71*'4.Future_Benefits '!BL25</f>
        <v>#VALUE!</v>
      </c>
      <c r="BN25" s="452" t="e">
        <f>IF(SUM($BH$56:$BK$56)=0,0,SUM(BH26:BK30)/SUM($BH$56:$BK$56))</f>
        <v>#VALUE!</v>
      </c>
      <c r="BO25" s="287" t="e">
        <f>'9.CustomRates'!$BR$34*'4.Future_Benefits '!BN25</f>
        <v>#VALUE!</v>
      </c>
      <c r="BQ25" s="13" t="e">
        <f>IF('9.CustomRates'!$T$14, '4.Future_Benefits '!BM25, '4.Future_Benefits '!AO25+'4.Future_Benefits '!AW25)</f>
        <v>#VALUE!</v>
      </c>
      <c r="BR25" s="13" t="e">
        <f>IF('9.CustomRates'!$U$14, '4.Future_Benefits '!BO25, '4.Future_Benefits '!AN25-'4.Future_Benefits '!AX25)</f>
        <v>#VALUE!</v>
      </c>
      <c r="BS25" s="13" t="e">
        <f>SUM(BQ25:BR25)</f>
        <v>#VALUE!</v>
      </c>
    </row>
    <row r="26" spans="2:71" ht="18.75" customHeight="1" x14ac:dyDescent="0.25">
      <c r="C26" s="37"/>
      <c r="D26" s="299" t="s">
        <v>311</v>
      </c>
      <c r="E26" s="194"/>
      <c r="F26" s="201"/>
      <c r="G26" s="1121">
        <v>0</v>
      </c>
      <c r="H26" s="1122"/>
      <c r="I26" s="300" t="s">
        <v>312</v>
      </c>
      <c r="J26" s="202"/>
      <c r="K26" s="202"/>
      <c r="L26" s="198"/>
      <c r="M26" s="198"/>
      <c r="N26" s="198"/>
      <c r="O26" s="197"/>
      <c r="P26" s="201"/>
      <c r="Q26" s="298"/>
      <c r="R26" s="201"/>
      <c r="S26" s="41"/>
      <c r="X26" s="527"/>
      <c r="Y26" s="527" t="s">
        <v>166</v>
      </c>
      <c r="Z26" s="527" t="s">
        <v>167</v>
      </c>
      <c r="AA26" s="532"/>
      <c r="AB26" s="99"/>
      <c r="AC26" s="156" t="s">
        <v>141</v>
      </c>
      <c r="AD26" s="143" t="e">
        <f>#REF!</f>
        <v>#REF!</v>
      </c>
      <c r="AE26" s="112" t="e">
        <f>AD26*#REF!</f>
        <v>#REF!</v>
      </c>
      <c r="AF26" s="112" t="e">
        <f>AD26*#REF!-AD26*#REF!</f>
        <v>#REF!</v>
      </c>
      <c r="AG26" s="112" t="e">
        <f>#REF!</f>
        <v>#REF!</v>
      </c>
      <c r="AH26" s="112" t="e">
        <f>AG26*#REF!-AG26*#REF!</f>
        <v>#REF!</v>
      </c>
      <c r="AI26" s="112"/>
      <c r="AJ26" s="111"/>
      <c r="AK26" s="111"/>
      <c r="AL26" s="143" t="e">
        <f>IF($AD$25=0, 0, AD26/$AD$25*$AL$25)</f>
        <v>#REF!</v>
      </c>
      <c r="AM26" s="112" t="e">
        <f>IF($AD$25=0, 0, AD26/$AD$25*$AM$25)</f>
        <v>#REF!</v>
      </c>
      <c r="AN26" s="112"/>
      <c r="AO26" s="111"/>
      <c r="AP26" s="112" t="e">
        <f>AM26*#REF!</f>
        <v>#REF!</v>
      </c>
      <c r="AQ26" s="112" t="e">
        <f>AM26*#REF!</f>
        <v>#REF!</v>
      </c>
      <c r="AR26" s="211" t="e">
        <f>AQ26-AP26</f>
        <v>#REF!</v>
      </c>
      <c r="AS26" s="112" t="e">
        <f>AL26*#REF!</f>
        <v>#REF!</v>
      </c>
      <c r="AT26" s="112" t="e">
        <f>AL26*#REF!</f>
        <v>#REF!</v>
      </c>
      <c r="AU26" s="213" t="e">
        <f>AT26-AS26</f>
        <v>#REF!</v>
      </c>
      <c r="AV26" s="143">
        <f>IF(ISBLANK($M$17),0,IF($AD$25=0,0,AD26/$AD$25*$AV$25))</f>
        <v>0</v>
      </c>
      <c r="AW26" s="111"/>
      <c r="AX26" s="111"/>
      <c r="AY26" s="111" t="e">
        <f>AV26*#REF!</f>
        <v>#REF!</v>
      </c>
      <c r="AZ26" s="112" t="e">
        <f>AV26*#REF!</f>
        <v>#REF!</v>
      </c>
      <c r="BA26" s="144" t="e">
        <f t="shared" si="7"/>
        <v>#REF!</v>
      </c>
      <c r="BB26" s="112"/>
      <c r="BC26" s="112"/>
      <c r="BD26" s="144"/>
      <c r="BE26" s="112"/>
      <c r="BF26" s="112">
        <v>150</v>
      </c>
      <c r="BG26" s="211" t="e">
        <f>AM26*2000/BF26</f>
        <v>#REF!</v>
      </c>
      <c r="BH26" s="211">
        <f>AV26*2000/BF26</f>
        <v>0</v>
      </c>
      <c r="BI26" s="211"/>
      <c r="BJ26" s="211" t="e">
        <f>AM26*2000/BF26</f>
        <v>#REF!</v>
      </c>
      <c r="BL26" s="452"/>
    </row>
    <row r="27" spans="2:71" ht="9" customHeight="1" x14ac:dyDescent="0.25">
      <c r="C27" s="37"/>
      <c r="D27" s="40"/>
      <c r="E27" s="40"/>
      <c r="F27" s="40"/>
      <c r="G27" s="40"/>
      <c r="H27" s="40"/>
      <c r="I27" s="40"/>
      <c r="J27" s="40"/>
      <c r="K27" s="40"/>
      <c r="L27" s="40"/>
      <c r="M27" s="40"/>
      <c r="N27" s="40"/>
      <c r="O27" s="40"/>
      <c r="P27" s="40"/>
      <c r="Q27" s="40"/>
      <c r="R27" s="40"/>
      <c r="S27" s="41"/>
      <c r="X27" s="527"/>
      <c r="Y27" s="528"/>
      <c r="Z27" s="528"/>
      <c r="AA27" s="532"/>
      <c r="AB27" s="99"/>
      <c r="AC27" s="156"/>
      <c r="AD27" s="143"/>
      <c r="AE27" s="112"/>
      <c r="AF27" s="112"/>
      <c r="AG27" s="112"/>
      <c r="AH27" s="112"/>
      <c r="AI27" s="112"/>
      <c r="AJ27" s="111"/>
      <c r="AK27" s="111"/>
      <c r="AL27" s="143"/>
      <c r="AM27" s="112"/>
      <c r="AN27" s="112"/>
      <c r="AO27" s="111"/>
      <c r="AP27" s="112"/>
      <c r="AQ27" s="112"/>
      <c r="AR27" s="211"/>
      <c r="AS27" s="112"/>
      <c r="AT27" s="112"/>
      <c r="AU27" s="213"/>
      <c r="AV27" s="143"/>
      <c r="AW27" s="111"/>
      <c r="AX27" s="111"/>
      <c r="AY27" s="111"/>
      <c r="AZ27" s="112"/>
      <c r="BA27" s="144"/>
      <c r="BB27" s="112"/>
      <c r="BC27" s="112"/>
      <c r="BD27" s="144"/>
      <c r="BE27" s="112"/>
      <c r="BF27" s="112"/>
      <c r="BG27" s="211"/>
      <c r="BH27" s="211"/>
      <c r="BI27" s="211"/>
      <c r="BJ27" s="211"/>
      <c r="BL27" s="452"/>
    </row>
    <row r="28" spans="2:71" ht="18.75" customHeight="1" thickBot="1" x14ac:dyDescent="0.3">
      <c r="C28" s="42"/>
      <c r="D28" s="1120" t="s">
        <v>478</v>
      </c>
      <c r="E28" s="1120"/>
      <c r="F28" s="1120"/>
      <c r="G28" s="1120"/>
      <c r="H28" s="1120"/>
      <c r="I28" s="1120"/>
      <c r="J28" s="1120"/>
      <c r="K28" s="1120"/>
      <c r="L28" s="1120"/>
      <c r="M28" s="1120"/>
      <c r="N28" s="1120"/>
      <c r="O28" s="1120"/>
      <c r="P28" s="1120"/>
      <c r="Q28" s="43"/>
      <c r="R28" s="43"/>
      <c r="S28" s="44"/>
      <c r="X28" s="527" t="s">
        <v>168</v>
      </c>
      <c r="Y28" s="528">
        <f>SUM(F15:F23)</f>
        <v>0</v>
      </c>
      <c r="Z28" s="528">
        <f>SUM(F15:F23)-SUM(P15:P23)</f>
        <v>0</v>
      </c>
      <c r="AA28" s="532"/>
      <c r="AB28" s="99"/>
      <c r="AC28" s="156" t="s">
        <v>15</v>
      </c>
      <c r="AD28" s="143" t="e">
        <f>#REF!</f>
        <v>#REF!</v>
      </c>
      <c r="AE28" s="112" t="e">
        <f>AD28*#REF!</f>
        <v>#REF!</v>
      </c>
      <c r="AF28" s="112" t="e">
        <f>AD28*#REF!-AD28*#REF!</f>
        <v>#REF!</v>
      </c>
      <c r="AG28" s="112" t="e">
        <f>#REF!</f>
        <v>#REF!</v>
      </c>
      <c r="AH28" s="112" t="e">
        <f>AG28*#REF!-AG28*#REF!</f>
        <v>#REF!</v>
      </c>
      <c r="AI28" s="112"/>
      <c r="AJ28" s="111"/>
      <c r="AK28" s="111"/>
      <c r="AL28" s="143" t="e">
        <f>IF($AD$25=0, 0, AD28/$AD$25*$AL$25)</f>
        <v>#REF!</v>
      </c>
      <c r="AM28" s="112" t="e">
        <f>IF($AD$25=0, 0, AD28/$AD$25*$AM$25)</f>
        <v>#REF!</v>
      </c>
      <c r="AN28" s="112"/>
      <c r="AO28" s="111"/>
      <c r="AP28" s="112" t="e">
        <f>AM28*#REF!</f>
        <v>#REF!</v>
      </c>
      <c r="AQ28" s="112" t="e">
        <f>AM28*#REF!</f>
        <v>#REF!</v>
      </c>
      <c r="AR28" s="211" t="e">
        <f>AQ28-AP28</f>
        <v>#REF!</v>
      </c>
      <c r="AS28" s="112" t="e">
        <f>AL28*#REF!</f>
        <v>#REF!</v>
      </c>
      <c r="AT28" s="112" t="e">
        <f>AL28*#REF!</f>
        <v>#REF!</v>
      </c>
      <c r="AU28" s="213" t="e">
        <f>AT28-AS28</f>
        <v>#REF!</v>
      </c>
      <c r="AV28" s="143">
        <f>IF(ISBLANK($M$17),0,IF($AD$25=0,0,AD28/$AD$25*$AV$25))</f>
        <v>0</v>
      </c>
      <c r="AW28" s="111"/>
      <c r="AX28" s="111"/>
      <c r="AY28" s="111" t="e">
        <f>AV28*#REF!</f>
        <v>#REF!</v>
      </c>
      <c r="AZ28" s="112" t="e">
        <f>AV28*#REF!</f>
        <v>#REF!</v>
      </c>
      <c r="BA28" s="144" t="e">
        <f t="shared" si="7"/>
        <v>#REF!</v>
      </c>
      <c r="BB28" s="112"/>
      <c r="BC28" s="112"/>
      <c r="BD28" s="144"/>
      <c r="BE28" s="112"/>
      <c r="BF28" s="112">
        <v>225</v>
      </c>
      <c r="BG28" s="211" t="e">
        <f>AM28*2000/BF28</f>
        <v>#REF!</v>
      </c>
      <c r="BH28" s="211">
        <f>AV28*2000/BF28</f>
        <v>0</v>
      </c>
      <c r="BI28" s="211"/>
      <c r="BJ28" s="211" t="e">
        <f>AM28*2000/BF28</f>
        <v>#REF!</v>
      </c>
      <c r="BL28" s="452"/>
    </row>
    <row r="29" spans="2:71" x14ac:dyDescent="0.25">
      <c r="X29" s="529" t="s">
        <v>169</v>
      </c>
      <c r="Y29" s="530" t="e">
        <f>IF(#REF!="NA", ROUND('2.Current_Trash'!V36, 0), ROUND('2.Current_Trash'!V36+'3.Current_Recycling'!X42, 0))</f>
        <v>#REF!</v>
      </c>
      <c r="Z29" s="530" t="e">
        <f>ROUND(Z28*#REF!-'4.Future_Benefits '!BR56+AJ56, 0)-G26</f>
        <v>#REF!</v>
      </c>
      <c r="AA29" s="532"/>
      <c r="AB29" s="99"/>
      <c r="AC29" s="156" t="s">
        <v>142</v>
      </c>
      <c r="AD29" s="143" t="e">
        <f>#REF!</f>
        <v>#REF!</v>
      </c>
      <c r="AE29" s="112" t="e">
        <f>AD29*#REF!</f>
        <v>#REF!</v>
      </c>
      <c r="AF29" s="112" t="e">
        <f>AD29*#REF!-AD29*#REF!</f>
        <v>#REF!</v>
      </c>
      <c r="AG29" s="112" t="e">
        <f>#REF!</f>
        <v>#REF!</v>
      </c>
      <c r="AH29" s="112" t="e">
        <f>AG29*#REF!-AG29*#REF!</f>
        <v>#REF!</v>
      </c>
      <c r="AI29" s="112"/>
      <c r="AJ29" s="111"/>
      <c r="AK29" s="111"/>
      <c r="AL29" s="143" t="e">
        <f>IF($AD$25=0, 0, AD29/$AD$25*$AL$25)</f>
        <v>#REF!</v>
      </c>
      <c r="AM29" s="112" t="e">
        <f>IF($AD$25=0, 0, AD29/$AD$25*$AM$25)</f>
        <v>#REF!</v>
      </c>
      <c r="AN29" s="112"/>
      <c r="AO29" s="111"/>
      <c r="AP29" s="112" t="e">
        <f>AM29*#REF!</f>
        <v>#REF!</v>
      </c>
      <c r="AQ29" s="112" t="e">
        <f>AM29*#REF!</f>
        <v>#REF!</v>
      </c>
      <c r="AR29" s="211" t="e">
        <f>AQ29-AP29</f>
        <v>#REF!</v>
      </c>
      <c r="AS29" s="112" t="e">
        <f>AL29*#REF!</f>
        <v>#REF!</v>
      </c>
      <c r="AT29" s="112" t="e">
        <f>AL29*#REF!</f>
        <v>#REF!</v>
      </c>
      <c r="AU29" s="213" t="e">
        <f>AT29-AS29</f>
        <v>#REF!</v>
      </c>
      <c r="AV29" s="143">
        <f>IF(ISBLANK($M$17),0,IF($AD$25=0,0,AD29/$AD$25*$AV$25))</f>
        <v>0</v>
      </c>
      <c r="AW29" s="111"/>
      <c r="AX29" s="111"/>
      <c r="AY29" s="111" t="e">
        <f>AV29*#REF!</f>
        <v>#REF!</v>
      </c>
      <c r="AZ29" s="112" t="e">
        <f>AV29*#REF!</f>
        <v>#REF!</v>
      </c>
      <c r="BA29" s="144" t="e">
        <f t="shared" si="7"/>
        <v>#REF!</v>
      </c>
      <c r="BB29" s="112"/>
      <c r="BC29" s="112"/>
      <c r="BD29" s="144"/>
      <c r="BE29" s="112"/>
      <c r="BF29" s="112">
        <v>65</v>
      </c>
      <c r="BG29" s="211" t="e">
        <f>AM29*2000/BF29</f>
        <v>#REF!</v>
      </c>
      <c r="BH29" s="211">
        <f>AV29*2000/BF29</f>
        <v>0</v>
      </c>
      <c r="BI29" s="211"/>
      <c r="BJ29" s="211" t="e">
        <f>AM29*2000/BF29</f>
        <v>#REF!</v>
      </c>
      <c r="BL29" s="452"/>
    </row>
    <row r="30" spans="2:71" ht="18.75" customHeight="1" x14ac:dyDescent="0.25">
      <c r="B30" s="193" t="s">
        <v>221</v>
      </c>
      <c r="C30" s="11"/>
      <c r="D30" s="11"/>
      <c r="E30" s="11"/>
      <c r="F30" s="11"/>
      <c r="G30" s="11"/>
      <c r="H30" s="11"/>
      <c r="I30" s="11"/>
      <c r="J30" s="11"/>
      <c r="K30" s="11"/>
      <c r="L30" s="11"/>
      <c r="M30" s="11"/>
      <c r="N30" s="11"/>
      <c r="O30" s="11"/>
      <c r="P30" s="11"/>
      <c r="Q30" s="11"/>
      <c r="R30" s="11"/>
      <c r="S30" s="11"/>
      <c r="T30" s="11"/>
      <c r="X30" s="529" t="s">
        <v>235</v>
      </c>
      <c r="Y30" s="528" t="e">
        <f>AH56</f>
        <v>#REF!</v>
      </c>
      <c r="Z30" s="528" t="e">
        <f>Y30-R24</f>
        <v>#REF!</v>
      </c>
      <c r="AA30" s="532"/>
      <c r="AB30" s="99"/>
      <c r="AC30" s="154" t="s">
        <v>143</v>
      </c>
      <c r="AD30" s="139" t="e">
        <f>#REF!</f>
        <v>#REF!</v>
      </c>
      <c r="AE30" s="116" t="e">
        <f>AD30*#REF!</f>
        <v>#REF!</v>
      </c>
      <c r="AF30" s="116" t="e">
        <f>AD30*#REF!-AD30*#REF!</f>
        <v>#REF!</v>
      </c>
      <c r="AG30" s="116" t="e">
        <f>#REF!</f>
        <v>#REF!</v>
      </c>
      <c r="AH30" s="116" t="e">
        <f>AG30*#REF!-AG30*#REF!</f>
        <v>#REF!</v>
      </c>
      <c r="AI30" s="116"/>
      <c r="AJ30" s="115"/>
      <c r="AK30" s="115"/>
      <c r="AL30" s="139" t="e">
        <f>IF($AD$25=0, 0, AD30/$AD$25*$AL$25)</f>
        <v>#REF!</v>
      </c>
      <c r="AM30" s="112" t="e">
        <f>IF($AD$25=0, 0, AD30/$AD$25*$AM$25)</f>
        <v>#REF!</v>
      </c>
      <c r="AN30" s="112"/>
      <c r="AO30" s="115"/>
      <c r="AP30" s="116" t="e">
        <f>AM30*#REF!</f>
        <v>#REF!</v>
      </c>
      <c r="AQ30" s="116" t="e">
        <f>AM30*#REF!</f>
        <v>#REF!</v>
      </c>
      <c r="AR30" s="211" t="e">
        <f>AQ30-AP30</f>
        <v>#REF!</v>
      </c>
      <c r="AS30" s="116" t="e">
        <f>AL30*#REF!</f>
        <v>#REF!</v>
      </c>
      <c r="AT30" s="116" t="e">
        <f>AL30*#REF!</f>
        <v>#REF!</v>
      </c>
      <c r="AU30" s="213" t="e">
        <f>AT30-AS30</f>
        <v>#REF!</v>
      </c>
      <c r="AV30" s="143">
        <f>IF(ISBLANK($M$17),0,IF($AD$25=0,0,AD30/$AD$25*$AV$25))</f>
        <v>0</v>
      </c>
      <c r="AW30" s="115"/>
      <c r="AX30" s="115"/>
      <c r="AY30" s="115" t="e">
        <f>AV30*#REF!</f>
        <v>#REF!</v>
      </c>
      <c r="AZ30" s="116" t="e">
        <f>AV30*#REF!</f>
        <v>#REF!</v>
      </c>
      <c r="BA30" s="140" t="e">
        <f t="shared" si="7"/>
        <v>#REF!</v>
      </c>
      <c r="BB30" s="116"/>
      <c r="BC30" s="116"/>
      <c r="BD30" s="140"/>
      <c r="BE30" s="116"/>
      <c r="BF30" s="116">
        <v>225</v>
      </c>
      <c r="BG30" s="211" t="e">
        <f>AM30*2000/BF30</f>
        <v>#REF!</v>
      </c>
      <c r="BH30" s="211">
        <f>AV30*2000/BF30</f>
        <v>0</v>
      </c>
      <c r="BI30" s="211"/>
      <c r="BJ30" s="211" t="e">
        <f>AM30*2000/BF30</f>
        <v>#REF!</v>
      </c>
      <c r="BL30" s="452"/>
    </row>
    <row r="31" spans="2:71" x14ac:dyDescent="0.25">
      <c r="X31" s="532"/>
      <c r="Y31" s="532"/>
      <c r="Z31" s="532"/>
      <c r="AA31" s="532"/>
      <c r="AB31" s="97" t="s">
        <v>16</v>
      </c>
      <c r="AC31" s="153"/>
      <c r="AD31" s="134" t="e">
        <f>#REF!</f>
        <v>#REF!</v>
      </c>
      <c r="AE31" s="114"/>
      <c r="AF31" s="114"/>
      <c r="AG31" s="114" t="e">
        <f>#REF!</f>
        <v>#REF!</v>
      </c>
      <c r="AH31" s="114"/>
      <c r="AI31" s="113" t="e">
        <f>AG31*#REF!</f>
        <v>#REF!</v>
      </c>
      <c r="AJ31" s="113" t="e">
        <f>AG31*#REF!</f>
        <v>#REF!</v>
      </c>
      <c r="AK31" s="113" t="e">
        <f>AI31-AJ31</f>
        <v>#REF!</v>
      </c>
      <c r="AL31" s="141" t="e">
        <f>G18*N18</f>
        <v>#VALUE!</v>
      </c>
      <c r="AM31" s="118" t="e">
        <f>F18*N18</f>
        <v>#VALUE!</v>
      </c>
      <c r="AN31" s="118" t="e">
        <f>AL31*#REF!</f>
        <v>#VALUE!</v>
      </c>
      <c r="AO31" s="113" t="e">
        <f>AM31*#REF!</f>
        <v>#VALUE!</v>
      </c>
      <c r="AP31" s="114"/>
      <c r="AQ31" s="114"/>
      <c r="AR31" s="114"/>
      <c r="AS31" s="114"/>
      <c r="AT31" s="114"/>
      <c r="AU31" s="135"/>
      <c r="AV31" s="134">
        <f>IF(ISBLANK(M18),0,(M18-I18)*(H18-SUM(AL32:AM34)))</f>
        <v>0</v>
      </c>
      <c r="AW31" s="113" t="e">
        <f>AV31*#REF!</f>
        <v>#REF!</v>
      </c>
      <c r="AX31" s="113" t="e">
        <f>AV31*#REF!</f>
        <v>#REF!</v>
      </c>
      <c r="AY31" s="113"/>
      <c r="AZ31" s="114"/>
      <c r="BA31" s="135"/>
      <c r="BB31" s="114" t="e">
        <f>AM31+AV31</f>
        <v>#VALUE!</v>
      </c>
      <c r="BC31" s="114" t="e">
        <f>AN31+AO31+AW31-AX31</f>
        <v>#VALUE!</v>
      </c>
      <c r="BD31" s="135" t="e">
        <f>-SUM(AR32:AR34, AU32:AU34,BA32:BA34)</f>
        <v>#REF!</v>
      </c>
      <c r="BE31" s="114"/>
      <c r="BF31" s="114"/>
      <c r="BG31" s="114"/>
      <c r="BH31" s="114"/>
      <c r="BI31" s="114"/>
      <c r="BJ31" s="114"/>
      <c r="BK31" s="114"/>
      <c r="BL31" s="452" t="e">
        <f>IF(SUM(BG56:BI56)=0,0,SUM(BG32:BH34)/SUM($BG$56:$BI$56))</f>
        <v>#VALUE!</v>
      </c>
      <c r="BM31" s="287" t="e">
        <f>'9.CustomRates'!$BQ$71*'4.Future_Benefits '!BL31</f>
        <v>#VALUE!</v>
      </c>
      <c r="BN31" s="452" t="e">
        <f>IF(SUM($BH$56:$BK$56)=0,0,SUM(BH32:BK34)/SUM($BH$56:$BK$56))</f>
        <v>#VALUE!</v>
      </c>
      <c r="BO31" s="287" t="e">
        <f>'9.CustomRates'!$BR$34*'4.Future_Benefits '!BN31</f>
        <v>#VALUE!</v>
      </c>
      <c r="BQ31" s="13" t="e">
        <f>IF('9.CustomRates'!$T$14, '4.Future_Benefits '!BM31, '4.Future_Benefits '!AO31+'4.Future_Benefits '!AW31)</f>
        <v>#VALUE!</v>
      </c>
      <c r="BR31" s="13" t="e">
        <f>IF('9.CustomRates'!$U$14, '4.Future_Benefits '!BO31, '4.Future_Benefits '!AN31-'4.Future_Benefits '!AX31)</f>
        <v>#VALUE!</v>
      </c>
      <c r="BS31" s="13" t="e">
        <f>SUM(BQ31:BR31)</f>
        <v>#VALUE!</v>
      </c>
    </row>
    <row r="32" spans="2:71" x14ac:dyDescent="0.25">
      <c r="X32" s="532"/>
      <c r="Y32" s="533"/>
      <c r="Z32" s="534"/>
      <c r="AA32" s="532"/>
      <c r="AB32" s="99"/>
      <c r="AC32" s="154" t="s">
        <v>144</v>
      </c>
      <c r="AD32" s="139" t="e">
        <f>#REF!</f>
        <v>#REF!</v>
      </c>
      <c r="AE32" s="116" t="e">
        <f>AD32*#REF!</f>
        <v>#REF!</v>
      </c>
      <c r="AF32" s="116" t="e">
        <f>AD32*#REF!-AD32*#REF!</f>
        <v>#REF!</v>
      </c>
      <c r="AG32" s="116" t="e">
        <f>#REF!</f>
        <v>#REF!</v>
      </c>
      <c r="AH32" s="116" t="e">
        <f>AG32*#REF!-AG32*#REF!</f>
        <v>#REF!</v>
      </c>
      <c r="AI32" s="116"/>
      <c r="AJ32" s="115"/>
      <c r="AK32" s="115"/>
      <c r="AL32" s="139" t="e">
        <f>IF($AD$31=0, 0, AD32/$AD$31*$AL$31)</f>
        <v>#REF!</v>
      </c>
      <c r="AM32" s="116" t="e">
        <f>IF($AD$31=0, 0, AD32/$AD$31*$AM$31)</f>
        <v>#REF!</v>
      </c>
      <c r="AN32" s="116"/>
      <c r="AO32" s="115"/>
      <c r="AP32" s="116" t="e">
        <f>AM32*#REF!</f>
        <v>#REF!</v>
      </c>
      <c r="AQ32" s="116" t="e">
        <f>AM32*#REF!</f>
        <v>#REF!</v>
      </c>
      <c r="AR32" s="211" t="e">
        <f>AQ32-AP32</f>
        <v>#REF!</v>
      </c>
      <c r="AS32" s="116" t="e">
        <f>AL32*#REF!</f>
        <v>#REF!</v>
      </c>
      <c r="AT32" s="116" t="e">
        <f>AL32*#REF!</f>
        <v>#REF!</v>
      </c>
      <c r="AU32" s="213" t="e">
        <f>AT32-AS32</f>
        <v>#REF!</v>
      </c>
      <c r="AV32" s="139">
        <f>IF(ISBLANK($M$18),0,IF($AD$31=0,0,AD32/$AD$31*$AV$31))</f>
        <v>0</v>
      </c>
      <c r="AW32" s="115"/>
      <c r="AX32" s="115"/>
      <c r="AY32" s="115" t="e">
        <f>AV32*#REF!</f>
        <v>#REF!</v>
      </c>
      <c r="AZ32" s="116" t="e">
        <f>AV32*#REF!</f>
        <v>#REF!</v>
      </c>
      <c r="BA32" s="140" t="e">
        <f t="shared" si="7"/>
        <v>#REF!</v>
      </c>
      <c r="BB32" s="116"/>
      <c r="BC32" s="116"/>
      <c r="BD32" s="140"/>
      <c r="BE32" s="116"/>
      <c r="BF32" s="116">
        <v>24</v>
      </c>
      <c r="BG32" s="211" t="e">
        <f>AM32*2000/BF32</f>
        <v>#REF!</v>
      </c>
      <c r="BH32" s="211">
        <f>AV32*2000/BF32</f>
        <v>0</v>
      </c>
      <c r="BI32" s="211"/>
      <c r="BJ32" s="211" t="e">
        <f>AM32*2000/BF32</f>
        <v>#REF!</v>
      </c>
      <c r="BL32" s="452"/>
    </row>
    <row r="33" spans="2:71" x14ac:dyDescent="0.25">
      <c r="X33" s="532"/>
      <c r="Y33" s="533"/>
      <c r="Z33" s="532"/>
      <c r="AA33" s="532"/>
      <c r="AB33" s="99"/>
      <c r="AC33" s="154" t="s">
        <v>145</v>
      </c>
      <c r="AD33" s="139" t="e">
        <f>#REF!</f>
        <v>#REF!</v>
      </c>
      <c r="AE33" s="116" t="e">
        <f>AD33*#REF!</f>
        <v>#REF!</v>
      </c>
      <c r="AF33" s="116" t="e">
        <f>AD33*#REF!-AD33*#REF!</f>
        <v>#REF!</v>
      </c>
      <c r="AG33" s="116" t="e">
        <f>#REF!</f>
        <v>#REF!</v>
      </c>
      <c r="AH33" s="116" t="e">
        <f>AG33*#REF!-AG33*#REF!</f>
        <v>#REF!</v>
      </c>
      <c r="AI33" s="116"/>
      <c r="AJ33" s="115"/>
      <c r="AK33" s="115"/>
      <c r="AL33" s="139" t="e">
        <f>IF($AD$31=0, 0, AD33/$AD$31*$AL$31)</f>
        <v>#REF!</v>
      </c>
      <c r="AM33" s="116" t="e">
        <f>IF($AD$31=0, 0, AD33/$AD$31*$AM$31)</f>
        <v>#REF!</v>
      </c>
      <c r="AN33" s="116"/>
      <c r="AO33" s="115"/>
      <c r="AP33" s="116" t="e">
        <f>AM33*#REF!</f>
        <v>#REF!</v>
      </c>
      <c r="AQ33" s="116" t="e">
        <f>AM33*#REF!</f>
        <v>#REF!</v>
      </c>
      <c r="AR33" s="116" t="e">
        <f>AT33-AP33</f>
        <v>#REF!</v>
      </c>
      <c r="AS33" s="116" t="e">
        <f>AL33*#REF!</f>
        <v>#REF!</v>
      </c>
      <c r="AT33" s="116" t="e">
        <f>AL33*#REF!</f>
        <v>#REF!</v>
      </c>
      <c r="AU33" s="140" t="e">
        <f>AW33-AS33</f>
        <v>#REF!</v>
      </c>
      <c r="AV33" s="139">
        <f>IF(ISBLANK($M$18),0,IF($AD$31=0,0,AD33/$AD$31*$AV$31))</f>
        <v>0</v>
      </c>
      <c r="AW33" s="115"/>
      <c r="AX33" s="115"/>
      <c r="AY33" s="115" t="e">
        <f>AV33*#REF!</f>
        <v>#REF!</v>
      </c>
      <c r="AZ33" s="116" t="e">
        <f>AV33*#REF!</f>
        <v>#REF!</v>
      </c>
      <c r="BA33" s="140" t="e">
        <f t="shared" si="7"/>
        <v>#REF!</v>
      </c>
      <c r="BB33" s="116"/>
      <c r="BC33" s="116"/>
      <c r="BD33" s="140"/>
      <c r="BE33" s="116"/>
      <c r="BF33" s="116">
        <v>35</v>
      </c>
      <c r="BG33" s="211" t="e">
        <f>AM33*2000/BF33</f>
        <v>#REF!</v>
      </c>
      <c r="BH33" s="211">
        <f>AV33*2000/BF33</f>
        <v>0</v>
      </c>
      <c r="BI33" s="211"/>
      <c r="BJ33" s="211" t="e">
        <f>AM33*2000/BF33</f>
        <v>#REF!</v>
      </c>
      <c r="BL33" s="452"/>
    </row>
    <row r="34" spans="2:71" x14ac:dyDescent="0.25">
      <c r="X34" s="532"/>
      <c r="Y34" s="533"/>
      <c r="Z34" s="532"/>
      <c r="AA34" s="532"/>
      <c r="AB34" s="99"/>
      <c r="AC34" s="154" t="s">
        <v>16</v>
      </c>
      <c r="AD34" s="139" t="e">
        <f>#REF!</f>
        <v>#REF!</v>
      </c>
      <c r="AE34" s="116" t="e">
        <f>AD34*#REF!</f>
        <v>#REF!</v>
      </c>
      <c r="AF34" s="116" t="e">
        <f>AD34*#REF!-AD34*#REF!</f>
        <v>#REF!</v>
      </c>
      <c r="AG34" s="116" t="e">
        <f>#REF!</f>
        <v>#REF!</v>
      </c>
      <c r="AH34" s="116" t="e">
        <f>AG34*#REF!-AG34*#REF!</f>
        <v>#REF!</v>
      </c>
      <c r="AI34" s="116"/>
      <c r="AJ34" s="115"/>
      <c r="AK34" s="115"/>
      <c r="AL34" s="139" t="e">
        <f>IF($AD$31=0, 0, AD34/$AD$31*$AL$31)</f>
        <v>#REF!</v>
      </c>
      <c r="AM34" s="116" t="e">
        <f>IF($AD$31=0, 0, AD34/$AD$31*$AM$31)</f>
        <v>#REF!</v>
      </c>
      <c r="AN34" s="116"/>
      <c r="AO34" s="115"/>
      <c r="AP34" s="116" t="e">
        <f>AM34*#REF!</f>
        <v>#REF!</v>
      </c>
      <c r="AQ34" s="116" t="e">
        <f>AM34*#REF!</f>
        <v>#REF!</v>
      </c>
      <c r="AR34" s="116" t="e">
        <f>AT34-AP34</f>
        <v>#REF!</v>
      </c>
      <c r="AS34" s="116" t="e">
        <f>AL34*#REF!</f>
        <v>#REF!</v>
      </c>
      <c r="AT34" s="116" t="e">
        <f>AL34*#REF!</f>
        <v>#REF!</v>
      </c>
      <c r="AU34" s="140" t="e">
        <f>AW34-AS34</f>
        <v>#REF!</v>
      </c>
      <c r="AV34" s="139">
        <f>IF(ISBLANK($M$18),0,IF($AD$31=0,0,AD34/$AD$31*$AV$31))</f>
        <v>0</v>
      </c>
      <c r="AW34" s="115"/>
      <c r="AX34" s="115"/>
      <c r="AY34" s="115" t="e">
        <f>AV34*#REF!</f>
        <v>#REF!</v>
      </c>
      <c r="AZ34" s="116" t="e">
        <f>AV34*#REF!</f>
        <v>#REF!</v>
      </c>
      <c r="BA34" s="140" t="e">
        <f t="shared" si="7"/>
        <v>#REF!</v>
      </c>
      <c r="BB34" s="116"/>
      <c r="BC34" s="116"/>
      <c r="BD34" s="140"/>
      <c r="BE34" s="116"/>
      <c r="BF34" s="116">
        <v>29.5</v>
      </c>
      <c r="BG34" s="211" t="e">
        <f>AM34*2000/BF34</f>
        <v>#REF!</v>
      </c>
      <c r="BH34" s="211">
        <f>AV34*2000/BF34</f>
        <v>0</v>
      </c>
      <c r="BI34" s="211"/>
      <c r="BJ34" s="211" t="e">
        <f>AM34*2000/BF34</f>
        <v>#REF!</v>
      </c>
      <c r="BL34" s="452"/>
    </row>
    <row r="35" spans="2:71" x14ac:dyDescent="0.25">
      <c r="AB35" s="95" t="s">
        <v>18</v>
      </c>
      <c r="AC35" s="153"/>
      <c r="AD35" s="134" t="e">
        <f>#REF!</f>
        <v>#REF!</v>
      </c>
      <c r="AE35" s="114"/>
      <c r="AF35" s="114"/>
      <c r="AG35" s="114" t="e">
        <f>#REF!</f>
        <v>#REF!</v>
      </c>
      <c r="AH35" s="114"/>
      <c r="AI35" s="113" t="e">
        <f>AG35*#REF!</f>
        <v>#REF!</v>
      </c>
      <c r="AJ35" s="113" t="e">
        <f>AG35*#REF!</f>
        <v>#REF!</v>
      </c>
      <c r="AK35" s="113" t="e">
        <f>AI35-AJ35</f>
        <v>#REF!</v>
      </c>
      <c r="AL35" s="141" t="e">
        <f>G20*N20</f>
        <v>#VALUE!</v>
      </c>
      <c r="AM35" s="118" t="e">
        <f>F20*N20</f>
        <v>#VALUE!</v>
      </c>
      <c r="AN35" s="118" t="e">
        <f>AL35*#REF!</f>
        <v>#VALUE!</v>
      </c>
      <c r="AO35" s="113" t="e">
        <f>AM35*#REF!</f>
        <v>#VALUE!</v>
      </c>
      <c r="AP35" s="114"/>
      <c r="AQ35" s="114"/>
      <c r="AR35" s="114"/>
      <c r="AS35" s="114"/>
      <c r="AT35" s="114"/>
      <c r="AU35" s="135"/>
      <c r="AV35" s="134">
        <f>IF(ISBLANK(M20), 0, (M20-I20)*(H20-SUM(AL36:AM36)))</f>
        <v>0</v>
      </c>
      <c r="AW35" s="113" t="e">
        <f>AV35*#REF!</f>
        <v>#REF!</v>
      </c>
      <c r="AX35" s="113" t="e">
        <f>AV35*#REF!</f>
        <v>#REF!</v>
      </c>
      <c r="AY35" s="113"/>
      <c r="AZ35" s="114"/>
      <c r="BA35" s="135"/>
      <c r="BB35" s="114" t="e">
        <f>AM35+AV35</f>
        <v>#VALUE!</v>
      </c>
      <c r="BC35" s="114" t="e">
        <f>AN35+AO35+AW35-AX35</f>
        <v>#VALUE!</v>
      </c>
      <c r="BD35" s="135" t="e">
        <f>-SUM(AR36, AU36,BA36)</f>
        <v>#VALUE!</v>
      </c>
      <c r="BE35" s="114"/>
      <c r="BF35" s="114"/>
      <c r="BG35" s="114"/>
      <c r="BH35" s="114"/>
      <c r="BI35" s="114"/>
      <c r="BJ35" s="114"/>
      <c r="BK35" s="114"/>
      <c r="BL35" s="452" t="e">
        <f>IF(SUM(BG56:BI56)=0,0,SUM(BG36:BI36)/SUM($BG$56:$BI$56))</f>
        <v>#VALUE!</v>
      </c>
      <c r="BM35" s="287" t="e">
        <f>'9.CustomRates'!$BQ$71*'4.Future_Benefits '!BL35</f>
        <v>#VALUE!</v>
      </c>
      <c r="BN35" s="452" t="e">
        <f>IF(SUM($BH$56:$BK$56)=0,0,SUM(BH36:BK36)/SUM($BH$56:$BK$56))</f>
        <v>#VALUE!</v>
      </c>
      <c r="BO35" s="287" t="e">
        <f>'9.CustomRates'!$BR$34*'4.Future_Benefits '!BN35</f>
        <v>#VALUE!</v>
      </c>
      <c r="BQ35" s="13" t="e">
        <f>IF('9.CustomRates'!$T$14, '4.Future_Benefits '!BM35, '4.Future_Benefits '!AO35+'4.Future_Benefits '!AW35)</f>
        <v>#VALUE!</v>
      </c>
      <c r="BR35" s="8" t="e">
        <f>IF('9.CustomRates'!$V$14, BO35, AN35-AX35)</f>
        <v>#VALUE!</v>
      </c>
      <c r="BS35" s="13" t="e">
        <f>SUM(BQ35:BR35)</f>
        <v>#VALUE!</v>
      </c>
    </row>
    <row r="36" spans="2:71" x14ac:dyDescent="0.25">
      <c r="AB36" s="96"/>
      <c r="AC36" s="154" t="s">
        <v>18</v>
      </c>
      <c r="AD36" s="139" t="e">
        <f>#REF!</f>
        <v>#REF!</v>
      </c>
      <c r="AE36" s="116" t="e">
        <f>AD36*#REF!</f>
        <v>#REF!</v>
      </c>
      <c r="AF36" s="116" t="e">
        <f>AD36*#REF!-AD36*#REF!</f>
        <v>#REF!</v>
      </c>
      <c r="AG36" s="116" t="e">
        <f>#REF!</f>
        <v>#REF!</v>
      </c>
      <c r="AH36" s="116" t="e">
        <f>AG36*#REF!-AG36*#REF!</f>
        <v>#REF!</v>
      </c>
      <c r="AI36" s="116"/>
      <c r="AJ36" s="115"/>
      <c r="AK36" s="115"/>
      <c r="AL36" s="139" t="e">
        <f>AL35</f>
        <v>#VALUE!</v>
      </c>
      <c r="AM36" s="116" t="e">
        <f>AM35</f>
        <v>#VALUE!</v>
      </c>
      <c r="AN36" s="116"/>
      <c r="AO36" s="115"/>
      <c r="AP36" s="116" t="e">
        <f>AM36*#REF!</f>
        <v>#VALUE!</v>
      </c>
      <c r="AQ36" s="116" t="e">
        <f>AM36*#REF!</f>
        <v>#VALUE!</v>
      </c>
      <c r="AR36" s="211" t="e">
        <f>AQ36-AP36</f>
        <v>#VALUE!</v>
      </c>
      <c r="AS36" s="116" t="e">
        <f>AL36*#REF!</f>
        <v>#VALUE!</v>
      </c>
      <c r="AT36" s="116" t="e">
        <f>AL36*#REF!</f>
        <v>#VALUE!</v>
      </c>
      <c r="AU36" s="213" t="e">
        <f>AT36-AS36</f>
        <v>#VALUE!</v>
      </c>
      <c r="AV36" s="210">
        <f>AV35</f>
        <v>0</v>
      </c>
      <c r="AW36" s="115"/>
      <c r="AX36" s="115"/>
      <c r="AY36" s="115" t="e">
        <f>AV36*#REF!</f>
        <v>#REF!</v>
      </c>
      <c r="AZ36" s="116" t="e">
        <f>AV36*#REF!</f>
        <v>#REF!</v>
      </c>
      <c r="BA36" s="140" t="e">
        <f t="shared" si="7"/>
        <v>#REF!</v>
      </c>
      <c r="BB36" s="116"/>
      <c r="BC36" s="116"/>
      <c r="BD36" s="140"/>
      <c r="BE36" s="116"/>
      <c r="BF36" s="116">
        <v>486</v>
      </c>
      <c r="BG36" s="211" t="e">
        <f>AM36*2000/BF36</f>
        <v>#VALUE!</v>
      </c>
      <c r="BI36" s="211">
        <f>AV36*2000/BF36</f>
        <v>0</v>
      </c>
      <c r="BJ36" s="211"/>
      <c r="BK36" s="211" t="e">
        <f>AM36*2000/BF36</f>
        <v>#VALUE!</v>
      </c>
    </row>
    <row r="37" spans="2:71" x14ac:dyDescent="0.25">
      <c r="AB37" s="95" t="s">
        <v>19</v>
      </c>
      <c r="AC37" s="153"/>
      <c r="AD37" s="134" t="e">
        <f>#REF!</f>
        <v>#REF!</v>
      </c>
      <c r="AE37" s="114"/>
      <c r="AF37" s="114"/>
      <c r="AG37" s="114" t="e">
        <f>#REF!</f>
        <v>#REF!</v>
      </c>
      <c r="AH37" s="114"/>
      <c r="AI37" s="113" t="e">
        <f>AG37*#REF!</f>
        <v>#REF!</v>
      </c>
      <c r="AJ37" s="113" t="e">
        <f>AG37*#REF!</f>
        <v>#REF!</v>
      </c>
      <c r="AK37" s="113" t="e">
        <f>AI37-AJ37</f>
        <v>#REF!</v>
      </c>
      <c r="AL37" s="141" t="e">
        <f>G21*N21</f>
        <v>#VALUE!</v>
      </c>
      <c r="AM37" s="118" t="e">
        <f>F21*N21</f>
        <v>#VALUE!</v>
      </c>
      <c r="AN37" s="118" t="e">
        <f>AL37*#REF!</f>
        <v>#VALUE!</v>
      </c>
      <c r="AO37" s="113" t="e">
        <f>AM37*#REF!</f>
        <v>#VALUE!</v>
      </c>
      <c r="AP37" s="114"/>
      <c r="AQ37" s="114"/>
      <c r="AR37" s="114"/>
      <c r="AS37" s="114"/>
      <c r="AT37" s="114"/>
      <c r="AU37" s="135"/>
      <c r="AV37" s="134">
        <f>IF(ISBLANK(M21),0,(M21-I21)*(H21-SUM(AL38:AM40)))</f>
        <v>0</v>
      </c>
      <c r="AW37" s="113" t="e">
        <f>AV37*#REF!</f>
        <v>#REF!</v>
      </c>
      <c r="AX37" s="113" t="e">
        <f>AV37*#REF!</f>
        <v>#REF!</v>
      </c>
      <c r="AY37" s="113"/>
      <c r="AZ37" s="114"/>
      <c r="BA37" s="135"/>
      <c r="BB37" s="114" t="e">
        <f>AM37+AV37</f>
        <v>#VALUE!</v>
      </c>
      <c r="BC37" s="114" t="e">
        <f>AN37+AO37+AW37-AX37</f>
        <v>#VALUE!</v>
      </c>
      <c r="BD37" s="135" t="e">
        <f>-SUM(AR38:AR40, AU38:AU40,BA38:BA40)</f>
        <v>#REF!</v>
      </c>
      <c r="BE37" s="114"/>
      <c r="BF37" s="114"/>
      <c r="BG37" s="114"/>
      <c r="BH37" s="114"/>
      <c r="BI37" s="114"/>
      <c r="BJ37" s="114"/>
      <c r="BK37" s="114"/>
      <c r="BL37" s="452" t="e">
        <f>IF(SUM(BG56:BI56)=0,0,SUM(BG38:BI40)/SUM($BG$56:$BI$56))</f>
        <v>#VALUE!</v>
      </c>
      <c r="BM37" s="287" t="e">
        <f>'9.CustomRates'!$BQ$71*'4.Future_Benefits '!BL37</f>
        <v>#VALUE!</v>
      </c>
      <c r="BN37" s="452" t="e">
        <f>IF(SUM($BH$56:$BK$56)=0,0,SUM(BH38:BK40)/SUM($BH$56:$BK$56))</f>
        <v>#VALUE!</v>
      </c>
      <c r="BO37" s="287" t="e">
        <f>'9.CustomRates'!$BR$34*'4.Future_Benefits '!BN37</f>
        <v>#VALUE!</v>
      </c>
      <c r="BQ37" s="13" t="e">
        <f>IF('9.CustomRates'!$T$14, '4.Future_Benefits '!BM37, '4.Future_Benefits '!AO37+'4.Future_Benefits '!AW37)</f>
        <v>#VALUE!</v>
      </c>
      <c r="BR37" s="8" t="e">
        <f>IF('9.CustomRates'!$V$14, BO37, AN37-AX37)</f>
        <v>#VALUE!</v>
      </c>
      <c r="BS37" s="13" t="e">
        <f>SUM(BQ37:BR37)</f>
        <v>#VALUE!</v>
      </c>
    </row>
    <row r="38" spans="2:71" x14ac:dyDescent="0.25">
      <c r="AB38" s="96"/>
      <c r="AC38" s="154" t="s">
        <v>146</v>
      </c>
      <c r="AD38" s="139" t="e">
        <f>#REF!</f>
        <v>#REF!</v>
      </c>
      <c r="AE38" s="116" t="e">
        <f>AD38*#REF!</f>
        <v>#REF!</v>
      </c>
      <c r="AF38" s="116" t="e">
        <f>AD38*#REF!-AD38*#REF!</f>
        <v>#REF!</v>
      </c>
      <c r="AG38" s="116" t="e">
        <f>#REF!</f>
        <v>#REF!</v>
      </c>
      <c r="AH38" s="116" t="e">
        <f>AG38*#REF!-AG38*#REF!</f>
        <v>#REF!</v>
      </c>
      <c r="AI38" s="116"/>
      <c r="AJ38" s="115"/>
      <c r="AK38" s="115"/>
      <c r="AL38" s="139" t="e">
        <f>IF($AD$37=0, 0, AD38/$AD$37*$AL$37)</f>
        <v>#REF!</v>
      </c>
      <c r="AM38" s="116" t="e">
        <f>IF($AD$37=0, 0, AD38/$AD$37*$AM$37)</f>
        <v>#REF!</v>
      </c>
      <c r="AN38" s="116"/>
      <c r="AO38" s="115"/>
      <c r="AP38" s="116" t="e">
        <f>AM38*#REF!</f>
        <v>#REF!</v>
      </c>
      <c r="AQ38" s="116" t="e">
        <f>AM38*#REF!</f>
        <v>#REF!</v>
      </c>
      <c r="AR38" s="211" t="e">
        <f>AQ38-AP38</f>
        <v>#REF!</v>
      </c>
      <c r="AS38" s="116" t="e">
        <f>AL38*#REF!</f>
        <v>#REF!</v>
      </c>
      <c r="AT38" s="116" t="e">
        <f>AL38*#REF!</f>
        <v>#REF!</v>
      </c>
      <c r="AU38" s="213" t="e">
        <f>AT38-AS38</f>
        <v>#REF!</v>
      </c>
      <c r="AV38" s="139">
        <f>IF(ISBLANK($M$21),0,IF($AD$37=0,0,AD38/$AD$37*$AV$37))</f>
        <v>0</v>
      </c>
      <c r="AW38" s="115"/>
      <c r="AX38" s="115"/>
      <c r="AY38" s="115" t="e">
        <f>AV38*#REF!</f>
        <v>#REF!</v>
      </c>
      <c r="AZ38" s="116" t="e">
        <f>AV38*#REF!</f>
        <v>#REF!</v>
      </c>
      <c r="BA38" s="140" t="e">
        <f t="shared" si="7"/>
        <v>#REF!</v>
      </c>
      <c r="BB38" s="116"/>
      <c r="BC38" s="116"/>
      <c r="BD38" s="140"/>
      <c r="BE38" s="116"/>
      <c r="BF38" s="116">
        <v>312.5</v>
      </c>
      <c r="BG38" s="211" t="e">
        <f>AM38*2000/BF38</f>
        <v>#REF!</v>
      </c>
      <c r="BI38" s="211">
        <f>AV38*2000/BF38</f>
        <v>0</v>
      </c>
      <c r="BJ38" s="211"/>
      <c r="BK38" s="211" t="e">
        <f>AM38*2000/BF38</f>
        <v>#REF!</v>
      </c>
      <c r="BL38" s="452"/>
    </row>
    <row r="39" spans="2:71" x14ac:dyDescent="0.25">
      <c r="AB39" s="96"/>
      <c r="AC39" s="154" t="s">
        <v>147</v>
      </c>
      <c r="AD39" s="139" t="e">
        <f>#REF!</f>
        <v>#REF!</v>
      </c>
      <c r="AE39" s="116" t="e">
        <f>AD39*#REF!</f>
        <v>#REF!</v>
      </c>
      <c r="AF39" s="116" t="e">
        <f>AD39*#REF!-AD39*#REF!</f>
        <v>#REF!</v>
      </c>
      <c r="AG39" s="116" t="e">
        <f>#REF!</f>
        <v>#REF!</v>
      </c>
      <c r="AH39" s="116" t="e">
        <f>AG39*#REF!-AG39*#REF!</f>
        <v>#REF!</v>
      </c>
      <c r="AI39" s="116"/>
      <c r="AJ39" s="115"/>
      <c r="AK39" s="115"/>
      <c r="AL39" s="139" t="e">
        <f>IF($AD$37=0, 0, AD39/$AD$37*$AL$37)</f>
        <v>#REF!</v>
      </c>
      <c r="AM39" s="116" t="e">
        <f>IF($AD$37=0, 0, AD39/$AD$37*$AM$37)</f>
        <v>#REF!</v>
      </c>
      <c r="AN39" s="116"/>
      <c r="AO39" s="115"/>
      <c r="AP39" s="116" t="e">
        <f>AM39*#REF!</f>
        <v>#REF!</v>
      </c>
      <c r="AQ39" s="116" t="e">
        <f>AM39*#REF!</f>
        <v>#REF!</v>
      </c>
      <c r="AR39" s="211" t="e">
        <f>AQ39-AP39</f>
        <v>#REF!</v>
      </c>
      <c r="AS39" s="116" t="e">
        <f>AL39*#REF!</f>
        <v>#REF!</v>
      </c>
      <c r="AT39" s="116" t="e">
        <f>AL39*#REF!</f>
        <v>#REF!</v>
      </c>
      <c r="AU39" s="213" t="e">
        <f>AT39-AS39</f>
        <v>#REF!</v>
      </c>
      <c r="AV39" s="139">
        <f>IF(ISBLANK($M$21),0,IF($AD$37=0,0,AD39/$AD$37*$AV$37))</f>
        <v>0</v>
      </c>
      <c r="AW39" s="115"/>
      <c r="AX39" s="115"/>
      <c r="AY39" s="115" t="e">
        <f>AV39*#REF!</f>
        <v>#REF!</v>
      </c>
      <c r="AZ39" s="116" t="e">
        <f>AV39*#REF!</f>
        <v>#REF!</v>
      </c>
      <c r="BA39" s="140" t="e">
        <f t="shared" si="7"/>
        <v>#REF!</v>
      </c>
      <c r="BB39" s="116"/>
      <c r="BC39" s="116"/>
      <c r="BD39" s="140"/>
      <c r="BE39" s="116"/>
      <c r="BF39" s="116">
        <v>127</v>
      </c>
      <c r="BG39" s="211" t="e">
        <f>AM39*2000/BF39</f>
        <v>#REF!</v>
      </c>
      <c r="BI39" s="211">
        <f>AV39*2000/BF39</f>
        <v>0</v>
      </c>
      <c r="BJ39" s="211"/>
      <c r="BK39" s="211" t="e">
        <f>AM39*2000/BF39</f>
        <v>#REF!</v>
      </c>
      <c r="BL39" s="452"/>
    </row>
    <row r="40" spans="2:71" x14ac:dyDescent="0.25">
      <c r="AB40" s="96"/>
      <c r="AC40" s="154" t="s">
        <v>148</v>
      </c>
      <c r="AD40" s="139" t="e">
        <f>#REF!</f>
        <v>#REF!</v>
      </c>
      <c r="AE40" s="116" t="e">
        <f>AD40*#REF!</f>
        <v>#REF!</v>
      </c>
      <c r="AF40" s="116" t="e">
        <f>AD40*#REF!-AD40*#REF!</f>
        <v>#REF!</v>
      </c>
      <c r="AG40" s="116" t="e">
        <f>#REF!</f>
        <v>#REF!</v>
      </c>
      <c r="AH40" s="116" t="e">
        <f>AG40*#REF!-AG40*#REF!</f>
        <v>#REF!</v>
      </c>
      <c r="AI40" s="116"/>
      <c r="AJ40" s="115"/>
      <c r="AK40" s="115"/>
      <c r="AL40" s="139" t="e">
        <f>IF($AD$37=0, 0, AD40/$AD$37*$AL$37)</f>
        <v>#REF!</v>
      </c>
      <c r="AM40" s="116" t="e">
        <f>IF($AD$37=0, 0, AD40/$AD$37*$AM$37)</f>
        <v>#REF!</v>
      </c>
      <c r="AN40" s="116"/>
      <c r="AO40" s="115"/>
      <c r="AP40" s="116" t="e">
        <f>AM40*#REF!</f>
        <v>#REF!</v>
      </c>
      <c r="AQ40" s="116" t="e">
        <f>AM40*#REF!</f>
        <v>#REF!</v>
      </c>
      <c r="AR40" s="211" t="e">
        <f>AQ40-AP40</f>
        <v>#REF!</v>
      </c>
      <c r="AS40" s="116" t="e">
        <f>AL40*#REF!</f>
        <v>#REF!</v>
      </c>
      <c r="AT40" s="116" t="e">
        <f>AL40*#REF!</f>
        <v>#REF!</v>
      </c>
      <c r="AU40" s="213" t="e">
        <f>AT40-AS40</f>
        <v>#REF!</v>
      </c>
      <c r="AV40" s="139">
        <f>IF(ISBLANK($M$21),0,IF($AD$37=0,0,AD40/$AD$37*$AV$37))</f>
        <v>0</v>
      </c>
      <c r="AW40" s="115"/>
      <c r="AX40" s="115"/>
      <c r="AY40" s="115" t="e">
        <f>AV40*#REF!</f>
        <v>#REF!</v>
      </c>
      <c r="AZ40" s="116" t="e">
        <f>AV40*#REF!</f>
        <v>#REF!</v>
      </c>
      <c r="BA40" s="140" t="e">
        <f t="shared" si="7"/>
        <v>#REF!</v>
      </c>
      <c r="BB40" s="116"/>
      <c r="BC40" s="116"/>
      <c r="BD40" s="140"/>
      <c r="BE40" s="116"/>
      <c r="BF40" s="116">
        <v>127</v>
      </c>
      <c r="BG40" s="211" t="e">
        <f>AM40*2000/BF40</f>
        <v>#REF!</v>
      </c>
      <c r="BI40" s="211">
        <f>AV40*2000/BF40</f>
        <v>0</v>
      </c>
      <c r="BJ40" s="211"/>
      <c r="BK40" s="211" t="e">
        <f>AM40*2000/BF40</f>
        <v>#REF!</v>
      </c>
      <c r="BL40" s="452"/>
    </row>
    <row r="41" spans="2:71" x14ac:dyDescent="0.25">
      <c r="AB41" s="95" t="s">
        <v>20</v>
      </c>
      <c r="AC41" s="153"/>
      <c r="AD41" s="134" t="e">
        <f>#REF!</f>
        <v>#REF!</v>
      </c>
      <c r="AE41" s="114" t="e">
        <f>AD41*#REF!</f>
        <v>#REF!</v>
      </c>
      <c r="AF41" s="114"/>
      <c r="AG41" s="114" t="e">
        <f>#REF!</f>
        <v>#REF!</v>
      </c>
      <c r="AH41" s="114"/>
      <c r="AI41" s="113" t="e">
        <f>AG41*#REF!</f>
        <v>#REF!</v>
      </c>
      <c r="AJ41" s="113" t="e">
        <f>AG41*#REF!</f>
        <v>#REF!</v>
      </c>
      <c r="AK41" s="113" t="e">
        <f>AI41-AJ41</f>
        <v>#REF!</v>
      </c>
      <c r="AL41" s="141" t="e">
        <f>G22*N22</f>
        <v>#VALUE!</v>
      </c>
      <c r="AM41" s="118" t="e">
        <f>F22*N22</f>
        <v>#VALUE!</v>
      </c>
      <c r="AN41" s="118" t="e">
        <f>AL41*#REF!</f>
        <v>#VALUE!</v>
      </c>
      <c r="AO41" s="113" t="e">
        <f>AM41*#REF!</f>
        <v>#VALUE!</v>
      </c>
      <c r="AP41" s="114"/>
      <c r="AQ41" s="114"/>
      <c r="AR41" s="114"/>
      <c r="AS41" s="114"/>
      <c r="AT41" s="114"/>
      <c r="AU41" s="135"/>
      <c r="AV41" s="134">
        <f>IF(ISBLANK(M22),0,(M22-I22)*(H22-SUM(AL42:AM42)))</f>
        <v>0</v>
      </c>
      <c r="AW41" s="113" t="e">
        <f>AV41*#REF!</f>
        <v>#REF!</v>
      </c>
      <c r="AX41" s="113" t="e">
        <f>AV41*#REF!</f>
        <v>#REF!</v>
      </c>
      <c r="AY41" s="113"/>
      <c r="AZ41" s="114"/>
      <c r="BA41" s="135">
        <f t="shared" si="7"/>
        <v>0</v>
      </c>
      <c r="BB41" s="114" t="e">
        <f>AM41+AV41</f>
        <v>#VALUE!</v>
      </c>
      <c r="BC41" s="114" t="e">
        <f>AN41+AO41+AW41-AX41</f>
        <v>#VALUE!</v>
      </c>
      <c r="BD41" s="135" t="e">
        <f>-SUM(AR42, AU42,BA42)</f>
        <v>#VALUE!</v>
      </c>
      <c r="BE41" s="114"/>
      <c r="BF41" s="114"/>
      <c r="BG41" s="114"/>
      <c r="BH41" s="114"/>
      <c r="BI41" s="114"/>
      <c r="BJ41" s="114"/>
      <c r="BK41" s="114"/>
      <c r="BL41" s="452" t="e">
        <f>IF(SUM(BG56:BI56)=0,0,SUM(BG42:BH42)/SUM($BG$56:$BI$56))</f>
        <v>#VALUE!</v>
      </c>
      <c r="BM41" s="287" t="e">
        <f>'9.CustomRates'!$BQ$71*'4.Future_Benefits '!BL41</f>
        <v>#VALUE!</v>
      </c>
      <c r="BN41" s="452" t="e">
        <f>IF(SUM($BH$56:$BK$56)=0,0,SUM(BH42:BK42)/SUM($BH$56:$BK$56))</f>
        <v>#VALUE!</v>
      </c>
      <c r="BO41" s="287" t="e">
        <f>'9.CustomRates'!$BR$34*'4.Future_Benefits '!BN41</f>
        <v>#VALUE!</v>
      </c>
      <c r="BQ41" s="13" t="e">
        <f>IF('9.CustomRates'!$T$14, '4.Future_Benefits '!BM41, '4.Future_Benefits '!AO41+'4.Future_Benefits '!AW41)</f>
        <v>#VALUE!</v>
      </c>
      <c r="BR41" s="13" t="e">
        <f>IF('9.CustomRates'!$U$14, '4.Future_Benefits '!BO41, '4.Future_Benefits '!AN41-'4.Future_Benefits '!AX41)</f>
        <v>#VALUE!</v>
      </c>
      <c r="BS41" s="13" t="e">
        <f>SUM(BQ41:BR41)</f>
        <v>#VALUE!</v>
      </c>
    </row>
    <row r="42" spans="2:71" x14ac:dyDescent="0.25">
      <c r="AB42" s="96"/>
      <c r="AC42" s="157" t="s">
        <v>151</v>
      </c>
      <c r="AD42" s="145" t="e">
        <f>#REF!</f>
        <v>#REF!</v>
      </c>
      <c r="AE42" s="120" t="e">
        <f>AD42*#REF!</f>
        <v>#REF!</v>
      </c>
      <c r="AF42" s="120" t="e">
        <f>AD42*#REF!-AD42*#REF!</f>
        <v>#REF!</v>
      </c>
      <c r="AG42" s="120" t="e">
        <f>#REF!</f>
        <v>#REF!</v>
      </c>
      <c r="AH42" s="120" t="e">
        <f>AG42*#REF!-AG42*#REF!</f>
        <v>#REF!</v>
      </c>
      <c r="AI42" s="120"/>
      <c r="AJ42" s="146"/>
      <c r="AK42" s="120"/>
      <c r="AL42" s="145" t="e">
        <f>AL41</f>
        <v>#VALUE!</v>
      </c>
      <c r="AM42" s="120" t="e">
        <f>AM41</f>
        <v>#VALUE!</v>
      </c>
      <c r="AN42" s="120"/>
      <c r="AO42" s="119"/>
      <c r="AP42" s="120" t="e">
        <f>AM42*#REF!</f>
        <v>#VALUE!</v>
      </c>
      <c r="AQ42" s="120" t="e">
        <f>AM42*#REF!</f>
        <v>#VALUE!</v>
      </c>
      <c r="AR42" s="211" t="e">
        <f>AQ42-AP42</f>
        <v>#VALUE!</v>
      </c>
      <c r="AS42" s="120" t="e">
        <f>AL42*#REF!</f>
        <v>#VALUE!</v>
      </c>
      <c r="AT42" s="120" t="e">
        <f>AL42*#REF!</f>
        <v>#VALUE!</v>
      </c>
      <c r="AU42" s="213" t="e">
        <f>AT42-AS42</f>
        <v>#VALUE!</v>
      </c>
      <c r="AV42" s="210">
        <f>AV41</f>
        <v>0</v>
      </c>
      <c r="AW42" s="119"/>
      <c r="AX42" s="119"/>
      <c r="AY42" s="119" t="e">
        <f>AV42*#REF!</f>
        <v>#REF!</v>
      </c>
      <c r="AZ42" s="120" t="e">
        <f>AV42*#REF!</f>
        <v>#REF!</v>
      </c>
      <c r="BA42" s="146" t="e">
        <f t="shared" si="7"/>
        <v>#REF!</v>
      </c>
      <c r="BB42" s="120"/>
      <c r="BC42" s="120"/>
      <c r="BD42" s="146"/>
      <c r="BE42" s="120"/>
      <c r="BF42" s="120">
        <v>169</v>
      </c>
      <c r="BG42" s="211" t="e">
        <f>AM42*2000/BF42</f>
        <v>#VALUE!</v>
      </c>
      <c r="BH42" s="211">
        <f>AV42*2000/BF42</f>
        <v>0</v>
      </c>
      <c r="BI42" s="211"/>
      <c r="BJ42" s="211" t="e">
        <f>AM42*2000/BF42</f>
        <v>#VALUE!</v>
      </c>
    </row>
    <row r="43" spans="2:71" x14ac:dyDescent="0.25">
      <c r="AB43" s="95" t="s">
        <v>104</v>
      </c>
      <c r="AC43" s="158"/>
      <c r="AD43" s="147" t="e">
        <f>#REF!</f>
        <v>#REF!</v>
      </c>
      <c r="AE43" s="122" t="e">
        <f>AD43*#REF!</f>
        <v>#REF!</v>
      </c>
      <c r="AF43" s="122"/>
      <c r="AG43" s="122" t="e">
        <f>#REF!</f>
        <v>#REF!</v>
      </c>
      <c r="AH43" s="122"/>
      <c r="AI43" s="113" t="e">
        <f>AG43*#REF!</f>
        <v>#REF!</v>
      </c>
      <c r="AJ43" s="148"/>
      <c r="AK43" s="122"/>
      <c r="AL43" s="141" t="e">
        <f>G23*N23</f>
        <v>#VALUE!</v>
      </c>
      <c r="AM43" s="118" t="e">
        <f>F23*N23</f>
        <v>#VALUE!</v>
      </c>
      <c r="AN43" s="118">
        <v>0</v>
      </c>
      <c r="AO43" s="113" t="e">
        <f>AM43*#REF!</f>
        <v>#VALUE!</v>
      </c>
      <c r="AP43" s="122"/>
      <c r="AQ43" s="122"/>
      <c r="AR43" s="122"/>
      <c r="AS43" s="122"/>
      <c r="AT43" s="122"/>
      <c r="AU43" s="148"/>
      <c r="AV43" s="134">
        <v>0</v>
      </c>
      <c r="AW43" s="113" t="e">
        <f>AV43*#REF!</f>
        <v>#REF!</v>
      </c>
      <c r="AX43" s="121"/>
      <c r="AY43" s="121"/>
      <c r="AZ43" s="122"/>
      <c r="BA43" s="148">
        <v>0</v>
      </c>
      <c r="BB43" s="122" t="e">
        <f>AM43+AV43</f>
        <v>#VALUE!</v>
      </c>
      <c r="BC43" s="122" t="e">
        <f>AN43+AO43+AW43-AX43</f>
        <v>#VALUE!</v>
      </c>
      <c r="BD43" s="148">
        <f>-BA43</f>
        <v>0</v>
      </c>
      <c r="BE43" s="122"/>
      <c r="BF43" s="122"/>
      <c r="BG43" s="122"/>
      <c r="BH43" s="122"/>
      <c r="BI43" s="122"/>
      <c r="BJ43" s="122"/>
      <c r="BK43" s="122"/>
      <c r="BL43" s="452" t="e">
        <f>IF(SUM(BG56:BI56)=0,0,SUM(BG44:BH54)/SUM($BG$56:$BI$56))</f>
        <v>#VALUE!</v>
      </c>
      <c r="BM43" s="287" t="e">
        <f>'9.CustomRates'!$BQ$71*'4.Future_Benefits '!BL43</f>
        <v>#VALUE!</v>
      </c>
      <c r="BN43" s="452" t="e">
        <f>IF(SUM($BH$56:$BK$56)=0,0,SUM(BH44:BK54)/SUM($BH$56:$BK$56))</f>
        <v>#VALUE!</v>
      </c>
      <c r="BO43" s="287" t="e">
        <f>'9.CustomRates'!$BR$34*'4.Future_Benefits '!BN43</f>
        <v>#VALUE!</v>
      </c>
      <c r="BQ43" s="13" t="e">
        <f>IF('9.CustomRates'!$T$14, '4.Future_Benefits '!BM43, '4.Future_Benefits '!AO43+'4.Future_Benefits '!AW43)</f>
        <v>#VALUE!</v>
      </c>
      <c r="BR43" s="13">
        <f>IF('9.CustomRates'!$U$14, '4.Future_Benefits '!BO43, '4.Future_Benefits '!AN43-'4.Future_Benefits '!AX43)</f>
        <v>0</v>
      </c>
      <c r="BS43" s="13" t="e">
        <f>SUM(BQ43:BR43)</f>
        <v>#VALUE!</v>
      </c>
    </row>
    <row r="44" spans="2:71" x14ac:dyDescent="0.25">
      <c r="AB44" s="96"/>
      <c r="AC44" s="154" t="s">
        <v>135</v>
      </c>
      <c r="AD44" s="136" t="e">
        <f>#REF!</f>
        <v>#REF!</v>
      </c>
      <c r="AE44" s="137" t="e">
        <f>AD44*#REF!</f>
        <v>#REF!</v>
      </c>
      <c r="AF44" s="137" t="e">
        <f>AD44*#REF!-AD44*#REF!</f>
        <v>#REF!</v>
      </c>
      <c r="AG44" s="137" t="e">
        <f>#REF!</f>
        <v>#REF!</v>
      </c>
      <c r="AH44" s="137" t="e">
        <f>AG44*#REF!-AG44*#REF!</f>
        <v>#REF!</v>
      </c>
      <c r="AI44" s="137"/>
      <c r="AJ44" s="138"/>
      <c r="AK44" s="137"/>
      <c r="AL44" s="210" t="e">
        <f t="shared" ref="AL44:AL54" si="11">IF($AD$43=0, 0, AD44/$AD$43*$AL$43)</f>
        <v>#REF!</v>
      </c>
      <c r="AM44" s="211" t="e">
        <f>IF($AD$43=0, 0, AD44/$AD$43*$AM$43)</f>
        <v>#REF!</v>
      </c>
      <c r="AN44" s="211"/>
      <c r="AO44" s="137"/>
      <c r="AP44" s="137" t="e">
        <f>AM44*#REF!</f>
        <v>#REF!</v>
      </c>
      <c r="AQ44" s="137" t="e">
        <f>AM44*#REF!</f>
        <v>#REF!</v>
      </c>
      <c r="AR44" s="211" t="e">
        <f t="shared" ref="AR44:AR54" si="12">AQ44-AP44</f>
        <v>#REF!</v>
      </c>
      <c r="AS44" s="211"/>
      <c r="AT44" s="137" t="e">
        <f>AL44*#REF!</f>
        <v>#REF!</v>
      </c>
      <c r="AU44" s="213" t="e">
        <f t="shared" ref="AU44:AU54" si="13">AT44-AS44</f>
        <v>#REF!</v>
      </c>
      <c r="AV44" s="210"/>
      <c r="AW44" s="211"/>
      <c r="AX44" s="217"/>
      <c r="AY44" s="217"/>
      <c r="AZ44" s="211"/>
      <c r="BA44" s="213"/>
      <c r="BB44" s="211"/>
      <c r="BC44" s="211"/>
      <c r="BD44" s="213"/>
      <c r="BE44" s="211"/>
      <c r="BF44" s="211">
        <v>363.5</v>
      </c>
      <c r="BG44" s="211" t="e">
        <f t="shared" ref="BG44:BG54" si="14">AM44*2000/BF44</f>
        <v>#REF!</v>
      </c>
      <c r="BH44" s="211">
        <f t="shared" ref="BH44:BH54" si="15">AV44*2000/BF44</f>
        <v>0</v>
      </c>
      <c r="BI44" s="211"/>
      <c r="BJ44" s="211" t="e">
        <f t="shared" ref="BJ44:BJ54" si="16">AM44*2000/BF44</f>
        <v>#REF!</v>
      </c>
    </row>
    <row r="45" spans="2:71" x14ac:dyDescent="0.25">
      <c r="B45" s="259" t="s">
        <v>295</v>
      </c>
      <c r="AB45" s="96"/>
      <c r="AC45" s="154" t="s">
        <v>17</v>
      </c>
      <c r="AD45" s="136" t="e">
        <f>#REF!</f>
        <v>#REF!</v>
      </c>
      <c r="AE45" s="137" t="e">
        <f>AD45*#REF!</f>
        <v>#REF!</v>
      </c>
      <c r="AF45" s="137" t="e">
        <f>AD45*#REF!-AD45*#REF!</f>
        <v>#REF!</v>
      </c>
      <c r="AG45" s="137" t="e">
        <f>#REF!</f>
        <v>#REF!</v>
      </c>
      <c r="AH45" s="137" t="e">
        <f>AG45*#REF!-AG45*#REF!</f>
        <v>#REF!</v>
      </c>
      <c r="AI45" s="137"/>
      <c r="AJ45" s="138"/>
      <c r="AK45" s="137"/>
      <c r="AL45" s="210" t="e">
        <f>IF($AD$43=0, 0, AD45/$AD$43*$AL$43)</f>
        <v>#REF!</v>
      </c>
      <c r="AM45" s="211" t="e">
        <f>IF($AD$43=0, 0, AD45/$AD$43*$AM$43)</f>
        <v>#REF!</v>
      </c>
      <c r="AN45" s="211"/>
      <c r="AO45" s="137"/>
      <c r="AP45" s="137" t="e">
        <f>AM45*#REF!</f>
        <v>#REF!</v>
      </c>
      <c r="AQ45" s="137" t="e">
        <f>AM45*#REF!</f>
        <v>#REF!</v>
      </c>
      <c r="AR45" s="211" t="e">
        <f>AQ45-AP45</f>
        <v>#REF!</v>
      </c>
      <c r="AS45" s="211"/>
      <c r="AT45" s="137" t="e">
        <f>AL45*#REF!</f>
        <v>#REF!</v>
      </c>
      <c r="AU45" s="213" t="e">
        <f>AT45-AS45</f>
        <v>#REF!</v>
      </c>
      <c r="AV45" s="210"/>
      <c r="AW45" s="211"/>
      <c r="AX45" s="217"/>
      <c r="AY45" s="217"/>
      <c r="AZ45" s="211"/>
      <c r="BA45" s="213"/>
      <c r="BB45" s="211"/>
      <c r="BC45" s="211"/>
      <c r="BD45" s="213"/>
      <c r="BE45" s="211"/>
      <c r="BF45" s="211">
        <v>1400</v>
      </c>
      <c r="BG45" s="211" t="e">
        <f t="shared" si="14"/>
        <v>#REF!</v>
      </c>
      <c r="BH45" s="211">
        <f t="shared" si="15"/>
        <v>0</v>
      </c>
      <c r="BI45" s="211"/>
      <c r="BJ45" s="211" t="e">
        <f t="shared" si="16"/>
        <v>#REF!</v>
      </c>
      <c r="BL45" s="452"/>
    </row>
    <row r="46" spans="2:71" ht="21" customHeight="1" x14ac:dyDescent="0.25">
      <c r="C46" s="258" t="s">
        <v>355</v>
      </c>
      <c r="D46" s="258"/>
      <c r="AB46" s="96"/>
      <c r="AC46" s="156" t="s">
        <v>15</v>
      </c>
      <c r="AD46" s="136" t="e">
        <f>#REF!</f>
        <v>#REF!</v>
      </c>
      <c r="AE46" s="137" t="e">
        <f>AD46*#REF!</f>
        <v>#REF!</v>
      </c>
      <c r="AF46" s="137" t="e">
        <f>AD46*#REF!-AD46*#REF!</f>
        <v>#REF!</v>
      </c>
      <c r="AG46" s="137" t="e">
        <f>#REF!</f>
        <v>#REF!</v>
      </c>
      <c r="AH46" s="137" t="e">
        <f>AG46*#REF!-AG46*#REF!</f>
        <v>#REF!</v>
      </c>
      <c r="AI46" s="137"/>
      <c r="AJ46" s="138"/>
      <c r="AK46" s="137"/>
      <c r="AL46" s="210" t="e">
        <f t="shared" si="11"/>
        <v>#REF!</v>
      </c>
      <c r="AM46" s="211" t="e">
        <f t="shared" ref="AM46:AM54" si="17">IF($AD$43=0, 0, AD46/$AD$43*$AM$43)</f>
        <v>#REF!</v>
      </c>
      <c r="AN46" s="211"/>
      <c r="AO46" s="137"/>
      <c r="AP46" s="137" t="e">
        <f>AM46*#REF!</f>
        <v>#REF!</v>
      </c>
      <c r="AQ46" s="137" t="e">
        <f>AM46*#REF!</f>
        <v>#REF!</v>
      </c>
      <c r="AR46" s="211" t="e">
        <f t="shared" si="12"/>
        <v>#REF!</v>
      </c>
      <c r="AS46" s="211"/>
      <c r="AT46" s="137" t="e">
        <f>AL46*#REF!</f>
        <v>#REF!</v>
      </c>
      <c r="AU46" s="213" t="e">
        <f t="shared" si="13"/>
        <v>#REF!</v>
      </c>
      <c r="AV46" s="210"/>
      <c r="AW46" s="211"/>
      <c r="AX46" s="217"/>
      <c r="AY46" s="217"/>
      <c r="AZ46" s="211"/>
      <c r="BA46" s="213"/>
      <c r="BB46" s="211"/>
      <c r="BC46" s="211"/>
      <c r="BD46" s="213"/>
      <c r="BE46" s="211"/>
      <c r="BF46" s="211">
        <v>142.83000000000001</v>
      </c>
      <c r="BG46" s="211" t="e">
        <f t="shared" si="14"/>
        <v>#REF!</v>
      </c>
      <c r="BH46" s="211">
        <f t="shared" si="15"/>
        <v>0</v>
      </c>
      <c r="BI46" s="211"/>
      <c r="BJ46" s="211" t="e">
        <f t="shared" si="16"/>
        <v>#REF!</v>
      </c>
      <c r="BL46" s="452"/>
    </row>
    <row r="47" spans="2:71" x14ac:dyDescent="0.25">
      <c r="B47" s="193" t="s">
        <v>296</v>
      </c>
      <c r="C47" s="11"/>
      <c r="D47" s="11"/>
      <c r="E47" s="11"/>
      <c r="F47" s="11"/>
      <c r="G47" s="11"/>
      <c r="H47" s="11"/>
      <c r="I47" s="11"/>
      <c r="J47" s="11"/>
      <c r="K47" s="11"/>
      <c r="L47" s="11"/>
      <c r="M47" s="11"/>
      <c r="N47" s="11"/>
      <c r="O47" s="11"/>
      <c r="P47" s="11"/>
      <c r="Q47" s="11"/>
      <c r="R47" s="11"/>
      <c r="S47" s="11"/>
      <c r="T47" s="11"/>
      <c r="AB47" s="96"/>
      <c r="AC47" s="154" t="s">
        <v>16</v>
      </c>
      <c r="AD47" s="136" t="e">
        <f>#REF!</f>
        <v>#REF!</v>
      </c>
      <c r="AE47" s="137" t="e">
        <f>AD47*#REF!</f>
        <v>#REF!</v>
      </c>
      <c r="AF47" s="137" t="e">
        <f>AD47*#REF!-AD47*#REF!</f>
        <v>#REF!</v>
      </c>
      <c r="AG47" s="137" t="e">
        <f>#REF!</f>
        <v>#REF!</v>
      </c>
      <c r="AH47" s="137" t="e">
        <f>AG47*#REF!-AG47*#REF!</f>
        <v>#REF!</v>
      </c>
      <c r="AI47" s="137"/>
      <c r="AJ47" s="138"/>
      <c r="AK47" s="137"/>
      <c r="AL47" s="210" t="e">
        <f t="shared" si="11"/>
        <v>#REF!</v>
      </c>
      <c r="AM47" s="211" t="e">
        <f t="shared" si="17"/>
        <v>#REF!</v>
      </c>
      <c r="AN47" s="211"/>
      <c r="AO47" s="137"/>
      <c r="AP47" s="137" t="e">
        <f>AM47*#REF!</f>
        <v>#REF!</v>
      </c>
      <c r="AQ47" s="137" t="e">
        <f>AM47*#REF!</f>
        <v>#REF!</v>
      </c>
      <c r="AR47" s="211" t="e">
        <f t="shared" si="12"/>
        <v>#REF!</v>
      </c>
      <c r="AS47" s="211"/>
      <c r="AT47" s="137" t="e">
        <f>AL47*#REF!</f>
        <v>#REF!</v>
      </c>
      <c r="AU47" s="213" t="e">
        <f t="shared" si="13"/>
        <v>#REF!</v>
      </c>
      <c r="AV47" s="210"/>
      <c r="AW47" s="211"/>
      <c r="AX47" s="217"/>
      <c r="AY47" s="217"/>
      <c r="AZ47" s="211"/>
      <c r="BA47" s="213"/>
      <c r="BB47" s="211"/>
      <c r="BC47" s="211"/>
      <c r="BD47" s="213"/>
      <c r="BE47" s="211"/>
      <c r="BF47" s="211">
        <v>50</v>
      </c>
      <c r="BG47" s="211" t="e">
        <f t="shared" si="14"/>
        <v>#REF!</v>
      </c>
      <c r="BH47" s="211">
        <f t="shared" si="15"/>
        <v>0</v>
      </c>
      <c r="BI47" s="211"/>
      <c r="BJ47" s="211" t="e">
        <f t="shared" si="16"/>
        <v>#REF!</v>
      </c>
      <c r="BL47" s="452"/>
    </row>
    <row r="48" spans="2:71" x14ac:dyDescent="0.25">
      <c r="B48" s="243"/>
      <c r="C48" s="63"/>
      <c r="D48" s="63"/>
      <c r="E48" s="63"/>
      <c r="F48" s="63"/>
      <c r="G48" s="63"/>
      <c r="H48" s="63"/>
      <c r="I48" s="63"/>
      <c r="J48" s="63"/>
      <c r="K48" s="63"/>
      <c r="L48" s="63"/>
      <c r="M48" s="63"/>
      <c r="N48" s="63"/>
      <c r="O48" s="63"/>
      <c r="P48" s="63"/>
      <c r="Q48" s="63"/>
      <c r="R48" s="63"/>
      <c r="S48" s="63"/>
      <c r="T48" s="63"/>
      <c r="AB48" s="96"/>
      <c r="AC48" s="154" t="s">
        <v>152</v>
      </c>
      <c r="AD48" s="136" t="e">
        <f>#REF!</f>
        <v>#REF!</v>
      </c>
      <c r="AE48" s="137" t="e">
        <f>AD48*#REF!</f>
        <v>#REF!</v>
      </c>
      <c r="AF48" s="137" t="e">
        <f>AD48*#REF!-AD48*#REF!</f>
        <v>#REF!</v>
      </c>
      <c r="AG48" s="137" t="e">
        <f>#REF!</f>
        <v>#REF!</v>
      </c>
      <c r="AH48" s="137" t="e">
        <f>AG48*#REF!-AG48*#REF!</f>
        <v>#REF!</v>
      </c>
      <c r="AI48" s="137"/>
      <c r="AJ48" s="138"/>
      <c r="AK48" s="137"/>
      <c r="AL48" s="210" t="e">
        <f t="shared" si="11"/>
        <v>#REF!</v>
      </c>
      <c r="AM48" s="211" t="e">
        <f t="shared" si="17"/>
        <v>#REF!</v>
      </c>
      <c r="AN48" s="211"/>
      <c r="AO48" s="137"/>
      <c r="AP48" s="137" t="e">
        <f>AM48*#REF!</f>
        <v>#REF!</v>
      </c>
      <c r="AQ48" s="137" t="e">
        <f>AM48*#REF!</f>
        <v>#REF!</v>
      </c>
      <c r="AR48" s="211" t="e">
        <f t="shared" si="12"/>
        <v>#REF!</v>
      </c>
      <c r="AS48" s="211"/>
      <c r="AT48" s="137" t="e">
        <f>AL48*#REF!</f>
        <v>#REF!</v>
      </c>
      <c r="AU48" s="213" t="e">
        <f t="shared" si="13"/>
        <v>#REF!</v>
      </c>
      <c r="AV48" s="210"/>
      <c r="AW48" s="211"/>
      <c r="AX48" s="217"/>
      <c r="AY48" s="217"/>
      <c r="AZ48" s="211"/>
      <c r="BA48" s="213"/>
      <c r="BB48" s="211"/>
      <c r="BC48" s="211"/>
      <c r="BD48" s="213"/>
      <c r="BE48" s="211"/>
      <c r="BF48" s="211">
        <v>147</v>
      </c>
      <c r="BG48" s="211" t="e">
        <f t="shared" si="14"/>
        <v>#REF!</v>
      </c>
      <c r="BH48" s="211">
        <f t="shared" si="15"/>
        <v>0</v>
      </c>
      <c r="BI48" s="211"/>
      <c r="BJ48" s="211" t="e">
        <f t="shared" si="16"/>
        <v>#REF!</v>
      </c>
      <c r="BL48" s="452"/>
    </row>
    <row r="49" spans="2:71" ht="18" x14ac:dyDescent="0.35">
      <c r="B49" s="243"/>
      <c r="C49" s="63"/>
      <c r="D49" s="63" t="s">
        <v>343</v>
      </c>
      <c r="E49" s="63"/>
      <c r="F49" s="63"/>
      <c r="G49" s="63"/>
      <c r="H49" s="63"/>
      <c r="I49" s="63"/>
      <c r="J49" s="63"/>
      <c r="K49" s="63"/>
      <c r="L49" s="63"/>
      <c r="M49" s="63"/>
      <c r="N49" s="63"/>
      <c r="O49" s="63"/>
      <c r="P49" s="63"/>
      <c r="Q49" s="63"/>
      <c r="R49" s="63"/>
      <c r="S49" s="63"/>
      <c r="T49" s="63"/>
      <c r="AB49" s="96"/>
      <c r="AC49" s="154" t="s">
        <v>153</v>
      </c>
      <c r="AD49" s="136" t="e">
        <f>#REF!</f>
        <v>#REF!</v>
      </c>
      <c r="AE49" s="137" t="e">
        <f>AD49*#REF!</f>
        <v>#REF!</v>
      </c>
      <c r="AF49" s="137" t="e">
        <f>AD49*#REF!-AD49*#REF!</f>
        <v>#REF!</v>
      </c>
      <c r="AG49" s="137" t="e">
        <f>#REF!</f>
        <v>#REF!</v>
      </c>
      <c r="AH49" s="137" t="e">
        <f>AG49*#REF!-AG49*#REF!</f>
        <v>#REF!</v>
      </c>
      <c r="AI49" s="137"/>
      <c r="AJ49" s="138"/>
      <c r="AK49" s="137"/>
      <c r="AL49" s="210" t="e">
        <f t="shared" si="11"/>
        <v>#REF!</v>
      </c>
      <c r="AM49" s="211" t="e">
        <f t="shared" si="17"/>
        <v>#REF!</v>
      </c>
      <c r="AN49" s="211"/>
      <c r="AO49" s="137"/>
      <c r="AP49" s="137" t="e">
        <f>AM49*#REF!</f>
        <v>#REF!</v>
      </c>
      <c r="AQ49" s="137" t="e">
        <f>AM49*#REF!</f>
        <v>#REF!</v>
      </c>
      <c r="AR49" s="211" t="e">
        <f t="shared" si="12"/>
        <v>#REF!</v>
      </c>
      <c r="AS49" s="211"/>
      <c r="AT49" s="137" t="e">
        <f>AL49*#REF!</f>
        <v>#REF!</v>
      </c>
      <c r="AU49" s="213" t="e">
        <f t="shared" si="13"/>
        <v>#REF!</v>
      </c>
      <c r="AV49" s="210"/>
      <c r="AW49" s="211"/>
      <c r="AX49" s="217"/>
      <c r="AY49" s="217"/>
      <c r="AZ49" s="211"/>
      <c r="BA49" s="213"/>
      <c r="BB49" s="211"/>
      <c r="BC49" s="211"/>
      <c r="BD49" s="213"/>
      <c r="BE49" s="211"/>
      <c r="BF49" s="211">
        <v>224.88</v>
      </c>
      <c r="BG49" s="211" t="e">
        <f t="shared" si="14"/>
        <v>#REF!</v>
      </c>
      <c r="BH49" s="211">
        <f t="shared" si="15"/>
        <v>0</v>
      </c>
      <c r="BI49" s="211"/>
      <c r="BJ49" s="211" t="e">
        <f t="shared" si="16"/>
        <v>#REF!</v>
      </c>
      <c r="BL49" s="452"/>
    </row>
    <row r="50" spans="2:71" x14ac:dyDescent="0.25">
      <c r="B50" s="243"/>
      <c r="C50" s="63"/>
      <c r="D50" s="63" t="s">
        <v>356</v>
      </c>
      <c r="E50" s="63"/>
      <c r="F50" s="63"/>
      <c r="G50" s="63"/>
      <c r="H50" s="63"/>
      <c r="I50" s="63"/>
      <c r="J50" s="63"/>
      <c r="K50" s="63"/>
      <c r="L50" s="63"/>
      <c r="M50" s="63"/>
      <c r="N50" s="63"/>
      <c r="O50" s="63"/>
      <c r="P50" s="63"/>
      <c r="Q50" s="63"/>
      <c r="R50" s="63"/>
      <c r="S50" s="63"/>
      <c r="T50" s="63"/>
      <c r="AB50" s="96"/>
      <c r="AC50" s="157" t="s">
        <v>154</v>
      </c>
      <c r="AD50" s="136" t="e">
        <f>#REF!</f>
        <v>#REF!</v>
      </c>
      <c r="AE50" s="137" t="e">
        <f>AD50*#REF!</f>
        <v>#REF!</v>
      </c>
      <c r="AF50" s="137" t="e">
        <f>AD50*#REF!-AD50*#REF!</f>
        <v>#REF!</v>
      </c>
      <c r="AG50" s="137" t="e">
        <f>#REF!</f>
        <v>#REF!</v>
      </c>
      <c r="AH50" s="137" t="e">
        <f>AG50*#REF!-AG50*#REF!</f>
        <v>#REF!</v>
      </c>
      <c r="AI50" s="137"/>
      <c r="AJ50" s="138"/>
      <c r="AK50" s="137"/>
      <c r="AL50" s="210" t="e">
        <f t="shared" si="11"/>
        <v>#REF!</v>
      </c>
      <c r="AM50" s="211" t="e">
        <f t="shared" si="17"/>
        <v>#REF!</v>
      </c>
      <c r="AN50" s="211"/>
      <c r="AO50" s="137"/>
      <c r="AP50" s="137" t="e">
        <f>AM50*#REF!</f>
        <v>#REF!</v>
      </c>
      <c r="AQ50" s="137" t="e">
        <f>AM50*#REF!</f>
        <v>#REF!</v>
      </c>
      <c r="AR50" s="211" t="e">
        <f t="shared" si="12"/>
        <v>#REF!</v>
      </c>
      <c r="AS50" s="211"/>
      <c r="AT50" s="137" t="e">
        <f>AL50*#REF!</f>
        <v>#REF!</v>
      </c>
      <c r="AU50" s="213" t="e">
        <f t="shared" si="13"/>
        <v>#REF!</v>
      </c>
      <c r="AV50" s="210"/>
      <c r="AW50" s="211"/>
      <c r="AX50" s="217"/>
      <c r="AY50" s="217"/>
      <c r="AZ50" s="211"/>
      <c r="BA50" s="213"/>
      <c r="BB50" s="211"/>
      <c r="BC50" s="211"/>
      <c r="BD50" s="213"/>
      <c r="BE50" s="211"/>
      <c r="BF50" s="211">
        <f>416.53</f>
        <v>416.53</v>
      </c>
      <c r="BG50" s="211" t="e">
        <f t="shared" si="14"/>
        <v>#REF!</v>
      </c>
      <c r="BH50" s="211">
        <f t="shared" si="15"/>
        <v>0</v>
      </c>
      <c r="BI50" s="211"/>
      <c r="BJ50" s="211" t="e">
        <f t="shared" si="16"/>
        <v>#REF!</v>
      </c>
      <c r="BL50" s="452"/>
    </row>
    <row r="51" spans="2:71" x14ac:dyDescent="0.25">
      <c r="B51" s="243"/>
      <c r="C51" s="63"/>
      <c r="D51" s="63"/>
      <c r="E51" s="63"/>
      <c r="F51" s="63"/>
      <c r="G51" s="63"/>
      <c r="H51" s="63"/>
      <c r="I51" s="63"/>
      <c r="J51" s="63"/>
      <c r="K51" s="63"/>
      <c r="L51" s="63"/>
      <c r="M51" s="63"/>
      <c r="N51" s="63"/>
      <c r="O51" s="63"/>
      <c r="P51" s="63"/>
      <c r="Q51" s="63"/>
      <c r="R51" s="63"/>
      <c r="S51" s="63"/>
      <c r="T51" s="63"/>
      <c r="AB51" s="96"/>
      <c r="AC51" s="154" t="s">
        <v>155</v>
      </c>
      <c r="AD51" s="136" t="e">
        <f>#REF!</f>
        <v>#REF!</v>
      </c>
      <c r="AE51" s="137" t="e">
        <f>AD51*#REF!</f>
        <v>#REF!</v>
      </c>
      <c r="AF51" s="137" t="e">
        <f>AD51*#REF!-AD51*#REF!</f>
        <v>#REF!</v>
      </c>
      <c r="AG51" s="137" t="e">
        <f>#REF!</f>
        <v>#REF!</v>
      </c>
      <c r="AH51" s="137" t="e">
        <f>AG51*#REF!-AG51*#REF!</f>
        <v>#REF!</v>
      </c>
      <c r="AI51" s="137"/>
      <c r="AJ51" s="138"/>
      <c r="AK51" s="137"/>
      <c r="AL51" s="210" t="e">
        <f t="shared" si="11"/>
        <v>#REF!</v>
      </c>
      <c r="AM51" s="211" t="e">
        <f t="shared" si="17"/>
        <v>#REF!</v>
      </c>
      <c r="AN51" s="211"/>
      <c r="AO51" s="137"/>
      <c r="AP51" s="137" t="e">
        <f>AM51*#REF!</f>
        <v>#REF!</v>
      </c>
      <c r="AQ51" s="137" t="e">
        <f>AM51*#REF!</f>
        <v>#REF!</v>
      </c>
      <c r="AR51" s="211" t="e">
        <f t="shared" si="12"/>
        <v>#REF!</v>
      </c>
      <c r="AS51" s="211"/>
      <c r="AT51" s="137" t="e">
        <f>AL51*#REF!</f>
        <v>#REF!</v>
      </c>
      <c r="AU51" s="213" t="e">
        <f t="shared" si="13"/>
        <v>#REF!</v>
      </c>
      <c r="AV51" s="210"/>
      <c r="AW51" s="211"/>
      <c r="AX51" s="217"/>
      <c r="AY51" s="217"/>
      <c r="AZ51" s="211"/>
      <c r="BA51" s="213"/>
      <c r="BB51" s="211"/>
      <c r="BC51" s="211"/>
      <c r="BD51" s="213"/>
      <c r="BE51" s="211"/>
      <c r="BF51" s="211">
        <v>1012.5</v>
      </c>
      <c r="BG51" s="211" t="e">
        <f t="shared" si="14"/>
        <v>#REF!</v>
      </c>
      <c r="BH51" s="211">
        <f t="shared" si="15"/>
        <v>0</v>
      </c>
      <c r="BI51" s="211"/>
      <c r="BJ51" s="211" t="e">
        <f t="shared" si="16"/>
        <v>#REF!</v>
      </c>
      <c r="BL51" s="452"/>
    </row>
    <row r="52" spans="2:71" x14ac:dyDescent="0.25">
      <c r="D52" s="8" t="s">
        <v>520</v>
      </c>
      <c r="AB52" s="96"/>
      <c r="AC52" s="154" t="s">
        <v>149</v>
      </c>
      <c r="AD52" s="136" t="e">
        <f>#REF!</f>
        <v>#REF!</v>
      </c>
      <c r="AE52" s="137" t="e">
        <f>AD52*#REF!</f>
        <v>#REF!</v>
      </c>
      <c r="AF52" s="137" t="e">
        <f>AD52*#REF!-AD52*#REF!</f>
        <v>#REF!</v>
      </c>
      <c r="AG52" s="137" t="e">
        <f>#REF!</f>
        <v>#REF!</v>
      </c>
      <c r="AH52" s="137" t="e">
        <f>AG52*#REF!-AG52*#REF!</f>
        <v>#REF!</v>
      </c>
      <c r="AI52" s="137"/>
      <c r="AJ52" s="138"/>
      <c r="AK52" s="137"/>
      <c r="AL52" s="210" t="e">
        <f>IF($AD$43=0, 0, AD52/$AD$43*$AL$43)</f>
        <v>#REF!</v>
      </c>
      <c r="AM52" s="211" t="e">
        <f>IF($AD$43=0, 0, AD52/$AD$43*$AM$43)</f>
        <v>#REF!</v>
      </c>
      <c r="AN52" s="211"/>
      <c r="AO52" s="137"/>
      <c r="AP52" s="137" t="e">
        <f>AM52*#REF!</f>
        <v>#REF!</v>
      </c>
      <c r="AQ52" s="137" t="e">
        <f>AM52*#REF!</f>
        <v>#REF!</v>
      </c>
      <c r="AR52" s="211" t="e">
        <f>AQ52-AP52</f>
        <v>#REF!</v>
      </c>
      <c r="AS52" s="211"/>
      <c r="AT52" s="137" t="e">
        <f>AL52*#REF!</f>
        <v>#REF!</v>
      </c>
      <c r="AU52" s="213" t="e">
        <f>AT52-AS52</f>
        <v>#REF!</v>
      </c>
      <c r="AV52" s="210"/>
      <c r="AW52" s="211"/>
      <c r="AX52" s="217"/>
      <c r="AY52" s="217"/>
      <c r="AZ52" s="211"/>
      <c r="BA52" s="213"/>
      <c r="BB52" s="211"/>
      <c r="BC52" s="211"/>
      <c r="BD52" s="213"/>
      <c r="BE52" s="211"/>
      <c r="BF52" s="211">
        <v>860</v>
      </c>
      <c r="BG52" s="211" t="e">
        <f t="shared" si="14"/>
        <v>#REF!</v>
      </c>
      <c r="BH52" s="211">
        <f t="shared" si="15"/>
        <v>0</v>
      </c>
      <c r="BI52" s="211"/>
      <c r="BJ52" s="211" t="e">
        <f t="shared" si="16"/>
        <v>#REF!</v>
      </c>
      <c r="BL52" s="452"/>
    </row>
    <row r="53" spans="2:71" x14ac:dyDescent="0.25">
      <c r="D53" s="8" t="s">
        <v>521</v>
      </c>
      <c r="AB53" s="96"/>
      <c r="AC53" s="154" t="s">
        <v>150</v>
      </c>
      <c r="AD53" s="136" t="e">
        <f>#REF!</f>
        <v>#REF!</v>
      </c>
      <c r="AE53" s="137" t="e">
        <f>AD53*#REF!</f>
        <v>#REF!</v>
      </c>
      <c r="AF53" s="137" t="e">
        <f>AD53*#REF!-AD53*#REF!</f>
        <v>#REF!</v>
      </c>
      <c r="AG53" s="137" t="e">
        <f>#REF!</f>
        <v>#REF!</v>
      </c>
      <c r="AH53" s="137" t="e">
        <f>AG53*#REF!-AG53*#REF!</f>
        <v>#REF!</v>
      </c>
      <c r="AI53" s="137"/>
      <c r="AJ53" s="138"/>
      <c r="AK53" s="137"/>
      <c r="AL53" s="210" t="e">
        <f t="shared" si="11"/>
        <v>#REF!</v>
      </c>
      <c r="AM53" s="211" t="e">
        <f t="shared" si="17"/>
        <v>#REF!</v>
      </c>
      <c r="AN53" s="211"/>
      <c r="AO53" s="137"/>
      <c r="AP53" s="137" t="e">
        <f>AM53*#REF!</f>
        <v>#REF!</v>
      </c>
      <c r="AQ53" s="137" t="e">
        <f>AM53*#REF!</f>
        <v>#REF!</v>
      </c>
      <c r="AR53" s="211" t="e">
        <f t="shared" si="12"/>
        <v>#REF!</v>
      </c>
      <c r="AS53" s="211"/>
      <c r="AT53" s="137" t="e">
        <f>AL53*#REF!</f>
        <v>#REF!</v>
      </c>
      <c r="AU53" s="213" t="e">
        <f t="shared" si="13"/>
        <v>#REF!</v>
      </c>
      <c r="AV53" s="210"/>
      <c r="AW53" s="211"/>
      <c r="AX53" s="211"/>
      <c r="AY53" s="211"/>
      <c r="AZ53" s="211"/>
      <c r="BA53" s="213"/>
      <c r="BB53" s="211"/>
      <c r="BC53" s="211"/>
      <c r="BD53" s="213"/>
      <c r="BE53" s="211"/>
      <c r="BF53" s="211">
        <v>467</v>
      </c>
      <c r="BG53" s="211" t="e">
        <f t="shared" si="14"/>
        <v>#REF!</v>
      </c>
      <c r="BH53" s="211">
        <f t="shared" si="15"/>
        <v>0</v>
      </c>
      <c r="BI53" s="211"/>
      <c r="BJ53" s="211" t="e">
        <f t="shared" si="16"/>
        <v>#REF!</v>
      </c>
      <c r="BL53" s="452"/>
    </row>
    <row r="54" spans="2:71" x14ac:dyDescent="0.25">
      <c r="D54" s="56"/>
      <c r="E54" s="74"/>
      <c r="F54" s="75"/>
      <c r="G54" s="75"/>
      <c r="H54" s="75"/>
      <c r="I54" s="75"/>
      <c r="J54" s="75"/>
      <c r="K54" s="75"/>
      <c r="L54" s="76"/>
      <c r="M54" s="73"/>
      <c r="N54" s="73"/>
      <c r="O54" s="73"/>
      <c r="P54" s="73"/>
      <c r="Q54" s="73"/>
      <c r="R54" s="56"/>
      <c r="S54" s="56"/>
      <c r="T54" s="56"/>
      <c r="AB54" s="100"/>
      <c r="AC54" s="159" t="s">
        <v>156</v>
      </c>
      <c r="AD54" s="149" t="e">
        <f>#REF!</f>
        <v>#REF!</v>
      </c>
      <c r="AE54" s="150" t="e">
        <f>AD54*#REF!</f>
        <v>#REF!</v>
      </c>
      <c r="AF54" s="150" t="e">
        <f>AD54*#REF!-AD54*#REF!</f>
        <v>#REF!</v>
      </c>
      <c r="AG54" s="150" t="e">
        <f>#REF!</f>
        <v>#REF!</v>
      </c>
      <c r="AH54" s="150" t="e">
        <f>AG54*#REF!-AG54*#REF!</f>
        <v>#REF!</v>
      </c>
      <c r="AI54" s="150"/>
      <c r="AJ54" s="151"/>
      <c r="AK54" s="150"/>
      <c r="AL54" s="214" t="e">
        <f t="shared" si="11"/>
        <v>#REF!</v>
      </c>
      <c r="AM54" s="215" t="e">
        <f t="shared" si="17"/>
        <v>#REF!</v>
      </c>
      <c r="AN54" s="215"/>
      <c r="AO54" s="150"/>
      <c r="AP54" s="150" t="e">
        <f>AM54*#REF!</f>
        <v>#REF!</v>
      </c>
      <c r="AQ54" s="150" t="e">
        <f>AM54*#REF!</f>
        <v>#REF!</v>
      </c>
      <c r="AR54" s="215" t="e">
        <f t="shared" si="12"/>
        <v>#REF!</v>
      </c>
      <c r="AS54" s="215"/>
      <c r="AT54" s="150" t="e">
        <f>AL54*#REF!</f>
        <v>#REF!</v>
      </c>
      <c r="AU54" s="216" t="e">
        <f t="shared" si="13"/>
        <v>#REF!</v>
      </c>
      <c r="AV54" s="214"/>
      <c r="AW54" s="215"/>
      <c r="AX54" s="215"/>
      <c r="AY54" s="215"/>
      <c r="AZ54" s="215"/>
      <c r="BA54" s="215"/>
      <c r="BB54" s="211"/>
      <c r="BC54" s="211"/>
      <c r="BD54" s="211"/>
      <c r="BE54" s="211"/>
      <c r="BF54" s="211">
        <v>200</v>
      </c>
      <c r="BG54" s="211" t="e">
        <f t="shared" si="14"/>
        <v>#REF!</v>
      </c>
      <c r="BH54" s="211">
        <f t="shared" si="15"/>
        <v>0</v>
      </c>
      <c r="BI54" s="211"/>
      <c r="BJ54" s="211" t="e">
        <f t="shared" si="16"/>
        <v>#REF!</v>
      </c>
      <c r="BL54" s="452"/>
    </row>
    <row r="55" spans="2:71" ht="19.5" customHeight="1" x14ac:dyDescent="0.25">
      <c r="D55" s="56"/>
      <c r="E55" s="74"/>
      <c r="F55" s="75"/>
      <c r="G55" s="75"/>
      <c r="H55" s="75"/>
      <c r="I55" s="1123" t="s">
        <v>485</v>
      </c>
      <c r="J55" s="1123"/>
      <c r="K55" s="1123" t="s">
        <v>196</v>
      </c>
      <c r="L55" s="1123"/>
      <c r="M55" s="1123"/>
      <c r="N55" s="73"/>
      <c r="O55" s="73"/>
      <c r="P55" s="73"/>
      <c r="Q55" s="73"/>
      <c r="R55" s="56"/>
      <c r="S55" s="56"/>
      <c r="T55" s="56"/>
      <c r="AB55" s="100"/>
      <c r="AC55" s="101"/>
      <c r="AD55" s="150"/>
      <c r="AE55" s="150"/>
      <c r="AF55" s="150"/>
      <c r="AG55" s="150"/>
      <c r="AH55" s="150"/>
      <c r="AI55" s="150"/>
      <c r="AJ55" s="150"/>
      <c r="AK55" s="150"/>
      <c r="AL55" s="215"/>
      <c r="AM55" s="215"/>
      <c r="AN55" s="215"/>
      <c r="AO55" s="150"/>
      <c r="AP55" s="150"/>
      <c r="AQ55" s="150"/>
      <c r="AR55" s="215"/>
      <c r="AS55" s="215"/>
      <c r="AT55" s="150"/>
      <c r="AU55" s="215"/>
      <c r="AV55" s="215"/>
      <c r="AW55" s="215"/>
      <c r="AX55" s="215"/>
      <c r="AY55" s="215"/>
      <c r="AZ55" s="215"/>
      <c r="BA55" s="215"/>
      <c r="BB55" s="211"/>
      <c r="BC55" s="211"/>
      <c r="BD55" s="211"/>
      <c r="BE55" s="211"/>
      <c r="BF55" s="211"/>
      <c r="BG55" s="211"/>
      <c r="BH55" s="211"/>
      <c r="BI55" s="211"/>
      <c r="BJ55" s="211"/>
      <c r="BL55" s="452"/>
    </row>
    <row r="56" spans="2:71" ht="19.5" x14ac:dyDescent="0.35">
      <c r="D56" s="56"/>
      <c r="E56" s="74"/>
      <c r="F56" s="32"/>
      <c r="G56" s="125"/>
      <c r="H56" s="522" t="s">
        <v>170</v>
      </c>
      <c r="I56" s="1124">
        <f>R24</f>
        <v>0</v>
      </c>
      <c r="J56" s="1124"/>
      <c r="K56" s="1108" t="e">
        <f>-Z30</f>
        <v>#REF!</v>
      </c>
      <c r="L56" s="1108"/>
      <c r="M56" s="1108"/>
      <c r="N56" s="523" t="s">
        <v>519</v>
      </c>
      <c r="O56" s="125"/>
      <c r="P56" s="125"/>
      <c r="Q56" s="125"/>
      <c r="R56" s="289"/>
      <c r="S56" s="56"/>
      <c r="T56" s="56"/>
      <c r="AB56" s="48" t="s">
        <v>234</v>
      </c>
      <c r="AC56" s="11"/>
      <c r="AD56" s="11"/>
      <c r="AE56" s="11"/>
      <c r="AF56" s="218" t="e">
        <f>SUM(AF15:AF54)</f>
        <v>#REF!</v>
      </c>
      <c r="AG56" s="11"/>
      <c r="AH56" s="218" t="e">
        <f>SUM(AH15:AH54)</f>
        <v>#REF!</v>
      </c>
      <c r="AI56" s="218"/>
      <c r="AJ56" s="218" t="e">
        <f>SUM(AJ14:AJ53)</f>
        <v>#REF!</v>
      </c>
      <c r="AK56" s="11"/>
      <c r="AL56" s="218" t="e">
        <f>SUM(AL43,AL41,AL37,AL35,AL31,AL25,AL23,AL16,AL14)</f>
        <v>#VALUE!</v>
      </c>
      <c r="AM56" s="218" t="e">
        <f>SUM(AM43,AM41,AM37,AM35,AM31,AM25,AM23,AM16,AM14)</f>
        <v>#VALUE!</v>
      </c>
      <c r="AN56" s="218"/>
      <c r="AO56" s="218" t="e">
        <f>SUM(AO43,AO41,AO37,AO35,AO31,AO25,AO23,AO16,AO14)</f>
        <v>#VALUE!</v>
      </c>
      <c r="AP56" s="218"/>
      <c r="AQ56" s="11"/>
      <c r="AR56" s="11"/>
      <c r="AS56" s="11"/>
      <c r="AT56" s="11"/>
      <c r="AU56" s="11"/>
      <c r="AV56" s="218">
        <f>SUM(AV43,AV41,AV37,AV35,AV31,AV25,AV23,AV16,AV14)</f>
        <v>0</v>
      </c>
      <c r="AW56" s="218" t="e">
        <f>SUM(AW43,AW41,AW37,AW35,AW31,AW25,AW23,AW16,AW14)</f>
        <v>#REF!</v>
      </c>
      <c r="AX56" s="218" t="e">
        <f>SUM(AX43,AX41,AX37,AX35,AX31,AX25,AX23,AX16,AX14)</f>
        <v>#REF!</v>
      </c>
      <c r="AY56" s="11"/>
      <c r="AZ56" s="11"/>
      <c r="BA56" s="11"/>
      <c r="BB56" s="63"/>
      <c r="BC56" s="63"/>
      <c r="BD56" s="63"/>
      <c r="BE56" s="63"/>
      <c r="BF56" s="63"/>
      <c r="BG56" s="203" t="e">
        <f t="shared" ref="BG56:BM56" si="18">SUM(BG14:BG54)</f>
        <v>#VALUE!</v>
      </c>
      <c r="BH56" s="203">
        <f t="shared" si="18"/>
        <v>0</v>
      </c>
      <c r="BI56" s="203">
        <f t="shared" si="18"/>
        <v>0</v>
      </c>
      <c r="BJ56" s="203" t="e">
        <f>SUM(BJ14:BJ54)</f>
        <v>#VALUE!</v>
      </c>
      <c r="BK56" s="203" t="e">
        <f>SUM(BK14:BK54)</f>
        <v>#VALUE!</v>
      </c>
      <c r="BL56" s="452" t="e">
        <f t="shared" si="18"/>
        <v>#VALUE!</v>
      </c>
      <c r="BM56" s="287" t="e">
        <f t="shared" si="18"/>
        <v>#VALUE!</v>
      </c>
      <c r="BN56" s="452" t="e">
        <f>SUM(BN14:BN54)</f>
        <v>#VALUE!</v>
      </c>
      <c r="BO56" s="287" t="e">
        <f>SUM(BO14:BO54)</f>
        <v>#VALUE!</v>
      </c>
      <c r="BQ56" s="287" t="e">
        <f>SUM(BQ14:BQ54)</f>
        <v>#VALUE!</v>
      </c>
      <c r="BR56" s="287" t="e">
        <f>SUM(BR14:BR54)</f>
        <v>#VALUE!</v>
      </c>
      <c r="BS56" s="287" t="e">
        <f>SUM(BS14:BS54)</f>
        <v>#VALUE!</v>
      </c>
    </row>
    <row r="57" spans="2:71" ht="18.75" x14ac:dyDescent="0.3">
      <c r="D57" s="56"/>
      <c r="E57" s="74"/>
      <c r="F57" s="75"/>
      <c r="H57" s="73"/>
      <c r="I57" s="492"/>
      <c r="J57" s="493"/>
      <c r="K57" s="488"/>
      <c r="L57" s="488"/>
      <c r="M57" s="489"/>
      <c r="N57" s="73"/>
      <c r="O57" s="73"/>
      <c r="R57" s="56"/>
      <c r="S57" s="56"/>
      <c r="T57" s="56"/>
    </row>
    <row r="58" spans="2:71" ht="18.75" x14ac:dyDescent="0.3">
      <c r="D58" s="56"/>
      <c r="E58" s="77"/>
      <c r="F58" s="57"/>
      <c r="H58" s="124" t="s">
        <v>206</v>
      </c>
      <c r="I58" s="1107" t="e">
        <f>I56/#REF!</f>
        <v>#REF!</v>
      </c>
      <c r="J58" s="1107"/>
      <c r="K58" s="1107" t="e">
        <f>K56/#REF!</f>
        <v>#REF!</v>
      </c>
      <c r="L58" s="1107"/>
      <c r="M58" s="1107"/>
      <c r="N58" s="57" t="s">
        <v>272</v>
      </c>
      <c r="R58" s="57"/>
      <c r="S58" s="57"/>
      <c r="T58" s="56"/>
    </row>
    <row r="59" spans="2:71" ht="18.75" x14ac:dyDescent="0.3">
      <c r="D59" s="56"/>
      <c r="E59" s="77"/>
      <c r="F59" s="57"/>
      <c r="H59" s="57"/>
      <c r="I59" s="493"/>
      <c r="J59" s="493"/>
      <c r="K59" s="490"/>
      <c r="L59" s="490"/>
      <c r="M59" s="489"/>
      <c r="N59" s="57"/>
      <c r="R59" s="56"/>
      <c r="S59" s="56"/>
      <c r="T59" s="56"/>
    </row>
    <row r="60" spans="2:71" ht="18.75" x14ac:dyDescent="0.3">
      <c r="D60" s="56"/>
      <c r="E60" s="77"/>
      <c r="F60" s="57"/>
      <c r="H60" s="78" t="s">
        <v>474</v>
      </c>
      <c r="I60" s="1107" t="e">
        <f>I56/#REF!</f>
        <v>#REF!</v>
      </c>
      <c r="J60" s="1107"/>
      <c r="K60" s="1109" t="e">
        <f>K56/#REF!</f>
        <v>#REF!</v>
      </c>
      <c r="L60" s="1109"/>
      <c r="M60" s="1109"/>
      <c r="N60" s="57" t="s">
        <v>273</v>
      </c>
      <c r="R60" s="56"/>
      <c r="S60" s="56"/>
      <c r="T60" s="56"/>
    </row>
    <row r="61" spans="2:71" ht="18.75" x14ac:dyDescent="0.3">
      <c r="D61" s="56"/>
      <c r="E61" s="77"/>
      <c r="F61" s="57"/>
      <c r="H61" s="57"/>
      <c r="I61" s="493"/>
      <c r="J61" s="493"/>
      <c r="K61" s="490"/>
      <c r="L61" s="490"/>
      <c r="M61" s="489"/>
      <c r="N61" s="57"/>
      <c r="R61" s="56"/>
      <c r="S61" s="56"/>
      <c r="T61" s="56"/>
    </row>
    <row r="62" spans="2:71" ht="18.75" x14ac:dyDescent="0.3">
      <c r="D62" s="56"/>
      <c r="E62" s="77"/>
      <c r="F62" s="57"/>
      <c r="H62" s="124" t="s">
        <v>483</v>
      </c>
      <c r="I62" s="1107" t="e">
        <f>I56/#REF!</f>
        <v>#REF!</v>
      </c>
      <c r="J62" s="1107"/>
      <c r="K62" s="1107" t="e">
        <f>K56/#REF!</f>
        <v>#REF!</v>
      </c>
      <c r="L62" s="1107"/>
      <c r="M62" s="1107"/>
      <c r="N62" s="57" t="s">
        <v>484</v>
      </c>
      <c r="R62" s="57"/>
      <c r="S62" s="56"/>
      <c r="T62" s="56"/>
    </row>
    <row r="63" spans="2:71" ht="18.75" x14ac:dyDescent="0.3">
      <c r="D63" s="56"/>
      <c r="E63" s="57"/>
      <c r="F63" s="57"/>
      <c r="H63" s="57"/>
      <c r="I63" s="493"/>
      <c r="J63" s="493"/>
      <c r="K63" s="490"/>
      <c r="L63" s="491"/>
      <c r="M63" s="489"/>
      <c r="N63" s="57"/>
      <c r="O63" s="57"/>
      <c r="P63" s="57"/>
      <c r="Q63" s="57"/>
      <c r="R63" s="56"/>
      <c r="S63" s="56"/>
      <c r="T63" s="56"/>
    </row>
    <row r="64" spans="2:71" ht="18.75" x14ac:dyDescent="0.3">
      <c r="D64" s="56"/>
      <c r="E64" s="77"/>
      <c r="F64" s="57"/>
      <c r="H64" s="124" t="s">
        <v>259</v>
      </c>
      <c r="I64" s="1107" t="e">
        <f>I56/#REF!</f>
        <v>#REF!</v>
      </c>
      <c r="J64" s="1107"/>
      <c r="K64" s="1107" t="e">
        <f>K56/#REF!</f>
        <v>#REF!</v>
      </c>
      <c r="L64" s="1107"/>
      <c r="M64" s="1107"/>
      <c r="N64" s="57" t="s">
        <v>207</v>
      </c>
      <c r="R64" s="57"/>
      <c r="S64" s="56"/>
      <c r="T64" s="56"/>
    </row>
    <row r="65" spans="1:20" ht="20.25" customHeight="1" x14ac:dyDescent="0.25">
      <c r="D65" s="56"/>
      <c r="E65" s="57"/>
      <c r="F65" s="57"/>
      <c r="G65" s="57"/>
      <c r="H65" s="57"/>
      <c r="I65" s="57"/>
      <c r="J65" s="57"/>
      <c r="K65" s="57"/>
      <c r="L65" s="223"/>
      <c r="M65" s="57"/>
      <c r="N65" s="57"/>
      <c r="O65" s="57"/>
      <c r="P65" s="57"/>
      <c r="Q65" s="57"/>
      <c r="R65" s="56"/>
      <c r="S65" s="56"/>
      <c r="T65" s="56"/>
    </row>
    <row r="66" spans="1:20" x14ac:dyDescent="0.25">
      <c r="D66" s="56"/>
      <c r="E66" s="57"/>
      <c r="F66" s="57"/>
      <c r="G66" s="57"/>
      <c r="H66" s="57"/>
      <c r="I66" s="57"/>
      <c r="J66" s="57"/>
      <c r="K66" s="57"/>
      <c r="L66" s="57"/>
      <c r="M66" s="57"/>
      <c r="N66" s="57"/>
      <c r="O66" s="57"/>
      <c r="P66" s="57"/>
      <c r="Q66" s="57"/>
      <c r="R66" s="56"/>
      <c r="S66" s="56"/>
      <c r="T66" s="56"/>
    </row>
    <row r="67" spans="1:20" x14ac:dyDescent="0.25">
      <c r="D67" s="517"/>
      <c r="E67" s="57"/>
      <c r="F67" s="57"/>
      <c r="G67" s="57"/>
      <c r="H67" s="57"/>
      <c r="I67" s="57"/>
      <c r="J67" s="57"/>
      <c r="K67" s="57"/>
      <c r="L67" s="57"/>
      <c r="M67" s="57"/>
      <c r="N67" s="57"/>
      <c r="O67" s="57"/>
      <c r="P67" s="57"/>
      <c r="Q67" s="57"/>
      <c r="R67" s="56"/>
      <c r="S67" s="56"/>
      <c r="T67" s="56"/>
    </row>
    <row r="68" spans="1:20" ht="4.5" customHeight="1" x14ac:dyDescent="0.25">
      <c r="D68" s="517"/>
      <c r="E68" s="57"/>
      <c r="F68" s="57"/>
      <c r="G68" s="57"/>
      <c r="H68" s="57"/>
      <c r="I68" s="57"/>
      <c r="J68" s="57"/>
      <c r="K68" s="57"/>
      <c r="L68" s="57"/>
      <c r="M68" s="57"/>
      <c r="N68" s="57"/>
      <c r="O68" s="57"/>
      <c r="P68" s="57"/>
      <c r="Q68" s="57"/>
      <c r="R68" s="56"/>
      <c r="S68" s="56"/>
      <c r="T68" s="56"/>
    </row>
    <row r="69" spans="1:20" x14ac:dyDescent="0.25">
      <c r="B69" s="193" t="s">
        <v>260</v>
      </c>
      <c r="C69" s="11"/>
      <c r="D69" s="11"/>
      <c r="E69" s="11"/>
      <c r="F69" s="11"/>
      <c r="G69" s="11"/>
      <c r="H69" s="11"/>
      <c r="I69" s="11"/>
      <c r="J69" s="11"/>
      <c r="K69" s="11"/>
      <c r="L69" s="11"/>
      <c r="M69" s="11"/>
      <c r="N69" s="11"/>
      <c r="O69" s="11"/>
      <c r="P69" s="11"/>
      <c r="Q69" s="11"/>
      <c r="R69" s="11"/>
      <c r="S69" s="11"/>
      <c r="T69" s="11"/>
    </row>
    <row r="70" spans="1:20" x14ac:dyDescent="0.25">
      <c r="C70" s="56"/>
      <c r="D70" s="56"/>
      <c r="E70" s="56"/>
      <c r="F70" s="56"/>
      <c r="G70" s="56"/>
      <c r="H70" s="56"/>
      <c r="I70" s="56"/>
      <c r="J70" s="56"/>
      <c r="K70" s="56"/>
    </row>
    <row r="71" spans="1:20" x14ac:dyDescent="0.25">
      <c r="C71" s="1029" t="s">
        <v>536</v>
      </c>
      <c r="D71" s="1029"/>
      <c r="E71" s="1029"/>
      <c r="F71" s="1029"/>
      <c r="G71" s="1029"/>
      <c r="H71" s="1029"/>
      <c r="I71" s="1029"/>
      <c r="J71" s="1029"/>
      <c r="K71" s="308"/>
    </row>
    <row r="72" spans="1:20" x14ac:dyDescent="0.25">
      <c r="C72" s="260"/>
      <c r="D72" s="260"/>
      <c r="E72" s="260"/>
      <c r="F72" s="260"/>
      <c r="G72" s="260"/>
      <c r="H72" s="260"/>
      <c r="I72" s="260"/>
      <c r="J72" s="260"/>
      <c r="K72" s="260"/>
    </row>
    <row r="73" spans="1:20" x14ac:dyDescent="0.25">
      <c r="C73" s="1029" t="s">
        <v>533</v>
      </c>
      <c r="D73" s="1029"/>
      <c r="E73" s="1029"/>
      <c r="F73" s="1029"/>
      <c r="G73" s="1029"/>
      <c r="H73" s="1029"/>
      <c r="I73" s="1029"/>
      <c r="J73" s="1029"/>
      <c r="K73" s="1029"/>
    </row>
    <row r="74" spans="1:20" x14ac:dyDescent="0.25">
      <c r="C74" s="260"/>
      <c r="D74" s="260"/>
      <c r="E74" s="260"/>
      <c r="F74" s="260"/>
      <c r="G74" s="260"/>
      <c r="H74" s="260"/>
      <c r="I74" s="260"/>
      <c r="J74" s="260"/>
      <c r="K74" s="260"/>
    </row>
    <row r="75" spans="1:20" x14ac:dyDescent="0.25">
      <c r="C75" s="1029" t="s">
        <v>537</v>
      </c>
      <c r="D75" s="1029"/>
      <c r="E75" s="1029"/>
      <c r="F75" s="1029"/>
      <c r="G75" s="1029"/>
      <c r="H75" s="1029"/>
      <c r="I75" s="1029"/>
      <c r="J75" s="308"/>
      <c r="K75" s="308"/>
    </row>
    <row r="76" spans="1:20" x14ac:dyDescent="0.25">
      <c r="C76" s="260"/>
      <c r="D76" s="260"/>
      <c r="E76" s="260"/>
      <c r="F76" s="260"/>
      <c r="G76" s="260"/>
      <c r="H76" s="260"/>
      <c r="I76" s="260"/>
      <c r="J76" s="260"/>
      <c r="K76" s="260"/>
    </row>
    <row r="77" spans="1:20" x14ac:dyDescent="0.25">
      <c r="C77" s="1029" t="s">
        <v>538</v>
      </c>
      <c r="D77" s="1029"/>
      <c r="E77" s="1029"/>
      <c r="F77" s="1029"/>
      <c r="G77" s="1029"/>
      <c r="H77" s="1029"/>
      <c r="I77" s="1101"/>
      <c r="J77" s="260"/>
      <c r="K77" s="260"/>
    </row>
    <row r="78" spans="1:20" x14ac:dyDescent="0.25">
      <c r="C78" s="56"/>
      <c r="D78" s="56"/>
      <c r="E78" s="56"/>
      <c r="F78" s="56"/>
      <c r="G78" s="56"/>
      <c r="H78" s="56"/>
      <c r="I78" s="56"/>
      <c r="J78" s="56"/>
      <c r="K78" s="56"/>
    </row>
    <row r="79" spans="1:20" x14ac:dyDescent="0.25">
      <c r="A79" s="328"/>
      <c r="B79" s="328"/>
      <c r="C79" s="328"/>
      <c r="D79" s="328"/>
      <c r="E79" s="328"/>
      <c r="F79" s="328"/>
      <c r="G79" s="328"/>
      <c r="H79" s="328"/>
      <c r="I79" s="328"/>
      <c r="J79" s="328"/>
      <c r="K79" s="328"/>
      <c r="L79" s="328"/>
      <c r="M79" s="328"/>
      <c r="N79" s="328"/>
      <c r="O79" s="328"/>
      <c r="P79" s="328"/>
      <c r="Q79" s="328"/>
      <c r="R79" s="328"/>
      <c r="S79" s="328"/>
      <c r="T79" s="328"/>
    </row>
  </sheetData>
  <sheetProtection sheet="1" objects="1" scenarios="1"/>
  <mergeCells count="24">
    <mergeCell ref="C71:J71"/>
    <mergeCell ref="C77:I77"/>
    <mergeCell ref="K11:Q11"/>
    <mergeCell ref="F10:N10"/>
    <mergeCell ref="C75:I75"/>
    <mergeCell ref="P12:R12"/>
    <mergeCell ref="M12:N12"/>
    <mergeCell ref="F12:K12"/>
    <mergeCell ref="O10:S10"/>
    <mergeCell ref="D28:P28"/>
    <mergeCell ref="C73:K73"/>
    <mergeCell ref="G26:H26"/>
    <mergeCell ref="K64:M64"/>
    <mergeCell ref="K55:M55"/>
    <mergeCell ref="I55:J55"/>
    <mergeCell ref="I56:J56"/>
    <mergeCell ref="I58:J58"/>
    <mergeCell ref="I60:J60"/>
    <mergeCell ref="I62:J62"/>
    <mergeCell ref="I64:J64"/>
    <mergeCell ref="K56:M56"/>
    <mergeCell ref="K58:M58"/>
    <mergeCell ref="K60:M60"/>
    <mergeCell ref="K62:M62"/>
  </mergeCells>
  <conditionalFormatting sqref="F15:F27 F74:F251 F29:F72">
    <cfRule type="expression" dxfId="5" priority="9">
      <formula>$F$24&lt;1</formula>
    </cfRule>
  </conditionalFormatting>
  <conditionalFormatting sqref="G15:G23">
    <cfRule type="expression" dxfId="4" priority="11">
      <formula>$G$24&lt;1</formula>
    </cfRule>
  </conditionalFormatting>
  <conditionalFormatting sqref="H15:H23">
    <cfRule type="expression" dxfId="3" priority="13">
      <formula>$H$24&lt;1</formula>
    </cfRule>
  </conditionalFormatting>
  <dataValidations count="2">
    <dataValidation type="custom" errorStyle="warning" allowBlank="1" showInputMessage="1" showErrorMessage="1" error="Please enter a value no greater than 100%" sqref="N15:N23">
      <formula1>N15&lt;100.1%</formula1>
    </dataValidation>
    <dataValidation type="custom" errorStyle="warning" allowBlank="1" showInputMessage="1" showErrorMessage="1" error="Please enter a new recycling rate that is higher than your current recycling rate and no greater than 100% for this material_x000a_" sqref="M15:M22">
      <formula1>AND(M15&gt;I15, M15&lt;100.1%)</formula1>
    </dataValidation>
  </dataValidations>
  <hyperlinks>
    <hyperlink ref="C71:I71" location="'5.Print_Report'!A1" display="Click here to view a printable report of your calculator results."/>
    <hyperlink ref="C75:I75" location="'2.Current_Trash'!A1" display="Click here to revise your trash information."/>
    <hyperlink ref="C77:H77" location="'3.Current_Recycling'!A1" display="Click here to revise your recycling information."/>
    <hyperlink ref="D13" location="'7.Glossary'!A88" display="Click here for definitions of materials"/>
    <hyperlink ref="K11:P11" location="'7.Glossary'!A1" display="Click here for definitions of actions"/>
    <hyperlink ref="O10:S10" location="'8.CaseStudies'!A1" display="Click here for guidelines about actions"/>
    <hyperlink ref="D28:N28" location="'9.CustomRates'!A1" display="If you know your local service rates and would like to enter these into the calculator for more accurate results, click here"/>
    <hyperlink ref="C73" location="'1.General_Info'!A1" display="Click here to enter current recycling information that is different than defaults"/>
  </hyperlinks>
  <pageMargins left="0.7" right="0.7" top="0.75" bottom="0.75" header="0.3" footer="0.3"/>
  <pageSetup scale="57" orientation="portrait" r:id="rId1"/>
  <ignoredErrors>
    <ignoredError sqref="Q19:R19 J19:K19 I24 Q17:Q18 Q15 Q21 Q23" 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249977111117893"/>
  </sheetPr>
  <dimension ref="A1:AA66"/>
  <sheetViews>
    <sheetView showGridLines="0" zoomScaleNormal="100" workbookViewId="0"/>
  </sheetViews>
  <sheetFormatPr defaultRowHeight="15" x14ac:dyDescent="0.25"/>
  <cols>
    <col min="1" max="1" width="1.7109375" style="8" customWidth="1"/>
    <col min="2" max="2" width="2.5703125" style="8" customWidth="1"/>
    <col min="3" max="3" width="2.7109375" style="8" customWidth="1"/>
    <col min="4" max="4" width="17" style="8" customWidth="1"/>
    <col min="5" max="5" width="5.42578125" style="8" customWidth="1"/>
    <col min="6" max="6" width="13.42578125" style="8" customWidth="1"/>
    <col min="7" max="7" width="16.140625" style="8" customWidth="1"/>
    <col min="8" max="8" width="8" style="8" customWidth="1"/>
    <col min="9" max="9" width="7.7109375" style="8" customWidth="1"/>
    <col min="10" max="10" width="6.5703125" style="8" customWidth="1"/>
    <col min="11" max="11" width="14.28515625" style="8" customWidth="1"/>
    <col min="12" max="12" width="15.28515625" style="8" customWidth="1"/>
    <col min="13" max="13" width="3.5703125" style="8" customWidth="1"/>
    <col min="14" max="14" width="12" style="8" customWidth="1"/>
    <col min="15" max="15" width="3.5703125" style="8" customWidth="1"/>
    <col min="16" max="16" width="7.28515625" style="8" customWidth="1"/>
    <col min="17" max="17" width="13.140625" style="8" customWidth="1"/>
    <col min="18" max="18" width="51.42578125" style="8" customWidth="1"/>
    <col min="19" max="16384" width="9.140625" style="8"/>
  </cols>
  <sheetData>
    <row r="1" spans="1:27" x14ac:dyDescent="0.25">
      <c r="A1" s="328"/>
      <c r="B1" s="328"/>
      <c r="C1" s="328"/>
      <c r="D1" s="328"/>
      <c r="E1" s="328"/>
      <c r="F1" s="328"/>
      <c r="G1" s="328"/>
      <c r="H1" s="328"/>
      <c r="I1" s="328"/>
      <c r="J1" s="328"/>
      <c r="K1" s="328"/>
      <c r="L1" s="328"/>
      <c r="M1" s="328"/>
      <c r="N1" s="328"/>
      <c r="O1" s="328"/>
      <c r="P1" s="328"/>
    </row>
    <row r="2" spans="1:27" ht="15.75" x14ac:dyDescent="0.25">
      <c r="B2" s="123" t="s">
        <v>366</v>
      </c>
      <c r="O2" s="9"/>
    </row>
    <row r="3" spans="1:27" ht="23.25" x14ac:dyDescent="0.35">
      <c r="B3" s="170" t="s">
        <v>339</v>
      </c>
      <c r="C3" s="10"/>
      <c r="E3" s="320"/>
      <c r="F3" s="320"/>
      <c r="G3" s="320"/>
      <c r="H3" s="320"/>
      <c r="I3" s="320"/>
      <c r="J3" s="320"/>
    </row>
    <row r="4" spans="1:27" ht="18" customHeight="1" x14ac:dyDescent="0.25"/>
    <row r="5" spans="1:27" s="245" customFormat="1" ht="18.75" customHeight="1" x14ac:dyDescent="0.25">
      <c r="B5" s="193" t="s">
        <v>340</v>
      </c>
      <c r="C5" s="246"/>
      <c r="D5" s="246"/>
      <c r="E5" s="246"/>
      <c r="F5" s="246"/>
      <c r="G5" s="246"/>
      <c r="H5" s="246"/>
      <c r="I5" s="246"/>
      <c r="J5" s="246"/>
      <c r="K5" s="246"/>
      <c r="L5" s="246"/>
      <c r="M5" s="246"/>
      <c r="N5" s="246"/>
      <c r="O5" s="246"/>
      <c r="P5" s="246"/>
    </row>
    <row r="8" spans="1:27" ht="15" customHeight="1" x14ac:dyDescent="0.25"/>
    <row r="10" spans="1:27" ht="18.75" customHeight="1" x14ac:dyDescent="0.25">
      <c r="C10" s="1126" t="s">
        <v>443</v>
      </c>
      <c r="D10" s="1126"/>
      <c r="E10" s="1126"/>
      <c r="F10" s="1126"/>
      <c r="G10" s="1126"/>
      <c r="H10" s="1126"/>
      <c r="I10" s="1126" t="s">
        <v>445</v>
      </c>
      <c r="J10" s="1127"/>
      <c r="K10" s="1127"/>
      <c r="L10" s="1127"/>
      <c r="M10" s="1127"/>
      <c r="N10" s="1127"/>
      <c r="O10" s="63"/>
      <c r="P10" s="63"/>
      <c r="AA10" s="46"/>
    </row>
    <row r="11" spans="1:27" ht="18.75" customHeight="1" x14ac:dyDescent="0.25">
      <c r="C11" s="1126" t="s">
        <v>444</v>
      </c>
      <c r="D11" s="1127"/>
      <c r="E11" s="1127"/>
      <c r="F11" s="1127"/>
      <c r="G11" s="1127"/>
      <c r="H11" s="1127"/>
      <c r="I11" s="63"/>
      <c r="J11" s="63"/>
      <c r="K11" s="63"/>
      <c r="L11" s="63"/>
      <c r="M11" s="63"/>
      <c r="N11" s="63"/>
      <c r="O11" s="63"/>
      <c r="P11" s="63"/>
      <c r="AA11" s="46"/>
    </row>
    <row r="12" spans="1:27" ht="7.5" customHeight="1" x14ac:dyDescent="0.25">
      <c r="C12" s="243"/>
      <c r="D12" s="63"/>
      <c r="E12" s="63"/>
      <c r="F12" s="63"/>
      <c r="G12" s="63"/>
      <c r="H12" s="63"/>
      <c r="I12" s="63"/>
      <c r="J12" s="63"/>
      <c r="K12" s="63"/>
      <c r="L12" s="63"/>
      <c r="M12" s="63"/>
      <c r="N12" s="63"/>
      <c r="O12" s="63"/>
      <c r="P12" s="63"/>
      <c r="AA12" s="46"/>
    </row>
    <row r="13" spans="1:27" x14ac:dyDescent="0.25">
      <c r="C13" s="12" t="s">
        <v>25</v>
      </c>
      <c r="D13" s="12"/>
      <c r="E13" s="12"/>
      <c r="F13" s="12"/>
      <c r="G13" s="12"/>
      <c r="H13" s="12"/>
      <c r="I13" s="12"/>
      <c r="J13" s="12"/>
      <c r="K13" s="12"/>
      <c r="L13" s="12"/>
      <c r="M13" s="12"/>
      <c r="N13" s="12"/>
      <c r="O13" s="12"/>
      <c r="P13" s="12"/>
    </row>
    <row r="14" spans="1:27" x14ac:dyDescent="0.25">
      <c r="A14" s="13"/>
      <c r="B14" s="13"/>
      <c r="C14" s="13"/>
      <c r="D14" s="14"/>
      <c r="E14" s="15"/>
      <c r="F14" s="15"/>
      <c r="G14" s="14"/>
      <c r="H14" s="14"/>
      <c r="I14" s="14"/>
      <c r="J14" s="14"/>
      <c r="K14" s="14"/>
      <c r="L14" s="14"/>
      <c r="M14" s="14"/>
      <c r="N14" s="14"/>
      <c r="O14" s="14"/>
      <c r="P14" s="13"/>
      <c r="Q14" s="14"/>
      <c r="R14" s="14"/>
      <c r="S14" s="14"/>
    </row>
    <row r="15" spans="1:27" ht="18.75" x14ac:dyDescent="0.3">
      <c r="A15" s="13"/>
      <c r="B15" s="13"/>
      <c r="C15" s="13"/>
      <c r="D15" s="255"/>
      <c r="E15" s="254"/>
      <c r="F15" s="15"/>
      <c r="G15" s="14"/>
      <c r="H15" s="14"/>
      <c r="I15" s="14"/>
      <c r="J15" s="14"/>
      <c r="K15" s="14"/>
      <c r="L15" s="14"/>
      <c r="M15" s="14"/>
      <c r="N15" s="14"/>
      <c r="O15" s="14"/>
      <c r="P15" s="13"/>
      <c r="Q15" s="14"/>
      <c r="R15" s="14"/>
      <c r="S15" s="14"/>
    </row>
    <row r="16" spans="1:27" x14ac:dyDescent="0.25">
      <c r="A16" s="13"/>
      <c r="B16" s="13"/>
      <c r="C16" s="13"/>
      <c r="D16" s="14"/>
      <c r="E16" s="15"/>
      <c r="F16" s="15"/>
      <c r="G16" s="14"/>
      <c r="H16" s="14"/>
      <c r="I16" s="14"/>
      <c r="J16" s="14"/>
      <c r="K16" s="14"/>
      <c r="L16" s="14"/>
      <c r="M16" s="14"/>
      <c r="N16" s="14"/>
      <c r="O16" s="14"/>
      <c r="P16" s="13"/>
      <c r="Q16" s="14"/>
      <c r="R16" s="14"/>
      <c r="S16" s="257" t="s">
        <v>242</v>
      </c>
      <c r="T16" s="13"/>
    </row>
    <row r="17" spans="1:20" ht="18.75" x14ac:dyDescent="0.3">
      <c r="A17" s="13"/>
      <c r="B17" s="13"/>
      <c r="C17" s="13"/>
      <c r="D17" s="256"/>
      <c r="E17" s="254"/>
      <c r="F17" s="15"/>
      <c r="G17" s="14"/>
      <c r="H17" s="14"/>
      <c r="I17" s="14"/>
      <c r="J17" s="14"/>
      <c r="K17" s="14"/>
      <c r="L17" s="14"/>
      <c r="M17" s="14"/>
      <c r="N17" s="14"/>
      <c r="O17" s="14"/>
      <c r="P17" s="13"/>
      <c r="Q17" s="14"/>
      <c r="R17" s="14"/>
      <c r="S17" s="14" t="s">
        <v>202</v>
      </c>
      <c r="T17" s="226">
        <f>D15</f>
        <v>0</v>
      </c>
    </row>
    <row r="18" spans="1:20" x14ac:dyDescent="0.25">
      <c r="A18" s="13"/>
      <c r="B18" s="13"/>
      <c r="C18" s="13"/>
      <c r="D18" s="14"/>
      <c r="E18" s="15"/>
      <c r="F18" s="15"/>
      <c r="G18" s="14"/>
      <c r="H18" s="14"/>
      <c r="I18" s="14"/>
      <c r="J18" s="14"/>
      <c r="K18" s="14"/>
      <c r="L18" s="14"/>
      <c r="M18" s="14"/>
      <c r="N18" s="14"/>
      <c r="O18" s="14"/>
      <c r="P18" s="13"/>
      <c r="Q18" s="14"/>
      <c r="R18" s="14"/>
      <c r="S18" s="257" t="s">
        <v>332</v>
      </c>
      <c r="T18" s="226" t="e">
        <f>#REF!</f>
        <v>#REF!</v>
      </c>
    </row>
    <row r="19" spans="1:20" ht="18.75" x14ac:dyDescent="0.3">
      <c r="A19" s="13"/>
      <c r="B19" s="13"/>
      <c r="C19" s="13"/>
      <c r="D19" s="311"/>
      <c r="E19" s="254"/>
      <c r="F19" s="15"/>
      <c r="G19" s="14"/>
      <c r="H19" s="14"/>
      <c r="I19" s="14"/>
      <c r="J19" s="14"/>
      <c r="K19" s="14"/>
      <c r="L19" s="14"/>
      <c r="M19" s="14"/>
      <c r="N19" s="14"/>
      <c r="O19" s="14"/>
      <c r="P19" s="13"/>
      <c r="Q19" s="14"/>
      <c r="R19" s="14"/>
      <c r="S19" s="14" t="s">
        <v>26</v>
      </c>
      <c r="T19" s="110" t="e">
        <f>#REF!</f>
        <v>#REF!</v>
      </c>
    </row>
    <row r="20" spans="1:20" ht="18.75" x14ac:dyDescent="0.3">
      <c r="A20" s="13"/>
      <c r="B20" s="13"/>
      <c r="C20" s="13"/>
      <c r="D20" s="323"/>
      <c r="E20" s="254"/>
      <c r="F20" s="15"/>
      <c r="G20" s="14"/>
      <c r="H20" s="14"/>
      <c r="I20" s="14"/>
      <c r="J20" s="14"/>
      <c r="K20" s="14"/>
      <c r="L20" s="14"/>
      <c r="M20" s="14"/>
      <c r="N20" s="14"/>
      <c r="O20" s="14"/>
      <c r="P20" s="13"/>
      <c r="Q20" s="14"/>
      <c r="R20" s="14"/>
      <c r="S20" s="14"/>
      <c r="T20" s="110"/>
    </row>
    <row r="21" spans="1:20" ht="18.75" x14ac:dyDescent="0.3">
      <c r="A21" s="13"/>
      <c r="B21" s="13"/>
      <c r="C21" s="13"/>
      <c r="D21" s="323"/>
      <c r="E21" s="254"/>
      <c r="F21" s="15"/>
      <c r="G21" s="14"/>
      <c r="H21" s="14"/>
      <c r="I21" s="14"/>
      <c r="J21" s="14"/>
      <c r="K21" s="14"/>
      <c r="L21" s="14"/>
      <c r="M21" s="14"/>
      <c r="N21" s="14"/>
      <c r="O21" s="14"/>
      <c r="P21" s="13"/>
      <c r="Q21" s="14"/>
      <c r="R21" s="14"/>
      <c r="S21" s="14"/>
      <c r="T21" s="110"/>
    </row>
    <row r="22" spans="1:20" ht="18.75" x14ac:dyDescent="0.3">
      <c r="A22" s="13"/>
      <c r="B22" s="13"/>
      <c r="C22" s="13"/>
      <c r="D22" s="323"/>
      <c r="E22" s="254"/>
      <c r="F22" s="15"/>
      <c r="G22" s="14"/>
      <c r="H22" s="14"/>
      <c r="I22" s="14"/>
      <c r="J22" s="14"/>
      <c r="K22" s="14"/>
      <c r="L22" s="14"/>
      <c r="M22" s="14"/>
      <c r="N22" s="14"/>
      <c r="O22" s="14"/>
      <c r="P22" s="13"/>
      <c r="Q22" s="14"/>
      <c r="R22" s="14"/>
      <c r="S22" s="14"/>
      <c r="T22" s="110"/>
    </row>
    <row r="23" spans="1:20" x14ac:dyDescent="0.25">
      <c r="A23" s="13"/>
      <c r="B23" s="13"/>
      <c r="C23" s="13"/>
      <c r="D23" s="14"/>
      <c r="E23" s="15"/>
      <c r="F23" s="15"/>
      <c r="G23" s="14"/>
      <c r="H23" s="14"/>
      <c r="I23" s="14"/>
      <c r="J23" s="14"/>
      <c r="K23" s="14"/>
      <c r="L23" s="14"/>
      <c r="M23" s="14"/>
      <c r="N23" s="14"/>
      <c r="O23" s="14"/>
      <c r="P23" s="13"/>
      <c r="Q23" s="14"/>
      <c r="R23" s="14"/>
      <c r="S23" s="14"/>
    </row>
    <row r="24" spans="1:20" ht="18.75" x14ac:dyDescent="0.3">
      <c r="A24" s="13"/>
      <c r="B24" s="13"/>
      <c r="C24" s="13"/>
      <c r="D24" s="242"/>
      <c r="E24" s="254"/>
      <c r="F24" s="15"/>
      <c r="G24" s="14"/>
      <c r="H24" s="14"/>
      <c r="I24" s="14"/>
      <c r="J24" s="14"/>
      <c r="K24" s="14"/>
      <c r="L24" s="14"/>
      <c r="M24" s="14"/>
      <c r="N24" s="14"/>
      <c r="O24" s="14"/>
      <c r="P24" s="13"/>
      <c r="Q24" s="14"/>
      <c r="R24" s="14"/>
      <c r="S24" s="14"/>
    </row>
    <row r="25" spans="1:20" x14ac:dyDescent="0.25">
      <c r="A25" s="13"/>
      <c r="B25" s="13"/>
      <c r="C25" s="13"/>
      <c r="D25" s="14"/>
      <c r="E25" s="254"/>
      <c r="F25" s="15"/>
      <c r="G25" s="14"/>
      <c r="H25" s="14"/>
      <c r="I25" s="14"/>
      <c r="J25" s="14"/>
      <c r="K25" s="14"/>
      <c r="L25" s="14"/>
      <c r="M25" s="14"/>
      <c r="N25" s="14"/>
      <c r="O25" s="14"/>
      <c r="P25" s="13"/>
      <c r="Q25" s="14"/>
      <c r="R25" s="14"/>
      <c r="S25" s="14"/>
    </row>
    <row r="26" spans="1:20" x14ac:dyDescent="0.25">
      <c r="A26" s="13"/>
      <c r="B26" s="13"/>
      <c r="C26" s="13"/>
      <c r="D26" s="14"/>
      <c r="E26" s="15"/>
      <c r="F26" s="15"/>
      <c r="G26" s="14"/>
      <c r="H26" s="14"/>
      <c r="I26" s="14"/>
      <c r="J26" s="14"/>
      <c r="K26" s="14"/>
      <c r="L26" s="14"/>
      <c r="M26" s="14"/>
      <c r="N26" s="14"/>
      <c r="O26" s="14"/>
      <c r="P26" s="13"/>
      <c r="Q26" s="14"/>
      <c r="R26" s="14"/>
      <c r="S26" s="14"/>
    </row>
    <row r="27" spans="1:20" ht="18.75" x14ac:dyDescent="0.3">
      <c r="A27" s="13"/>
      <c r="B27" s="13"/>
      <c r="C27" s="13"/>
      <c r="D27" s="242"/>
      <c r="E27" s="254"/>
      <c r="F27" s="15"/>
      <c r="G27" s="14"/>
      <c r="H27" s="14"/>
      <c r="I27" s="14"/>
      <c r="K27" s="254"/>
      <c r="L27" s="14"/>
      <c r="M27" s="14"/>
      <c r="N27" s="14"/>
      <c r="O27" s="14"/>
      <c r="P27" s="13"/>
      <c r="Q27" s="14"/>
      <c r="R27" s="14"/>
      <c r="S27" s="14"/>
    </row>
    <row r="28" spans="1:20" x14ac:dyDescent="0.25">
      <c r="A28" s="13"/>
      <c r="B28" s="13"/>
      <c r="C28" s="13"/>
      <c r="D28" s="14"/>
      <c r="E28" s="15"/>
      <c r="F28" s="15"/>
      <c r="G28" s="14"/>
      <c r="H28" s="14"/>
      <c r="I28" s="14"/>
      <c r="J28" s="14"/>
      <c r="K28" s="14"/>
      <c r="L28" s="14"/>
      <c r="M28" s="14"/>
      <c r="N28" s="14"/>
      <c r="O28" s="14"/>
      <c r="P28" s="13"/>
      <c r="Q28" s="14"/>
      <c r="R28" s="14"/>
      <c r="S28" s="14"/>
    </row>
    <row r="29" spans="1:20" ht="18.75" x14ac:dyDescent="0.3">
      <c r="A29" s="13"/>
      <c r="B29" s="13"/>
      <c r="C29" s="13"/>
      <c r="D29" s="323"/>
      <c r="E29" s="254"/>
      <c r="F29" s="15"/>
      <c r="G29" s="14"/>
      <c r="H29" s="14"/>
      <c r="I29" s="14"/>
      <c r="J29" s="14"/>
      <c r="K29" s="14"/>
      <c r="L29" s="14"/>
      <c r="M29" s="14"/>
      <c r="N29" s="14"/>
      <c r="O29" s="14"/>
      <c r="P29" s="13"/>
      <c r="Q29" s="14"/>
      <c r="R29" s="14"/>
      <c r="S29" s="14"/>
    </row>
    <row r="30" spans="1:20" x14ac:dyDescent="0.25">
      <c r="A30" s="13"/>
      <c r="B30" s="13"/>
      <c r="C30" s="13"/>
      <c r="D30" s="14"/>
      <c r="E30" s="15"/>
      <c r="F30" s="15"/>
      <c r="G30" s="14"/>
      <c r="H30" s="14"/>
      <c r="I30" s="14"/>
      <c r="J30" s="14"/>
      <c r="K30" s="14"/>
      <c r="L30" s="14"/>
      <c r="M30" s="14"/>
      <c r="N30" s="14"/>
      <c r="O30" s="14"/>
      <c r="P30" s="13"/>
      <c r="Q30" s="14"/>
      <c r="R30" s="14"/>
      <c r="S30" s="14"/>
    </row>
    <row r="31" spans="1:20" x14ac:dyDescent="0.25">
      <c r="A31" s="13"/>
      <c r="B31" s="13"/>
      <c r="C31" s="13"/>
      <c r="D31" s="14"/>
      <c r="E31" s="15"/>
      <c r="F31" s="15"/>
      <c r="G31" s="14"/>
      <c r="H31" s="14"/>
      <c r="I31" s="14"/>
      <c r="J31" s="14"/>
      <c r="K31" s="14"/>
      <c r="L31" s="14"/>
      <c r="M31" s="14"/>
      <c r="N31" s="14"/>
      <c r="O31" s="14"/>
      <c r="P31" s="13"/>
      <c r="Q31" s="14"/>
      <c r="R31" s="14"/>
      <c r="S31" s="14"/>
    </row>
    <row r="32" spans="1:20" x14ac:dyDescent="0.25">
      <c r="A32" s="13"/>
      <c r="B32" s="13"/>
      <c r="C32" s="13"/>
      <c r="D32" s="14"/>
      <c r="E32" s="15"/>
      <c r="F32" s="15"/>
      <c r="G32" s="14"/>
      <c r="H32" s="14"/>
      <c r="I32" s="14"/>
      <c r="J32" s="14"/>
      <c r="K32" s="14"/>
      <c r="L32" s="14"/>
      <c r="M32" s="14"/>
      <c r="N32" s="14"/>
      <c r="O32" s="14"/>
      <c r="P32" s="13"/>
      <c r="Q32" s="14"/>
      <c r="R32" s="14"/>
      <c r="S32" s="14"/>
    </row>
    <row r="33" spans="1:19" x14ac:dyDescent="0.25">
      <c r="A33" s="13"/>
      <c r="B33" s="13"/>
      <c r="C33" s="13"/>
      <c r="D33" s="14"/>
      <c r="E33" s="15"/>
      <c r="F33" s="15"/>
      <c r="G33" s="14"/>
      <c r="H33" s="14"/>
      <c r="I33" s="14"/>
      <c r="J33" s="14"/>
      <c r="K33" s="14"/>
      <c r="L33" s="14"/>
      <c r="M33" s="14"/>
      <c r="N33" s="14"/>
      <c r="O33" s="14"/>
      <c r="P33" s="13"/>
      <c r="Q33" s="14"/>
      <c r="R33" s="14"/>
      <c r="S33" s="14"/>
    </row>
    <row r="34" spans="1:19" x14ac:dyDescent="0.25">
      <c r="C34" s="12" t="s">
        <v>341</v>
      </c>
      <c r="D34" s="12"/>
      <c r="E34" s="12"/>
      <c r="F34" s="12"/>
      <c r="G34" s="12"/>
      <c r="H34" s="12"/>
      <c r="I34" s="12"/>
      <c r="J34" s="12"/>
      <c r="K34" s="12"/>
      <c r="L34" s="12"/>
      <c r="M34" s="12"/>
      <c r="N34" s="12"/>
      <c r="O34" s="12"/>
      <c r="P34" s="12"/>
    </row>
    <row r="37" spans="1:19" ht="18.75" x14ac:dyDescent="0.3">
      <c r="E37" s="244"/>
      <c r="H37" s="124"/>
      <c r="I37" s="227"/>
    </row>
    <row r="38" spans="1:19" ht="18.75" x14ac:dyDescent="0.3">
      <c r="E38" s="244"/>
      <c r="H38" s="124"/>
      <c r="I38" s="227"/>
      <c r="Q38" s="287"/>
    </row>
    <row r="54" spans="1:16" ht="21.75" customHeight="1" x14ac:dyDescent="0.25"/>
    <row r="57" spans="1:16" x14ac:dyDescent="0.25">
      <c r="B57" s="193" t="s">
        <v>477</v>
      </c>
      <c r="C57" s="246"/>
      <c r="D57" s="246"/>
      <c r="E57" s="246"/>
      <c r="F57" s="246"/>
      <c r="G57" s="246"/>
      <c r="H57" s="246"/>
      <c r="I57" s="246"/>
      <c r="J57" s="246"/>
      <c r="K57" s="246"/>
      <c r="L57" s="246"/>
      <c r="M57" s="246"/>
      <c r="N57" s="246"/>
      <c r="O57" s="246"/>
      <c r="P57" s="246"/>
    </row>
    <row r="59" spans="1:16" x14ac:dyDescent="0.25">
      <c r="C59" s="1029" t="s">
        <v>476</v>
      </c>
      <c r="D59" s="1029"/>
      <c r="E59" s="1029"/>
      <c r="F59" s="1029"/>
      <c r="G59" s="176"/>
      <c r="H59" s="176"/>
      <c r="I59" s="260"/>
      <c r="J59" s="260"/>
    </row>
    <row r="60" spans="1:16" x14ac:dyDescent="0.25">
      <c r="C60" s="260"/>
      <c r="D60" s="260"/>
      <c r="E60" s="260"/>
      <c r="F60" s="260"/>
      <c r="G60" s="260"/>
      <c r="H60" s="260"/>
      <c r="I60" s="260"/>
      <c r="J60" s="260"/>
    </row>
    <row r="61" spans="1:16" x14ac:dyDescent="0.25">
      <c r="A61" s="328"/>
      <c r="B61" s="328"/>
      <c r="C61" s="328"/>
      <c r="D61" s="328"/>
      <c r="E61" s="328"/>
      <c r="F61" s="328"/>
      <c r="G61" s="328"/>
      <c r="H61" s="328"/>
      <c r="I61" s="328"/>
      <c r="J61" s="328"/>
      <c r="K61" s="328"/>
      <c r="L61" s="328"/>
      <c r="M61" s="328"/>
      <c r="N61" s="328"/>
      <c r="O61" s="328"/>
      <c r="P61" s="328"/>
    </row>
    <row r="63" spans="1:16" x14ac:dyDescent="0.25">
      <c r="C63" s="1125" t="s">
        <v>302</v>
      </c>
      <c r="D63" s="1125"/>
      <c r="E63" s="1125"/>
      <c r="F63" s="1125"/>
      <c r="G63" s="1125"/>
      <c r="H63" s="1125"/>
    </row>
    <row r="64" spans="1:16" x14ac:dyDescent="0.25">
      <c r="C64" s="1125" t="s">
        <v>303</v>
      </c>
      <c r="D64" s="1125"/>
      <c r="E64" s="1125"/>
      <c r="F64" s="1125"/>
      <c r="G64" s="1125"/>
      <c r="H64" s="1125"/>
    </row>
    <row r="65" spans="3:8" x14ac:dyDescent="0.25">
      <c r="C65" s="1125" t="s">
        <v>304</v>
      </c>
      <c r="D65" s="1125"/>
      <c r="E65" s="1125"/>
      <c r="F65" s="1125"/>
      <c r="G65" s="1125"/>
      <c r="H65" s="1125"/>
    </row>
    <row r="66" spans="3:8" x14ac:dyDescent="0.25">
      <c r="C66" s="1125" t="s">
        <v>305</v>
      </c>
      <c r="D66" s="1125"/>
      <c r="E66" s="1125"/>
      <c r="F66" s="1125"/>
      <c r="G66" s="1125"/>
      <c r="H66" s="1125"/>
    </row>
  </sheetData>
  <sheetProtection sheet="1" objects="1" scenarios="1"/>
  <mergeCells count="8">
    <mergeCell ref="C65:H65"/>
    <mergeCell ref="C66:H66"/>
    <mergeCell ref="C59:F59"/>
    <mergeCell ref="C10:H10"/>
    <mergeCell ref="I10:N10"/>
    <mergeCell ref="C11:H11"/>
    <mergeCell ref="C63:H63"/>
    <mergeCell ref="C64:H64"/>
  </mergeCells>
  <hyperlinks>
    <hyperlink ref="C59" location="Resources!A1" display="Click here for resources that can help you reduce your trash"/>
    <hyperlink ref="C59:H59" location="'6.Resources'!A1" display="Click here for resources that can help you reduce your trash"/>
    <hyperlink ref="C63" location="General_Info!D8" display="Click here to return to General_Info page and select your sector"/>
    <hyperlink ref="C63:H63" location="'1.General_Info'!A1" display="Click here to return to General_Info page and select your sector"/>
    <hyperlink ref="C64" location="General_Info!D8" display="Click here to return to General_Info page and select your sector"/>
    <hyperlink ref="C64:H64" location="'2.Current_Trash'!A1" display="Click here to return to Current_Trash page and revise your material composition"/>
    <hyperlink ref="C65" location="General_Info!D8" display="Click here to return to General_Info page and select your sector"/>
    <hyperlink ref="C65:H65" location="'3.Current_Recycling'!A1" display="Click here to return to Current_Recycling page and revise your material composition"/>
    <hyperlink ref="C66" location="General_Info!D8" display="Click here to return to General_Info page and select your sector"/>
    <hyperlink ref="C66:H66" location="'4.Future_Benefits '!A1" display="Click here to return to Future_Benefits page and revise your material composition"/>
    <hyperlink ref="C59:F59" location="'4.Future_Benefits '!A1" display="Click here to return to Future Benefits"/>
    <hyperlink ref="C10:H10" location="'2.Current_Trash'!A1" display="To return to the Current_Trash tab, click here"/>
    <hyperlink ref="C11:H11" location="'3.Current_Recycling'!A1" display="To return to the Current_Recycling tab, click here"/>
    <hyperlink ref="I10:N10" location="'4.Future_Benefits '!A1" display="To return to the Future_Benefits tab, click here"/>
  </hyperlinks>
  <pageMargins left="0.7" right="0.7" top="0.75" bottom="0.75" header="0.3" footer="0.3"/>
  <pageSetup scale="6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24</vt:i4>
      </vt:variant>
    </vt:vector>
  </HeadingPairs>
  <TitlesOfParts>
    <vt:vector size="39" baseType="lpstr">
      <vt:lpstr>Intro</vt:lpstr>
      <vt:lpstr>1.PlanAhead</vt:lpstr>
      <vt:lpstr>2.GatherData</vt:lpstr>
      <vt:lpstr>3.AnalyzeResults</vt:lpstr>
      <vt:lpstr>1.General_Info</vt:lpstr>
      <vt:lpstr>2.Current_Trash</vt:lpstr>
      <vt:lpstr>3.Current_Recycling</vt:lpstr>
      <vt:lpstr>4.Future_Benefits </vt:lpstr>
      <vt:lpstr>8.CaseStudies</vt:lpstr>
      <vt:lpstr>9.CustomRates</vt:lpstr>
      <vt:lpstr>4.TakeAction</vt:lpstr>
      <vt:lpstr>Background_Data</vt:lpstr>
      <vt:lpstr>dropdowns</vt:lpstr>
      <vt:lpstr>GHGs</vt:lpstr>
      <vt:lpstr>calcs</vt:lpstr>
      <vt:lpstr>cactualv</vt:lpstr>
      <vt:lpstr>cratio</vt:lpstr>
      <vt:lpstr>ctypes</vt:lpstr>
      <vt:lpstr>fullness</vt:lpstr>
      <vt:lpstr>galpercy</vt:lpstr>
      <vt:lpstr>lbsperton</vt:lpstr>
      <vt:lpstr>materialcat</vt:lpstr>
      <vt:lpstr>'1.General_Info'!Print_Area</vt:lpstr>
      <vt:lpstr>'1.PlanAhead'!Print_Area</vt:lpstr>
      <vt:lpstr>'2.Current_Trash'!Print_Area</vt:lpstr>
      <vt:lpstr>'2.GatherData'!Print_Area</vt:lpstr>
      <vt:lpstr>'3.AnalyzeResults'!Print_Area</vt:lpstr>
      <vt:lpstr>'3.Current_Recycling'!Print_Area</vt:lpstr>
      <vt:lpstr>'4.Future_Benefits '!Print_Area</vt:lpstr>
      <vt:lpstr>'4.TakeAction'!Print_Area</vt:lpstr>
      <vt:lpstr>'8.CaseStudies'!Print_Area</vt:lpstr>
      <vt:lpstr>Background_Data!Print_Area</vt:lpstr>
      <vt:lpstr>PUweeks</vt:lpstr>
      <vt:lpstr>Ractualv1</vt:lpstr>
      <vt:lpstr>ractualv2</vt:lpstr>
      <vt:lpstr>rtypes1</vt:lpstr>
      <vt:lpstr>rtypes2</vt:lpstr>
      <vt:lpstr>TActualv</vt:lpstr>
      <vt:lpstr>units</vt:lpstr>
    </vt:vector>
  </TitlesOfParts>
  <Company>Cascadia Consulting Group,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Commercial Climate Calculator</dc:title>
  <dc:subject>climate change, commercial recycling</dc:subject>
  <dc:creator>CalRecycle</dc:creator>
  <dc:description>CalRecycle's commercial climate calculator helps calculate climate change reductions, financial savings, and landfill reductions.</dc:description>
  <cp:lastModifiedBy>Keegan Johnson</cp:lastModifiedBy>
  <cp:lastPrinted>2012-04-12T02:22:39Z</cp:lastPrinted>
  <dcterms:created xsi:type="dcterms:W3CDTF">2009-09-08T20:16:32Z</dcterms:created>
  <dcterms:modified xsi:type="dcterms:W3CDTF">2016-01-27T19:41:13Z</dcterms:modified>
</cp:coreProperties>
</file>