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P:\1156 SPU GSI Programmatic As-Needed\400 Technical\421 Flow Control Calculator\02 Sept 2021 Update\"/>
    </mc:Choice>
  </mc:AlternateContent>
  <xr:revisionPtr revIDLastSave="0" documentId="13_ncr:1_{53F9B314-D64A-4A63-A70F-AA91BC2B85B5}" xr6:coauthVersionLast="47" xr6:coauthVersionMax="47" xr10:uidLastSave="{00000000-0000-0000-0000-000000000000}"/>
  <workbookProtection workbookAlgorithmName="SHA-512" workbookHashValue="KNYN25vwxnUYLGL1TKfbmlkKuKpjQcjbh6jAmyOkO3wAOcp6HOshEdFgmHjhOvrTL3DOIW0JM5ep19q26+P9Iw==" workbookSaltValue="kCkIBtePG6l9e0K8fVviFQ==" workbookSpinCount="100000" lockStructure="1"/>
  <bookViews>
    <workbookView xWindow="-120" yWindow="-120" windowWidth="38640" windowHeight="21240" xr2:uid="{00000000-000D-0000-FFFF-FFFF00000000}"/>
  </bookViews>
  <sheets>
    <sheet name="Calculator" sheetId="1" r:id="rId1"/>
    <sheet name="Lists" sheetId="2" state="hidden" r:id="rId2"/>
    <sheet name="Sizing Factors" sheetId="4" state="hidden" r:id="rId3"/>
  </sheets>
  <definedNames>
    <definedName name="DrywellDepth">Lists!$H$2:$H$3</definedName>
    <definedName name="FCStandard">Lists!$C$2:$C$4</definedName>
    <definedName name="InfRate">Lists!$F$2:$F$6</definedName>
    <definedName name="InfRateLarge">Lists!$F$5:$F$6</definedName>
    <definedName name="InfTrenchDepth">Lists!$G$2:$G$3</definedName>
    <definedName name="PipeDiameter">Lists!$I$2:$I$3</definedName>
    <definedName name="Ponding">Lists!$E$2:$E$4</definedName>
    <definedName name="PondingVert">Lists!$E$3:$E$4</definedName>
    <definedName name="Project">Lists!$B$2:$B$2</definedName>
    <definedName name="Sideslopes">Lists!$D$2:$D$3</definedName>
    <definedName name="Standard">Calculator!$AE$6</definedName>
    <definedName name="VaultDepth">Lists!$J$2:$J$3</definedName>
    <definedName name="YesNo">Lists!$A$2:$A$3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106" i="1" l="1"/>
  <c r="AH36" i="1" l="1"/>
  <c r="BK128" i="1"/>
  <c r="BI128" i="1"/>
  <c r="BK120" i="1"/>
  <c r="BI120" i="1"/>
  <c r="AV36" i="1"/>
  <c r="BF46" i="1"/>
  <c r="BE46" i="1"/>
  <c r="BH46" i="1"/>
  <c r="BF48" i="1"/>
  <c r="BE48" i="1"/>
  <c r="BH48" i="1"/>
  <c r="AV44" i="1"/>
  <c r="AV54" i="1"/>
  <c r="AV62" i="1"/>
  <c r="AV70" i="1"/>
  <c r="AV89" i="1"/>
  <c r="AV91" i="1"/>
  <c r="AV95" i="1"/>
  <c r="AV28" i="1"/>
  <c r="AU144" i="1"/>
  <c r="AV114" i="1"/>
  <c r="BF120" i="1"/>
  <c r="BE120" i="1"/>
  <c r="BH120" i="1"/>
  <c r="BK122" i="1"/>
  <c r="BF122" i="1"/>
  <c r="BE122" i="1"/>
  <c r="BH122" i="1"/>
  <c r="AV122" i="1"/>
  <c r="BF128" i="1"/>
  <c r="BE128" i="1"/>
  <c r="BH128" i="1"/>
  <c r="AV128" i="1"/>
  <c r="BE136" i="1"/>
  <c r="BH136" i="1"/>
  <c r="AV134" i="1"/>
  <c r="AU139" i="1"/>
  <c r="AV32" i="1"/>
  <c r="AV74" i="1"/>
  <c r="BD84" i="1"/>
  <c r="BF89" i="1"/>
  <c r="BE89" i="1"/>
  <c r="AH89" i="1"/>
  <c r="AT89" i="1"/>
  <c r="AH132" i="1"/>
  <c r="BK139" i="1"/>
  <c r="BI139" i="1"/>
  <c r="BG139" i="1"/>
  <c r="AF134" i="1"/>
  <c r="Y134" i="1"/>
  <c r="C28" i="1"/>
  <c r="BK136" i="1"/>
  <c r="BI136" i="1"/>
  <c r="BK130" i="1"/>
  <c r="BE130" i="1"/>
  <c r="I308" i="4"/>
  <c r="H308" i="4"/>
  <c r="I307" i="4"/>
  <c r="H307" i="4"/>
  <c r="BJ128" i="1"/>
  <c r="BF130" i="1"/>
  <c r="BH130" i="1"/>
  <c r="BI130" i="1"/>
  <c r="BJ130" i="1"/>
  <c r="BF136" i="1"/>
  <c r="BJ136" i="1"/>
  <c r="BE139" i="1"/>
  <c r="BF139" i="1"/>
  <c r="BJ139" i="1"/>
  <c r="Q136" i="1"/>
  <c r="Q130" i="1"/>
  <c r="BG130" i="1"/>
  <c r="BH139" i="1"/>
  <c r="BJ120" i="1"/>
  <c r="BI122" i="1"/>
  <c r="BJ122" i="1"/>
  <c r="BG122" i="1"/>
  <c r="Q124" i="1"/>
  <c r="L326" i="4"/>
  <c r="L325" i="4"/>
  <c r="L324" i="4"/>
  <c r="L323" i="4"/>
  <c r="L322" i="4"/>
  <c r="L321" i="4"/>
  <c r="L320" i="4"/>
  <c r="L319" i="4"/>
  <c r="L318" i="4"/>
  <c r="L317" i="4"/>
  <c r="L316" i="4"/>
  <c r="L310" i="4"/>
  <c r="L305" i="4"/>
  <c r="L308" i="4"/>
  <c r="L294" i="4"/>
  <c r="L295" i="4"/>
  <c r="L296" i="4"/>
  <c r="L297" i="4"/>
  <c r="L288" i="4"/>
  <c r="L289" i="4"/>
  <c r="L290" i="4"/>
  <c r="L291" i="4"/>
  <c r="L292" i="4"/>
  <c r="L293" i="4"/>
  <c r="L298" i="4"/>
  <c r="L241" i="4"/>
  <c r="L258" i="4"/>
  <c r="L259" i="4"/>
  <c r="L240" i="4"/>
  <c r="L242" i="4"/>
  <c r="L243" i="4"/>
  <c r="L244" i="4"/>
  <c r="L245" i="4"/>
  <c r="L309" i="4"/>
  <c r="L311" i="4"/>
  <c r="L328" i="4"/>
  <c r="L329" i="4"/>
  <c r="L330" i="4"/>
  <c r="L303" i="4"/>
  <c r="L304" i="4"/>
  <c r="L306" i="4"/>
  <c r="L327" i="4"/>
  <c r="L214" i="4"/>
  <c r="L215" i="4"/>
  <c r="L216" i="4"/>
  <c r="L217" i="4"/>
  <c r="L218" i="4"/>
  <c r="L219" i="4"/>
  <c r="AN7" i="1"/>
  <c r="AU142" i="1"/>
  <c r="L39" i="4"/>
  <c r="L40" i="4"/>
  <c r="L41" i="4"/>
  <c r="L42" i="4"/>
  <c r="L43" i="4"/>
  <c r="L44" i="4"/>
  <c r="L45" i="4"/>
  <c r="L46" i="4"/>
  <c r="L47" i="4"/>
  <c r="L38" i="4"/>
  <c r="C27" i="1"/>
  <c r="AT28" i="1"/>
  <c r="AH26" i="1"/>
  <c r="AH24" i="1"/>
  <c r="AH20" i="1"/>
  <c r="AH18" i="1"/>
  <c r="C33" i="1"/>
  <c r="AT32" i="1"/>
  <c r="BI114" i="1"/>
  <c r="BI112" i="1"/>
  <c r="BI74" i="1"/>
  <c r="BI72" i="1"/>
  <c r="BI66" i="1"/>
  <c r="BI64" i="1"/>
  <c r="BI58" i="1"/>
  <c r="BI56" i="1"/>
  <c r="L315" i="4"/>
  <c r="L307" i="4"/>
  <c r="L302" i="4"/>
  <c r="L287" i="4"/>
  <c r="L283" i="4"/>
  <c r="L282" i="4"/>
  <c r="L281" i="4"/>
  <c r="L280" i="4"/>
  <c r="L279" i="4"/>
  <c r="L278" i="4"/>
  <c r="L277" i="4"/>
  <c r="L276" i="4"/>
  <c r="L275" i="4"/>
  <c r="L274" i="4"/>
  <c r="L273" i="4"/>
  <c r="L272" i="4"/>
  <c r="L271" i="4"/>
  <c r="L270" i="4"/>
  <c r="L269" i="4"/>
  <c r="L268" i="4"/>
  <c r="L267" i="4"/>
  <c r="L266" i="4"/>
  <c r="L265" i="4"/>
  <c r="L264" i="4"/>
  <c r="L257" i="4"/>
  <c r="L256" i="4"/>
  <c r="L255" i="4"/>
  <c r="L254" i="4"/>
  <c r="L253" i="4"/>
  <c r="L252" i="4"/>
  <c r="L251" i="4"/>
  <c r="L250" i="4"/>
  <c r="L249" i="4"/>
  <c r="L248" i="4"/>
  <c r="L247" i="4"/>
  <c r="L246" i="4"/>
  <c r="L239" i="4"/>
  <c r="L238" i="4"/>
  <c r="L237" i="4"/>
  <c r="L236" i="4"/>
  <c r="L235" i="4"/>
  <c r="L234" i="4"/>
  <c r="L233" i="4"/>
  <c r="L232" i="4"/>
  <c r="L231" i="4"/>
  <c r="L230" i="4"/>
  <c r="L229" i="4"/>
  <c r="L228" i="4"/>
  <c r="L224" i="4"/>
  <c r="L223" i="4"/>
  <c r="L213" i="4"/>
  <c r="L212" i="4"/>
  <c r="L211" i="4"/>
  <c r="L210" i="4"/>
  <c r="L209" i="4"/>
  <c r="L208" i="4"/>
  <c r="L204" i="4"/>
  <c r="L203" i="4"/>
  <c r="L202" i="4"/>
  <c r="L201" i="4"/>
  <c r="L200" i="4"/>
  <c r="L199" i="4"/>
  <c r="L198" i="4"/>
  <c r="L197" i="4"/>
  <c r="L196" i="4"/>
  <c r="L195" i="4"/>
  <c r="L194" i="4"/>
  <c r="L193" i="4"/>
  <c r="L192" i="4"/>
  <c r="L191" i="4"/>
  <c r="L190" i="4"/>
  <c r="L189" i="4"/>
  <c r="L188" i="4"/>
  <c r="L187" i="4"/>
  <c r="L186" i="4"/>
  <c r="L185" i="4"/>
  <c r="L184" i="4"/>
  <c r="L183" i="4"/>
  <c r="L182" i="4"/>
  <c r="L181" i="4"/>
  <c r="L180" i="4"/>
  <c r="L179" i="4"/>
  <c r="L178" i="4"/>
  <c r="L177" i="4"/>
  <c r="L176" i="4"/>
  <c r="L175" i="4"/>
  <c r="L174" i="4"/>
  <c r="L173" i="4"/>
  <c r="L172" i="4"/>
  <c r="L171" i="4"/>
  <c r="L170" i="4"/>
  <c r="L169" i="4"/>
  <c r="L168" i="4"/>
  <c r="L167" i="4"/>
  <c r="L166" i="4"/>
  <c r="L165" i="4"/>
  <c r="L161" i="4"/>
  <c r="L160" i="4"/>
  <c r="L159" i="4"/>
  <c r="L158" i="4"/>
  <c r="L157" i="4"/>
  <c r="L156" i="4"/>
  <c r="L155" i="4"/>
  <c r="L154" i="4"/>
  <c r="L153" i="4"/>
  <c r="L152" i="4"/>
  <c r="L151" i="4"/>
  <c r="L150" i="4"/>
  <c r="L146" i="4"/>
  <c r="L145" i="4"/>
  <c r="L144" i="4"/>
  <c r="L143" i="4"/>
  <c r="L142" i="4"/>
  <c r="L141" i="4"/>
  <c r="L140" i="4"/>
  <c r="L139" i="4"/>
  <c r="L138" i="4"/>
  <c r="L137" i="4"/>
  <c r="L136" i="4"/>
  <c r="L135" i="4"/>
  <c r="L134" i="4"/>
  <c r="L133" i="4"/>
  <c r="L132" i="4"/>
  <c r="L131" i="4"/>
  <c r="L127" i="4"/>
  <c r="L126" i="4"/>
  <c r="L125" i="4"/>
  <c r="L124" i="4"/>
  <c r="L123" i="4"/>
  <c r="L122" i="4"/>
  <c r="L121" i="4"/>
  <c r="L120" i="4"/>
  <c r="L119" i="4"/>
  <c r="L118" i="4"/>
  <c r="L117" i="4"/>
  <c r="L116" i="4"/>
  <c r="L115" i="4"/>
  <c r="L114" i="4"/>
  <c r="L113" i="4"/>
  <c r="L112" i="4"/>
  <c r="L111" i="4"/>
  <c r="L110" i="4"/>
  <c r="L109" i="4"/>
  <c r="L108" i="4"/>
  <c r="L107" i="4"/>
  <c r="L106" i="4"/>
  <c r="L105" i="4"/>
  <c r="L104" i="4"/>
  <c r="L103" i="4"/>
  <c r="L102" i="4"/>
  <c r="L101" i="4"/>
  <c r="L100" i="4"/>
  <c r="L99" i="4"/>
  <c r="L98" i="4"/>
  <c r="L97" i="4"/>
  <c r="L96" i="4"/>
  <c r="L95" i="4"/>
  <c r="L94" i="4"/>
  <c r="L93" i="4"/>
  <c r="L92" i="4"/>
  <c r="L91" i="4"/>
  <c r="L90" i="4"/>
  <c r="L89" i="4"/>
  <c r="L88" i="4"/>
  <c r="L87" i="4"/>
  <c r="L86" i="4"/>
  <c r="L85" i="4"/>
  <c r="L84" i="4"/>
  <c r="L83" i="4"/>
  <c r="L82" i="4"/>
  <c r="L81" i="4"/>
  <c r="L80" i="4"/>
  <c r="L79" i="4"/>
  <c r="L78" i="4"/>
  <c r="L77" i="4"/>
  <c r="L76" i="4"/>
  <c r="L75" i="4"/>
  <c r="L74" i="4"/>
  <c r="L73" i="4"/>
  <c r="L72" i="4"/>
  <c r="L71" i="4"/>
  <c r="L70" i="4"/>
  <c r="L69" i="4"/>
  <c r="L68" i="4"/>
  <c r="L67" i="4"/>
  <c r="L66" i="4"/>
  <c r="L65" i="4"/>
  <c r="L64" i="4"/>
  <c r="L63" i="4"/>
  <c r="L62" i="4"/>
  <c r="L61" i="4"/>
  <c r="L60" i="4"/>
  <c r="L59" i="4"/>
  <c r="L58" i="4"/>
  <c r="L57" i="4"/>
  <c r="L56" i="4"/>
  <c r="L55" i="4"/>
  <c r="L54" i="4"/>
  <c r="L53" i="4"/>
  <c r="L52" i="4"/>
  <c r="L51" i="4"/>
  <c r="L50" i="4"/>
  <c r="L49" i="4"/>
  <c r="L48" i="4"/>
  <c r="L37" i="4"/>
  <c r="L36" i="4"/>
  <c r="L35" i="4"/>
  <c r="L34" i="4"/>
  <c r="L33" i="4"/>
  <c r="L32" i="4"/>
  <c r="L31" i="4"/>
  <c r="L30" i="4"/>
  <c r="L29" i="4"/>
  <c r="L28" i="4"/>
  <c r="L27" i="4"/>
  <c r="L26" i="4"/>
  <c r="L25" i="4"/>
  <c r="L24" i="4"/>
  <c r="L23" i="4"/>
  <c r="L22" i="4"/>
  <c r="L21" i="4"/>
  <c r="L20" i="4"/>
  <c r="L19" i="4"/>
  <c r="L18" i="4"/>
  <c r="L17" i="4"/>
  <c r="L16" i="4"/>
  <c r="L15" i="4"/>
  <c r="L14" i="4"/>
  <c r="L13" i="4"/>
  <c r="L12" i="4"/>
  <c r="L11" i="4"/>
  <c r="L10" i="4"/>
  <c r="L9" i="4"/>
  <c r="L8" i="4"/>
  <c r="L7" i="4"/>
  <c r="L6" i="4"/>
  <c r="L5" i="4"/>
  <c r="L4" i="4"/>
  <c r="L3" i="4"/>
  <c r="BD132" i="1"/>
  <c r="BD124" i="1"/>
  <c r="BD116" i="1"/>
  <c r="BD108" i="1"/>
  <c r="BD101" i="1"/>
  <c r="AT95" i="1"/>
  <c r="BD93" i="1"/>
  <c r="AT91" i="1"/>
  <c r="BD68" i="1"/>
  <c r="BD60" i="1"/>
  <c r="Z54" i="1"/>
  <c r="AH56" i="1"/>
  <c r="BD52" i="1"/>
  <c r="BD42" i="1"/>
  <c r="AT36" i="1"/>
  <c r="AV136" i="1"/>
  <c r="BE72" i="1"/>
  <c r="BE112" i="1"/>
  <c r="BF95" i="1"/>
  <c r="BF58" i="1"/>
  <c r="BF72" i="1"/>
  <c r="BG72" i="1"/>
  <c r="BF74" i="1"/>
  <c r="BF114" i="1"/>
  <c r="BE64" i="1"/>
  <c r="BE66" i="1"/>
  <c r="BE56" i="1"/>
  <c r="BF91" i="1"/>
  <c r="BF112" i="1"/>
  <c r="BE58" i="1"/>
  <c r="BF64" i="1"/>
  <c r="BG64" i="1"/>
  <c r="BF56" i="1"/>
  <c r="BF66" i="1"/>
  <c r="BE74" i="1"/>
  <c r="BE114" i="1"/>
  <c r="Q116" i="1"/>
  <c r="BI48" i="1"/>
  <c r="BI46" i="1"/>
  <c r="BE95" i="1"/>
  <c r="BE91" i="1"/>
  <c r="Q64" i="1"/>
  <c r="AH91" i="1"/>
  <c r="BG120" i="1"/>
  <c r="BG112" i="1"/>
  <c r="BG136" i="1"/>
  <c r="Q46" i="1"/>
  <c r="BH64" i="1"/>
  <c r="BG114" i="1"/>
  <c r="BH112" i="1"/>
  <c r="BH58" i="1"/>
  <c r="BG66" i="1"/>
  <c r="BH66" i="1"/>
  <c r="BH114" i="1"/>
  <c r="BG56" i="1"/>
  <c r="BG128" i="1"/>
  <c r="BG74" i="1"/>
  <c r="AH68" i="1"/>
  <c r="Y70" i="1"/>
  <c r="BH72" i="1"/>
  <c r="BH74" i="1"/>
  <c r="Q72" i="1"/>
  <c r="AH95" i="1"/>
  <c r="BG48" i="1"/>
  <c r="BG58" i="1"/>
  <c r="BG46" i="1"/>
  <c r="BH56" i="1"/>
  <c r="AH112" i="1"/>
  <c r="AF114" i="1"/>
  <c r="AH60" i="1"/>
  <c r="AF62" i="1"/>
  <c r="AH120" i="1"/>
  <c r="AF122" i="1"/>
  <c r="Y122" i="1"/>
  <c r="AV130" i="1"/>
  <c r="AH126" i="1"/>
  <c r="AF128" i="1"/>
  <c r="Y128" i="1"/>
  <c r="AH52" i="1"/>
  <c r="AF54" i="1"/>
  <c r="AH41" i="1"/>
  <c r="AF44" i="1"/>
  <c r="AF70" i="1"/>
  <c r="AT134" i="1"/>
  <c r="AV124" i="1"/>
  <c r="Y114" i="1"/>
  <c r="Y62" i="1"/>
  <c r="AT128" i="1"/>
  <c r="Y54" i="1"/>
  <c r="Y44" i="1"/>
  <c r="AT122" i="1"/>
  <c r="AT146" i="1" l="1"/>
  <c r="AE12" i="1" s="1"/>
</calcChain>
</file>

<file path=xl/sharedStrings.xml><?xml version="1.0" encoding="utf-8"?>
<sst xmlns="http://schemas.openxmlformats.org/spreadsheetml/2006/main" count="1512" uniqueCount="166">
  <si>
    <t>Project Type</t>
  </si>
  <si>
    <t>Flow Control Standard(s)</t>
  </si>
  <si>
    <t>New Plus Replaced Hard Surface Area</t>
  </si>
  <si>
    <t>Yes/No</t>
  </si>
  <si>
    <t>No</t>
  </si>
  <si>
    <t>Yes</t>
  </si>
  <si>
    <t>sf</t>
  </si>
  <si>
    <t>Parcel</t>
  </si>
  <si>
    <t>Pre-developed Pasture Standard</t>
  </si>
  <si>
    <t>Flow Control Standard</t>
  </si>
  <si>
    <t>Retained Trees</t>
  </si>
  <si>
    <t>New Evergreen</t>
  </si>
  <si>
    <t>New Deciduous</t>
  </si>
  <si>
    <t>Dispersion</t>
  </si>
  <si>
    <t>Facility Size</t>
  </si>
  <si>
    <t>Credit</t>
  </si>
  <si>
    <t>Area Managed</t>
  </si>
  <si>
    <t>New Trees</t>
  </si>
  <si>
    <t>No. Trees</t>
  </si>
  <si>
    <t xml:space="preserve">Total Canopy Area </t>
  </si>
  <si>
    <t>Sizing Factor / Equation</t>
  </si>
  <si>
    <t>Contributing Area</t>
  </si>
  <si>
    <t>Ponding Depth</t>
  </si>
  <si>
    <t>Permeable Pavement Facility</t>
  </si>
  <si>
    <t>Infiltrating Facilities</t>
  </si>
  <si>
    <t>Reuse Facilities</t>
  </si>
  <si>
    <t>Rainwater Harvesting</t>
  </si>
  <si>
    <t>Alternative Pavement Surfaces</t>
  </si>
  <si>
    <t>Alternative Roof Surfaces</t>
  </si>
  <si>
    <t>Non Infiltrating Facilities</t>
  </si>
  <si>
    <t>Traditional Facilities</t>
  </si>
  <si>
    <t>Infiltration Chamber</t>
  </si>
  <si>
    <t>Infiltration Trench</t>
  </si>
  <si>
    <t>Trench Depth</t>
  </si>
  <si>
    <t>Well Depth</t>
  </si>
  <si>
    <t>Detention Facilities</t>
  </si>
  <si>
    <t>Detention Pipe</t>
  </si>
  <si>
    <t>Detention Vault</t>
  </si>
  <si>
    <t>Detention Cistern</t>
  </si>
  <si>
    <t>Total Area Managed</t>
  </si>
  <si>
    <t>Notes</t>
  </si>
  <si>
    <t>sf - square feet</t>
  </si>
  <si>
    <t>in - inch</t>
  </si>
  <si>
    <t>ft - feet</t>
  </si>
  <si>
    <t>in/hr - inch per hour</t>
  </si>
  <si>
    <t>Dispersed Impervious Area</t>
  </si>
  <si>
    <t>x</t>
  </si>
  <si>
    <t>Bioretention Bottom Area</t>
  </si>
  <si>
    <t>in</t>
  </si>
  <si>
    <t>in/hr</t>
  </si>
  <si>
    <t>ft</t>
  </si>
  <si>
    <t>Trench Length</t>
  </si>
  <si>
    <t>Trench Width</t>
  </si>
  <si>
    <t>Trench Area</t>
  </si>
  <si>
    <t>inf - infiltration</t>
  </si>
  <si>
    <t>Drywell Area</t>
  </si>
  <si>
    <t>Permeable Pavement Area</t>
  </si>
  <si>
    <t>Applicant must provide documentation of management</t>
  </si>
  <si>
    <t>Vegetated Roof System</t>
  </si>
  <si>
    <t>Vegetated Roof Area</t>
  </si>
  <si>
    <t>Sideslopes</t>
  </si>
  <si>
    <t>Vertical</t>
  </si>
  <si>
    <t>2.5H:1V</t>
  </si>
  <si>
    <t>Chamber Bottom Area</t>
  </si>
  <si>
    <t>Pipe Diameter</t>
  </si>
  <si>
    <t>Detention Pipe Length</t>
  </si>
  <si>
    <t>Max head above orifice</t>
  </si>
  <si>
    <t>Vault area</t>
  </si>
  <si>
    <t>Cistern area</t>
  </si>
  <si>
    <t>min - minimum</t>
  </si>
  <si>
    <t>Permeable Pavement Surface</t>
  </si>
  <si>
    <t>Subgrade Slope ≤ 2%</t>
  </si>
  <si>
    <t>Subgrade Slope &gt; 2%</t>
  </si>
  <si>
    <t>Flow Control Standard(s) Achieved?</t>
  </si>
  <si>
    <t>BMP</t>
  </si>
  <si>
    <t>Native Soil Design 
Infiltration Rate
(inch/hour)</t>
  </si>
  <si>
    <t>NA</t>
  </si>
  <si>
    <t>Peak Control Standard</t>
  </si>
  <si>
    <t>Water Quality Treatment</t>
  </si>
  <si>
    <t>Coefficient</t>
  </si>
  <si>
    <t>Constant</t>
  </si>
  <si>
    <t>Ponding depth and infiltration rate combination do not achieve drawdown requirements.</t>
  </si>
  <si>
    <t>NA Note</t>
  </si>
  <si>
    <t>Infiltration Rate</t>
  </si>
  <si>
    <t>Factor/Equation</t>
  </si>
  <si>
    <t>Standard</t>
  </si>
  <si>
    <t>Lookup</t>
  </si>
  <si>
    <t>Error</t>
  </si>
  <si>
    <t xml:space="preserve"> </t>
  </si>
  <si>
    <t>Infiltration Trench Depth</t>
  </si>
  <si>
    <t>Trench Depth (ft)</t>
  </si>
  <si>
    <t>Ponding Depth (inch)</t>
  </si>
  <si>
    <t>Subgrade Soil Design 
Infiltration Rate
(inch/hour)</t>
  </si>
  <si>
    <t>Drywell</t>
  </si>
  <si>
    <t>DrywellDepth</t>
  </si>
  <si>
    <t>Ponding Depth in Storage Reservoir (inch)</t>
  </si>
  <si>
    <t>The minimum sizing factor is 20 percent because the contributing area to a facility is limited to 5 times the permeable pavement facility area.</t>
  </si>
  <si>
    <t>&gt;2</t>
  </si>
  <si>
    <t>Permeable pavement surface meets the peak flow standard (i.e., achieves a 100% credit) if the aggregate subbase depth is increased to 3.5 inches.</t>
  </si>
  <si>
    <t>&lt;2</t>
  </si>
  <si>
    <t>Subgrade Slope</t>
  </si>
  <si>
    <t>Detention Pipe Diameter (inch)</t>
  </si>
  <si>
    <t>Constant / Power</t>
  </si>
  <si>
    <t>Detention Pipe Diameter</t>
  </si>
  <si>
    <t>Detention Depth (feet)</t>
  </si>
  <si>
    <t>Vault Depth</t>
  </si>
  <si>
    <t>Retained Evergreen</t>
  </si>
  <si>
    <t>Retained Deciduous</t>
  </si>
  <si>
    <t>No.</t>
  </si>
  <si>
    <t>no. - number</t>
  </si>
  <si>
    <t>Sizing factors not provided for 2-inch ponding and vertical sideslopes</t>
  </si>
  <si>
    <t>Facility is not capable of achieving the Pre-developed Pasture Standard unless orifice controls are used.</t>
  </si>
  <si>
    <t>power</t>
  </si>
  <si>
    <t>constant</t>
  </si>
  <si>
    <t>=</t>
  </si>
  <si>
    <t>Sizing factors not provided for Peak Control Standard</t>
  </si>
  <si>
    <t>Error/Note</t>
  </si>
  <si>
    <t>Minimum Contributing Area (sf) &gt;</t>
  </si>
  <si>
    <t>Maximum Contributing Area (sf) ≤</t>
  </si>
  <si>
    <t>Facility is not capable of achieving the Peak Flow Control Standard unless orifice controls are used.</t>
  </si>
  <si>
    <t>Contributing Area Managed by Traditional Facilities</t>
  </si>
  <si>
    <t>Bioretention without Underdrain</t>
  </si>
  <si>
    <t>Full Dispersion</t>
  </si>
  <si>
    <t>Fully Dispersed Impervious Area</t>
  </si>
  <si>
    <t>Downspout, Sheet Flow, or Concentrated Flow Dispersion</t>
  </si>
  <si>
    <t>Pre-developed Pasture and Peak Control Standards</t>
  </si>
  <si>
    <t>Bioretention with Underdrain</t>
  </si>
  <si>
    <t>Total Area Mitigated by Trees</t>
  </si>
  <si>
    <t>To meet the Pasture Standard reduce the head to at least 3 feet</t>
  </si>
  <si>
    <t>1. Round up the design infiltration rate determined by the infiltration test to the nearest infiltration rate in the drop down menu.</t>
  </si>
  <si>
    <t>OSM - On-Site Stormwater Management</t>
  </si>
  <si>
    <t>MEF - Maximum Extent Feasible</t>
  </si>
  <si>
    <t>This calculator is for Parcel-based projects with less than 10,000 square feet of new plus replaced hard surface only.</t>
  </si>
  <si>
    <t>Total New Plus Replaced Hard Surface Area</t>
  </si>
  <si>
    <t>Contributing Area Managed by On-Site Facilities</t>
  </si>
  <si>
    <t>Check Dams</t>
  </si>
  <si>
    <t xml:space="preserve">Required bottom orifice diameter </t>
  </si>
  <si>
    <t>Peak Flow Orifice Diameter for Construction</t>
  </si>
  <si>
    <t>Orifice Diameter</t>
  </si>
  <si>
    <t>without check dams</t>
  </si>
  <si>
    <t>with check dams</t>
  </si>
  <si>
    <t>Check Dam</t>
  </si>
  <si>
    <t>Area Range</t>
  </si>
  <si>
    <t>Draft City of Seattle</t>
  </si>
  <si>
    <t>Parcel-based Pre-Sized FLOW CONTROL Calculator</t>
  </si>
  <si>
    <r>
      <t>Site has ≥ 35% Existing Hard Surface</t>
    </r>
    <r>
      <rPr>
        <vertAlign val="superscript"/>
        <sz val="9"/>
        <rFont val="Calibri"/>
        <family val="2"/>
        <scheme val="minor"/>
      </rPr>
      <t>2</t>
    </r>
  </si>
  <si>
    <t>On-site Runoff Reduction Methods (OSM BMP)</t>
  </si>
  <si>
    <t>On-site Infiltration and Reuse Facilities (OSM BMP)</t>
  </si>
  <si>
    <t>On-site Impervious Surface Reduction Method (OSM BMP)</t>
  </si>
  <si>
    <t>On-site Non-Infiltrating Facilities (OSM BMP)</t>
  </si>
  <si>
    <r>
      <t>Design Inf Rate</t>
    </r>
    <r>
      <rPr>
        <vertAlign val="superscript"/>
        <sz val="8"/>
        <rFont val="Calibri"/>
        <family val="2"/>
        <scheme val="minor"/>
      </rPr>
      <t>1</t>
    </r>
  </si>
  <si>
    <r>
      <t>Flow Control Standard(s) Achieved</t>
    </r>
    <r>
      <rPr>
        <vertAlign val="superscript"/>
        <sz val="9"/>
        <rFont val="Calibri"/>
        <family val="2"/>
        <scheme val="minor"/>
      </rPr>
      <t>2</t>
    </r>
  </si>
  <si>
    <t>Non-infiltrating Bioretention is not capable of achieving the Flow Control Standards unless orifice controls are used.  Continuous runoff modeling is required for bioretention with orifice controls.</t>
  </si>
  <si>
    <t>Check dams will be installed per the Seattle Stormwater Manual, Vol. 3, Section 5.4.6.5</t>
  </si>
  <si>
    <t>2. Projects with 35% or greater of existing hard surface and that only use On-Site Stormwater Management (OSM) BMPs may reduce the hard surface area that requires management by up to 2,000 square feet if SDCI determines that OSM BMPs have been applied to the maximum extent feasible (MEF) and only OSM BMPs are used for Flow Control.</t>
  </si>
  <si>
    <t>Table 5.22. Pre-sized Sizing Factors and Equations for Infiltrating Bioretention without Underdrains.</t>
  </si>
  <si>
    <t>Table 5.15. Pre-Sized Sizing Factors and Equations for Infiltration Trenches.</t>
  </si>
  <si>
    <t>Table 5.18. Pre-Sized Sizing Factors and Equations for Drywells.</t>
  </si>
  <si>
    <t>Table 5.26. Pre-sized Sizing Factors and Equations for Permeable Pavement Facilities without Underdrains.</t>
  </si>
  <si>
    <t>Table 5.36. Pre-sized Flow Control Credits for Permeable Pavement Surfaces with and without Check Dams.</t>
  </si>
  <si>
    <t>Table 5.34. Pre-sized Flow Control Credits for Vegetated Roofs.</t>
  </si>
  <si>
    <t>Table 5.46. Pre-Sized Sizing Factors and Equations for Non-infiltrating Bioretention.</t>
  </si>
  <si>
    <t>Table 5.28. Pre-Sized Sizing Factors and Equations for Infiltration Chambers.</t>
  </si>
  <si>
    <t>Table 5.39. Pre-sized Sizing Equations for Detention Pipe.</t>
  </si>
  <si>
    <t>Table 5.41. Pre-sized Sizing Equations for Detention Vaults.</t>
  </si>
  <si>
    <t>Table 5.43. Pre-Sized Sizing Factors and Equations for Aboveground Detention Cisterns.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</si>
</sst>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0" x14ac:knownFonts="1">
    <font>
      <sz val="11"/>
      <color theme="1"/>
      <name val="Calibri"/>
      <family val="2"/>
      <scheme val="minor"/>
    </font>
    <font>
      <sz val="11"/>
      <color theme="1"/>
      <name val="Calibri"/>
      <family val="2"/>
      <scheme val="minor"/>
    </font>
    <font>
      <sz val="8"/>
      <color theme="1"/>
      <name val="Calibri"/>
      <family val="2"/>
      <scheme val="minor"/>
    </font>
    <font>
      <b/>
      <sz val="9"/>
      <color theme="1"/>
      <name val="Calibri"/>
      <family val="2"/>
      <scheme val="minor"/>
    </font>
    <font>
      <sz val="9"/>
      <color theme="1"/>
      <name val="Calibri"/>
      <family val="2"/>
      <scheme val="minor"/>
    </font>
    <font>
      <b/>
      <u/>
      <sz val="9"/>
      <color theme="1"/>
      <name val="Calibri"/>
      <family val="2"/>
      <scheme val="minor"/>
    </font>
    <font>
      <b/>
      <sz val="8"/>
      <color theme="1"/>
      <name val="Calibri"/>
      <family val="2"/>
      <scheme val="minor"/>
    </font>
    <font>
      <b/>
      <sz val="11"/>
      <name val="Calibri"/>
      <family val="2"/>
      <scheme val="minor"/>
    </font>
    <font>
      <sz val="10"/>
      <name val="Arial"/>
      <family val="2"/>
    </font>
    <font>
      <sz val="11"/>
      <name val="Calibri"/>
      <family val="2"/>
      <scheme val="minor"/>
    </font>
    <font>
      <sz val="9"/>
      <color rgb="FFFF0000"/>
      <name val="Calibri"/>
      <family val="2"/>
      <scheme val="minor"/>
    </font>
    <font>
      <sz val="8"/>
      <color rgb="FFFF5050"/>
      <name val="Calibri"/>
      <family val="2"/>
      <scheme val="minor"/>
    </font>
    <font>
      <b/>
      <sz val="9"/>
      <color rgb="FFFF0000"/>
      <name val="Calibri"/>
      <family val="2"/>
      <scheme val="minor"/>
    </font>
    <font>
      <sz val="8"/>
      <color rgb="FFFF0000"/>
      <name val="Calibri"/>
      <family val="2"/>
      <scheme val="minor"/>
    </font>
    <font>
      <sz val="9"/>
      <name val="Calibri"/>
      <family val="2"/>
      <scheme val="minor"/>
    </font>
    <font>
      <i/>
      <sz val="9"/>
      <color rgb="FFFF5050"/>
      <name val="Calibri"/>
      <family val="2"/>
      <scheme val="minor"/>
    </font>
    <font>
      <vertAlign val="superscript"/>
      <sz val="9"/>
      <name val="Calibri"/>
      <family val="2"/>
      <scheme val="minor"/>
    </font>
    <font>
      <b/>
      <sz val="9"/>
      <name val="Calibri"/>
      <family val="2"/>
      <scheme val="minor"/>
    </font>
    <font>
      <sz val="8"/>
      <name val="Calibri"/>
      <family val="2"/>
      <scheme val="minor"/>
    </font>
    <font>
      <vertAlign val="superscript"/>
      <sz val="8"/>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8" fillId="0" borderId="0"/>
    <xf numFmtId="43" fontId="1" fillId="0" borderId="0" applyFont="0" applyFill="0" applyBorder="0" applyAlignment="0" applyProtection="0"/>
  </cellStyleXfs>
  <cellXfs count="177">
    <xf numFmtId="0" fontId="0" fillId="0" borderId="0" xfId="0"/>
    <xf numFmtId="0" fontId="2" fillId="2" borderId="0" xfId="0" applyFont="1" applyFill="1" applyBorder="1" applyAlignment="1">
      <alignment horizontal="left"/>
    </xf>
    <xf numFmtId="0" fontId="4" fillId="0" borderId="0" xfId="0" applyFont="1" applyFill="1"/>
    <xf numFmtId="0" fontId="4" fillId="2" borderId="1" xfId="0" applyFont="1" applyFill="1" applyBorder="1"/>
    <xf numFmtId="0" fontId="4" fillId="2" borderId="2" xfId="0" applyFont="1" applyFill="1" applyBorder="1"/>
    <xf numFmtId="0" fontId="4" fillId="2" borderId="3" xfId="0" applyFont="1" applyFill="1" applyBorder="1"/>
    <xf numFmtId="0" fontId="4" fillId="2" borderId="7" xfId="0" applyFont="1" applyFill="1" applyBorder="1"/>
    <xf numFmtId="0" fontId="4" fillId="2" borderId="0" xfId="0" applyFont="1" applyFill="1" applyBorder="1"/>
    <xf numFmtId="0" fontId="4" fillId="2" borderId="8" xfId="0" applyFont="1" applyFill="1" applyBorder="1"/>
    <xf numFmtId="0" fontId="4" fillId="2" borderId="0" xfId="0" applyFont="1" applyFill="1" applyBorder="1" applyAlignment="1">
      <alignment horizontal="left"/>
    </xf>
    <xf numFmtId="0" fontId="4" fillId="2" borderId="4" xfId="0" applyFont="1" applyFill="1" applyBorder="1"/>
    <xf numFmtId="0" fontId="4" fillId="2" borderId="5" xfId="0" applyFont="1" applyFill="1" applyBorder="1"/>
    <xf numFmtId="0" fontId="4" fillId="2" borderId="6" xfId="0" applyFont="1" applyFill="1" applyBorder="1"/>
    <xf numFmtId="0" fontId="5" fillId="2" borderId="0" xfId="0" applyFont="1" applyFill="1" applyBorder="1"/>
    <xf numFmtId="0" fontId="3" fillId="2" borderId="0" xfId="0" applyFont="1" applyFill="1" applyBorder="1"/>
    <xf numFmtId="0" fontId="4" fillId="2" borderId="0" xfId="0" applyFont="1" applyFill="1"/>
    <xf numFmtId="0" fontId="4" fillId="2" borderId="0" xfId="0" applyFont="1" applyFill="1" applyBorder="1" applyAlignment="1">
      <alignment horizontal="right"/>
    </xf>
    <xf numFmtId="0" fontId="4" fillId="2" borderId="0" xfId="0" applyFont="1" applyFill="1" applyBorder="1" applyAlignment="1">
      <alignment horizontal="center"/>
    </xf>
    <xf numFmtId="0" fontId="3" fillId="2" borderId="5" xfId="0" applyFont="1" applyFill="1" applyBorder="1"/>
    <xf numFmtId="0" fontId="4" fillId="2" borderId="0" xfId="0" applyFont="1" applyFill="1" applyBorder="1" applyAlignment="1"/>
    <xf numFmtId="0" fontId="4" fillId="0" borderId="0" xfId="0" applyFont="1"/>
    <xf numFmtId="0" fontId="2" fillId="2" borderId="7" xfId="0" applyFont="1" applyFill="1" applyBorder="1"/>
    <xf numFmtId="0" fontId="2" fillId="2" borderId="0" xfId="0" applyFont="1" applyFill="1" applyBorder="1"/>
    <xf numFmtId="0" fontId="6" fillId="2" borderId="0" xfId="0" applyFont="1" applyFill="1" applyBorder="1"/>
    <xf numFmtId="0" fontId="2" fillId="2" borderId="0" xfId="0" applyFont="1" applyFill="1" applyBorder="1" applyAlignment="1">
      <alignment horizontal="right"/>
    </xf>
    <xf numFmtId="0" fontId="2" fillId="2" borderId="0" xfId="0" applyFont="1" applyFill="1"/>
    <xf numFmtId="0" fontId="2" fillId="2" borderId="0" xfId="0" applyFont="1" applyFill="1" applyBorder="1" applyAlignment="1">
      <alignment horizontal="center"/>
    </xf>
    <xf numFmtId="0" fontId="2" fillId="2" borderId="8" xfId="0" applyFont="1" applyFill="1" applyBorder="1"/>
    <xf numFmtId="0" fontId="2" fillId="0" borderId="0" xfId="0" applyFont="1" applyFill="1"/>
    <xf numFmtId="0" fontId="3" fillId="2" borderId="2" xfId="0" applyFont="1" applyFill="1" applyBorder="1"/>
    <xf numFmtId="0" fontId="9" fillId="0" borderId="0" xfId="0" applyFont="1" applyFill="1" applyBorder="1" applyAlignment="1">
      <alignment horizontal="left" vertical="center"/>
    </xf>
    <xf numFmtId="0" fontId="9" fillId="0" borderId="0" xfId="0" applyFont="1" applyFill="1" applyBorder="1" applyAlignment="1">
      <alignment vertical="center"/>
    </xf>
    <xf numFmtId="164" fontId="9" fillId="0" borderId="0" xfId="0" applyNumberFormat="1" applyFont="1" applyFill="1" applyBorder="1" applyAlignment="1">
      <alignment vertical="center"/>
    </xf>
    <xf numFmtId="0" fontId="9" fillId="0" borderId="0" xfId="0" applyFont="1" applyFill="1" applyBorder="1" applyAlignment="1">
      <alignment vertical="center" wrapText="1"/>
    </xf>
    <xf numFmtId="0" fontId="0" fillId="0" borderId="0" xfId="0" applyFill="1" applyBorder="1"/>
    <xf numFmtId="0" fontId="9" fillId="0" borderId="5" xfId="0" applyFont="1" applyFill="1" applyBorder="1" applyAlignment="1">
      <alignment vertical="center" wrapText="1"/>
    </xf>
    <xf numFmtId="164" fontId="9" fillId="0" borderId="5" xfId="0" applyNumberFormat="1" applyFont="1" applyFill="1" applyBorder="1" applyAlignment="1">
      <alignment vertical="center"/>
    </xf>
    <xf numFmtId="0" fontId="9" fillId="0" borderId="5" xfId="0" applyFont="1" applyFill="1" applyBorder="1" applyAlignment="1">
      <alignment horizontal="left" vertical="center"/>
    </xf>
    <xf numFmtId="0" fontId="9" fillId="0" borderId="5" xfId="0" applyFont="1" applyFill="1" applyBorder="1" applyAlignment="1">
      <alignment vertical="center"/>
    </xf>
    <xf numFmtId="0" fontId="7" fillId="0" borderId="5" xfId="0" applyFont="1" applyFill="1" applyBorder="1" applyAlignment="1">
      <alignment horizontal="center" wrapText="1"/>
    </xf>
    <xf numFmtId="9" fontId="2" fillId="2" borderId="0" xfId="1" applyFont="1" applyFill="1" applyBorder="1" applyAlignment="1">
      <alignment wrapText="1"/>
    </xf>
    <xf numFmtId="0" fontId="3" fillId="0" borderId="0" xfId="0" applyFont="1" applyFill="1"/>
    <xf numFmtId="0" fontId="2" fillId="0" borderId="0" xfId="0" applyFont="1" applyFill="1" applyAlignment="1">
      <alignment horizontal="center"/>
    </xf>
    <xf numFmtId="3" fontId="2" fillId="0" borderId="0" xfId="3" applyNumberFormat="1" applyFont="1" applyFill="1" applyAlignment="1">
      <alignment horizontal="center"/>
    </xf>
    <xf numFmtId="0" fontId="9" fillId="0" borderId="2" xfId="0" applyFont="1" applyFill="1" applyBorder="1" applyAlignment="1">
      <alignment vertical="center"/>
    </xf>
    <xf numFmtId="0" fontId="9" fillId="0" borderId="2" xfId="0" applyFont="1" applyFill="1" applyBorder="1" applyAlignment="1">
      <alignment horizontal="left" vertical="center"/>
    </xf>
    <xf numFmtId="0" fontId="2" fillId="0" borderId="0" xfId="0" applyFont="1" applyFill="1" applyAlignment="1">
      <alignment horizontal="left"/>
    </xf>
    <xf numFmtId="0" fontId="9" fillId="0" borderId="2" xfId="0" applyFont="1" applyFill="1" applyBorder="1" applyAlignment="1">
      <alignment vertical="center" wrapText="1"/>
    </xf>
    <xf numFmtId="9" fontId="2" fillId="2" borderId="0" xfId="1" applyFont="1" applyFill="1" applyBorder="1" applyAlignment="1">
      <alignment horizontal="center"/>
    </xf>
    <xf numFmtId="0" fontId="7" fillId="0" borderId="9" xfId="0" applyFont="1" applyFill="1" applyBorder="1" applyAlignment="1">
      <alignment horizontal="center" wrapText="1"/>
    </xf>
    <xf numFmtId="0" fontId="4" fillId="2" borderId="0" xfId="0" applyFont="1" applyFill="1" applyAlignment="1">
      <alignment horizontal="left"/>
    </xf>
    <xf numFmtId="0" fontId="2" fillId="2" borderId="0" xfId="0" applyFont="1" applyFill="1" applyBorder="1" applyAlignment="1">
      <alignment horizontal="center"/>
    </xf>
    <xf numFmtId="0" fontId="2" fillId="2" borderId="0" xfId="0" applyFont="1" applyFill="1" applyBorder="1" applyAlignment="1">
      <alignment horizontal="center"/>
    </xf>
    <xf numFmtId="0" fontId="10" fillId="0" borderId="0" xfId="0" applyFont="1" applyFill="1"/>
    <xf numFmtId="0" fontId="2" fillId="2" borderId="0" xfId="0" applyFont="1" applyFill="1" applyBorder="1" applyAlignment="1">
      <alignment horizontal="center"/>
    </xf>
    <xf numFmtId="0" fontId="10" fillId="2" borderId="8" xfId="0" applyFont="1" applyFill="1" applyBorder="1" applyAlignment="1">
      <alignment horizontal="left" vertical="top" wrapText="1"/>
    </xf>
    <xf numFmtId="0" fontId="2" fillId="2" borderId="0" xfId="0" applyFont="1" applyFill="1" applyBorder="1" applyAlignment="1">
      <alignment horizontal="center"/>
    </xf>
    <xf numFmtId="0" fontId="2" fillId="2" borderId="0" xfId="0" applyFont="1" applyFill="1" applyBorder="1" applyAlignment="1">
      <alignment horizontal="center"/>
    </xf>
    <xf numFmtId="0" fontId="12" fillId="0" borderId="0" xfId="0" applyFont="1" applyFill="1"/>
    <xf numFmtId="0" fontId="6" fillId="0" borderId="0" xfId="0" applyFont="1" applyFill="1"/>
    <xf numFmtId="0" fontId="2" fillId="2" borderId="0" xfId="0" applyFont="1" applyFill="1" applyAlignment="1">
      <alignment horizontal="left"/>
    </xf>
    <xf numFmtId="0" fontId="3" fillId="2" borderId="0" xfId="0" applyFont="1" applyFill="1" applyBorder="1" applyAlignment="1">
      <alignment horizontal="right"/>
    </xf>
    <xf numFmtId="3" fontId="2" fillId="2" borderId="0" xfId="0" applyNumberFormat="1" applyFont="1" applyFill="1" applyBorder="1" applyAlignment="1"/>
    <xf numFmtId="0" fontId="2" fillId="2" borderId="0" xfId="0" applyFont="1" applyFill="1" applyBorder="1" applyAlignment="1"/>
    <xf numFmtId="0" fontId="13" fillId="2" borderId="0" xfId="0" applyFont="1" applyFill="1" applyBorder="1" applyAlignment="1">
      <alignment vertical="top" wrapText="1"/>
    </xf>
    <xf numFmtId="0" fontId="13" fillId="2" borderId="8" xfId="0" applyFont="1" applyFill="1" applyBorder="1" applyAlignment="1">
      <alignment vertical="top" wrapText="1"/>
    </xf>
    <xf numFmtId="0" fontId="4" fillId="4" borderId="7" xfId="0" applyFont="1" applyFill="1" applyBorder="1"/>
    <xf numFmtId="0" fontId="4" fillId="4" borderId="0" xfId="0" applyFont="1" applyFill="1" applyBorder="1"/>
    <xf numFmtId="0" fontId="4" fillId="4" borderId="8" xfId="0" applyFont="1" applyFill="1" applyBorder="1"/>
    <xf numFmtId="0" fontId="4" fillId="4" borderId="4" xfId="0" applyFont="1" applyFill="1" applyBorder="1"/>
    <xf numFmtId="0" fontId="4" fillId="4" borderId="5" xfId="0" applyFont="1" applyFill="1" applyBorder="1"/>
    <xf numFmtId="0" fontId="4" fillId="4" borderId="6" xfId="0" applyFont="1" applyFill="1" applyBorder="1"/>
    <xf numFmtId="0" fontId="3" fillId="4" borderId="7" xfId="0" applyFont="1" applyFill="1" applyBorder="1"/>
    <xf numFmtId="0" fontId="3" fillId="4" borderId="0" xfId="0" applyFont="1" applyFill="1" applyBorder="1"/>
    <xf numFmtId="0" fontId="3" fillId="4" borderId="8" xfId="0" applyFont="1" applyFill="1" applyBorder="1"/>
    <xf numFmtId="0" fontId="3" fillId="4" borderId="2" xfId="0" applyFont="1" applyFill="1" applyBorder="1"/>
    <xf numFmtId="0" fontId="3" fillId="4" borderId="3" xfId="0" applyFont="1" applyFill="1" applyBorder="1"/>
    <xf numFmtId="0" fontId="2" fillId="2" borderId="0" xfId="1" applyNumberFormat="1" applyFont="1" applyFill="1" applyBorder="1" applyAlignment="1">
      <alignment wrapText="1"/>
    </xf>
    <xf numFmtId="0" fontId="10" fillId="2" borderId="0" xfId="0" applyFont="1" applyFill="1" applyBorder="1"/>
    <xf numFmtId="0" fontId="4" fillId="4" borderId="3" xfId="0" applyFont="1" applyFill="1" applyBorder="1"/>
    <xf numFmtId="0" fontId="10" fillId="4" borderId="0" xfId="0" applyFont="1" applyFill="1" applyBorder="1"/>
    <xf numFmtId="0" fontId="2" fillId="2" borderId="0" xfId="0" applyFont="1" applyFill="1" applyBorder="1" applyAlignment="1">
      <alignment horizontal="center"/>
    </xf>
    <xf numFmtId="0" fontId="7" fillId="0" borderId="0" xfId="0" applyFont="1" applyFill="1" applyBorder="1" applyAlignment="1">
      <alignment horizontal="center" wrapText="1"/>
    </xf>
    <xf numFmtId="0" fontId="3" fillId="0" borderId="0" xfId="0" applyFont="1" applyFill="1" applyBorder="1"/>
    <xf numFmtId="0" fontId="3" fillId="4" borderId="2" xfId="0" applyFont="1" applyFill="1" applyBorder="1" applyAlignment="1"/>
    <xf numFmtId="0" fontId="13" fillId="2" borderId="0" xfId="0" applyFont="1" applyFill="1" applyBorder="1" applyAlignment="1">
      <alignment horizontal="center" vertical="center"/>
    </xf>
    <xf numFmtId="0" fontId="13" fillId="2" borderId="0" xfId="0" applyFont="1" applyFill="1" applyBorder="1" applyAlignment="1">
      <alignment vertical="center"/>
    </xf>
    <xf numFmtId="0" fontId="13" fillId="2" borderId="0" xfId="0" applyFont="1" applyFill="1" applyBorder="1" applyAlignment="1">
      <alignment horizontal="right" vertical="center"/>
    </xf>
    <xf numFmtId="0" fontId="2" fillId="2" borderId="0" xfId="0" applyFont="1" applyFill="1" applyBorder="1" applyAlignment="1">
      <alignment horizontal="center"/>
    </xf>
    <xf numFmtId="14" fontId="9" fillId="4" borderId="5" xfId="0" applyNumberFormat="1" applyFont="1" applyFill="1" applyBorder="1" applyAlignment="1"/>
    <xf numFmtId="14" fontId="9" fillId="4" borderId="6" xfId="0" applyNumberFormat="1" applyFont="1" applyFill="1" applyBorder="1" applyAlignment="1"/>
    <xf numFmtId="0" fontId="14" fillId="2" borderId="0" xfId="0" applyFont="1" applyFill="1" applyBorder="1"/>
    <xf numFmtId="0" fontId="17" fillId="4" borderId="7" xfId="0" applyFont="1" applyFill="1" applyBorder="1"/>
    <xf numFmtId="0" fontId="17" fillId="4" borderId="1" xfId="0" applyFont="1" applyFill="1" applyBorder="1"/>
    <xf numFmtId="0" fontId="18" fillId="2" borderId="0" xfId="0" applyFont="1" applyFill="1" applyBorder="1"/>
    <xf numFmtId="0" fontId="18" fillId="2" borderId="0" xfId="0" applyFont="1" applyFill="1" applyBorder="1" applyAlignment="1"/>
    <xf numFmtId="0" fontId="18" fillId="2" borderId="0" xfId="0" applyFont="1" applyFill="1" applyBorder="1" applyAlignment="1">
      <alignment horizontal="left"/>
    </xf>
    <xf numFmtId="0" fontId="17" fillId="0" borderId="0" xfId="0" applyFont="1" applyFill="1" applyAlignment="1"/>
    <xf numFmtId="0" fontId="18" fillId="2" borderId="0" xfId="0" applyFont="1" applyFill="1" applyBorder="1" applyAlignment="1">
      <alignment vertical="center"/>
    </xf>
    <xf numFmtId="0" fontId="18" fillId="2" borderId="0" xfId="0" applyFont="1" applyFill="1" applyBorder="1" applyAlignment="1">
      <alignment horizontal="right" vertical="center"/>
    </xf>
    <xf numFmtId="0" fontId="18" fillId="2" borderId="0" xfId="0" applyFont="1" applyFill="1" applyBorder="1" applyAlignment="1">
      <alignment horizontal="center" vertical="center"/>
    </xf>
    <xf numFmtId="0" fontId="14" fillId="2" borderId="2" xfId="0" applyFont="1" applyFill="1" applyBorder="1"/>
    <xf numFmtId="0" fontId="17" fillId="2" borderId="0" xfId="0" applyFont="1" applyFill="1" applyBorder="1" applyAlignment="1">
      <alignment horizontal="right"/>
    </xf>
    <xf numFmtId="0" fontId="14" fillId="2" borderId="0" xfId="0" applyFont="1" applyFill="1" applyBorder="1" applyAlignment="1"/>
    <xf numFmtId="0" fontId="14" fillId="2" borderId="5" xfId="0" applyFont="1" applyFill="1" applyBorder="1"/>
    <xf numFmtId="0" fontId="14" fillId="4" borderId="0" xfId="0" applyFont="1" applyFill="1" applyBorder="1"/>
    <xf numFmtId="0" fontId="14" fillId="4" borderId="0" xfId="0" applyFont="1" applyFill="1" applyBorder="1" applyAlignment="1"/>
    <xf numFmtId="0" fontId="18" fillId="0" borderId="0" xfId="0" applyFont="1" applyFill="1"/>
    <xf numFmtId="0" fontId="18" fillId="0" borderId="0" xfId="0" applyFont="1" applyFill="1" applyAlignment="1">
      <alignment horizontal="center"/>
    </xf>
    <xf numFmtId="3" fontId="18" fillId="0" borderId="0" xfId="3" applyNumberFormat="1" applyFont="1" applyFill="1" applyAlignment="1">
      <alignment horizontal="center"/>
    </xf>
    <xf numFmtId="0" fontId="18" fillId="0" borderId="0" xfId="0" applyFont="1" applyFill="1" applyAlignment="1">
      <alignment horizontal="left"/>
    </xf>
    <xf numFmtId="0" fontId="17" fillId="0" borderId="0" xfId="0" applyFont="1" applyFill="1"/>
    <xf numFmtId="0" fontId="14" fillId="0" borderId="0" xfId="0" applyFont="1" applyFill="1"/>
    <xf numFmtId="0" fontId="11" fillId="2" borderId="0" xfId="0" applyFont="1" applyFill="1" applyBorder="1"/>
    <xf numFmtId="0" fontId="11" fillId="2" borderId="5" xfId="0" applyFont="1" applyFill="1" applyBorder="1" applyAlignment="1">
      <alignment vertical="top" wrapText="1"/>
    </xf>
    <xf numFmtId="0" fontId="2" fillId="2" borderId="0" xfId="0" applyFont="1" applyFill="1" applyBorder="1" applyAlignment="1">
      <alignment vertical="top" wrapText="1"/>
    </xf>
    <xf numFmtId="0" fontId="9" fillId="0" borderId="0" xfId="0" applyFont="1" applyFill="1" applyBorder="1"/>
    <xf numFmtId="0" fontId="9" fillId="0" borderId="2" xfId="0" applyFont="1" applyFill="1" applyBorder="1"/>
    <xf numFmtId="0" fontId="7" fillId="0" borderId="5" xfId="0" applyFont="1" applyFill="1" applyBorder="1"/>
    <xf numFmtId="0" fontId="9" fillId="0" borderId="5" xfId="0" applyFont="1" applyFill="1" applyBorder="1"/>
    <xf numFmtId="0" fontId="9" fillId="0" borderId="0" xfId="0" applyFont="1" applyFill="1" applyBorder="1" applyAlignment="1">
      <alignment horizontal="left"/>
    </xf>
    <xf numFmtId="0" fontId="9" fillId="0" borderId="5" xfId="0" applyFont="1" applyFill="1" applyBorder="1" applyAlignment="1">
      <alignment horizontal="left"/>
    </xf>
    <xf numFmtId="0" fontId="9" fillId="0" borderId="2" xfId="0" applyFont="1" applyFill="1" applyBorder="1" applyAlignment="1">
      <alignment horizontal="left"/>
    </xf>
    <xf numFmtId="0" fontId="9" fillId="0" borderId="9" xfId="0" applyFont="1" applyFill="1" applyBorder="1" applyAlignment="1">
      <alignment wrapText="1"/>
    </xf>
    <xf numFmtId="0" fontId="7" fillId="0" borderId="0" xfId="0" applyFont="1" applyFill="1" applyBorder="1"/>
    <xf numFmtId="0" fontId="9" fillId="0" borderId="5" xfId="0" applyFont="1" applyFill="1" applyBorder="1" applyAlignment="1">
      <alignment horizontal="center"/>
    </xf>
    <xf numFmtId="0" fontId="9" fillId="0" borderId="0" xfId="1" applyNumberFormat="1" applyFont="1" applyFill="1" applyBorder="1" applyAlignment="1">
      <alignment horizontal="center"/>
    </xf>
    <xf numFmtId="0" fontId="9" fillId="0" borderId="0" xfId="0" applyNumberFormat="1" applyFont="1" applyFill="1" applyBorder="1" applyAlignment="1">
      <alignment horizontal="center"/>
    </xf>
    <xf numFmtId="0" fontId="9" fillId="0" borderId="5" xfId="1" applyNumberFormat="1" applyFont="1" applyFill="1" applyBorder="1" applyAlignment="1">
      <alignment horizontal="center"/>
    </xf>
    <xf numFmtId="0" fontId="9" fillId="0" borderId="5" xfId="0" applyNumberFormat="1" applyFont="1" applyFill="1" applyBorder="1" applyAlignment="1">
      <alignment horizontal="center"/>
    </xf>
    <xf numFmtId="10" fontId="9" fillId="0" borderId="0" xfId="1" quotePrefix="1" applyNumberFormat="1" applyFont="1" applyFill="1" applyBorder="1" applyAlignment="1">
      <alignment horizontal="center" vertical="center"/>
    </xf>
    <xf numFmtId="0" fontId="9" fillId="0" borderId="0" xfId="0" applyFont="1" applyFill="1" applyBorder="1" applyAlignment="1">
      <alignment horizontal="center"/>
    </xf>
    <xf numFmtId="10" fontId="9" fillId="0" borderId="5" xfId="1" quotePrefix="1" applyNumberFormat="1" applyFont="1" applyFill="1" applyBorder="1" applyAlignment="1">
      <alignment horizontal="center" vertical="center"/>
    </xf>
    <xf numFmtId="0" fontId="9" fillId="0" borderId="0" xfId="1" applyNumberFormat="1" applyFont="1" applyFill="1" applyBorder="1" applyAlignment="1">
      <alignment horizontal="center" vertical="center"/>
    </xf>
    <xf numFmtId="0" fontId="9" fillId="0" borderId="2" xfId="0" applyFont="1" applyFill="1" applyBorder="1" applyAlignment="1">
      <alignment horizontal="center"/>
    </xf>
    <xf numFmtId="0" fontId="9" fillId="0" borderId="0" xfId="0" applyFont="1" applyFill="1" applyAlignment="1">
      <alignment horizontal="center" vertical="center"/>
    </xf>
    <xf numFmtId="0" fontId="9" fillId="0" borderId="5" xfId="0" applyFont="1" applyFill="1" applyBorder="1" applyAlignment="1">
      <alignment horizontal="center" vertical="center"/>
    </xf>
    <xf numFmtId="0" fontId="9" fillId="0" borderId="9" xfId="0" applyFont="1" applyFill="1" applyBorder="1"/>
    <xf numFmtId="0" fontId="9" fillId="0" borderId="2" xfId="0" applyFont="1" applyFill="1" applyBorder="1" applyAlignment="1">
      <alignment horizontal="center" vertical="center"/>
    </xf>
    <xf numFmtId="0" fontId="9" fillId="0" borderId="0" xfId="0" applyFont="1" applyFill="1" applyBorder="1" applyAlignment="1">
      <alignment horizontal="center" vertical="center"/>
    </xf>
    <xf numFmtId="3" fontId="14" fillId="2" borderId="5" xfId="0" applyNumberFormat="1" applyFont="1" applyFill="1" applyBorder="1" applyAlignment="1">
      <alignment horizontal="center"/>
    </xf>
    <xf numFmtId="3" fontId="2" fillId="3" borderId="5" xfId="0" applyNumberFormat="1" applyFont="1" applyFill="1" applyBorder="1" applyAlignment="1" applyProtection="1">
      <alignment horizontal="center"/>
      <protection locked="0"/>
    </xf>
    <xf numFmtId="3" fontId="2" fillId="2" borderId="5" xfId="0" applyNumberFormat="1" applyFont="1" applyFill="1" applyBorder="1" applyAlignment="1">
      <alignment horizontal="center"/>
    </xf>
    <xf numFmtId="9" fontId="2" fillId="2" borderId="5" xfId="1" applyFont="1" applyFill="1" applyBorder="1" applyAlignment="1">
      <alignment horizontal="center"/>
    </xf>
    <xf numFmtId="0" fontId="4" fillId="2" borderId="5" xfId="0" applyFont="1" applyFill="1" applyBorder="1" applyAlignment="1">
      <alignment horizontal="center" wrapText="1"/>
    </xf>
    <xf numFmtId="9" fontId="2" fillId="2" borderId="0" xfId="1" applyFont="1" applyFill="1" applyBorder="1" applyAlignment="1">
      <alignment horizontal="center" wrapText="1"/>
    </xf>
    <xf numFmtId="9" fontId="2" fillId="2" borderId="5" xfId="1" applyFont="1" applyFill="1" applyBorder="1" applyAlignment="1">
      <alignment horizontal="center" wrapText="1"/>
    </xf>
    <xf numFmtId="0" fontId="11" fillId="2" borderId="2"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3" fillId="4" borderId="2" xfId="0" applyFont="1" applyFill="1" applyBorder="1" applyAlignment="1">
      <alignment horizontal="center" vertical="center"/>
    </xf>
    <xf numFmtId="0" fontId="3" fillId="4" borderId="2" xfId="0" applyFont="1" applyFill="1" applyBorder="1" applyAlignment="1">
      <alignment horizontal="center"/>
    </xf>
    <xf numFmtId="0" fontId="14" fillId="4" borderId="5" xfId="0" applyFont="1" applyFill="1" applyBorder="1" applyAlignment="1">
      <alignment horizontal="center" wrapText="1"/>
    </xf>
    <xf numFmtId="0" fontId="11" fillId="2" borderId="0" xfId="0" applyFont="1" applyFill="1" applyBorder="1" applyAlignment="1">
      <alignment horizontal="left" vertical="top" wrapText="1"/>
    </xf>
    <xf numFmtId="3" fontId="2" fillId="3" borderId="5" xfId="0" applyNumberFormat="1" applyFont="1" applyFill="1" applyBorder="1" applyAlignment="1" applyProtection="1">
      <alignment horizontal="center" vertical="center"/>
      <protection locked="0"/>
    </xf>
    <xf numFmtId="3" fontId="2" fillId="0" borderId="5" xfId="0" applyNumberFormat="1" applyFont="1" applyFill="1" applyBorder="1" applyAlignment="1">
      <alignment horizontal="center"/>
    </xf>
    <xf numFmtId="0" fontId="18" fillId="0" borderId="5" xfId="0" applyNumberFormat="1" applyFont="1" applyFill="1" applyBorder="1" applyAlignment="1">
      <alignment horizontal="center"/>
    </xf>
    <xf numFmtId="0" fontId="2" fillId="2" borderId="0" xfId="0" applyFont="1" applyFill="1" applyBorder="1" applyAlignment="1">
      <alignment horizontal="left" vertical="top" wrapText="1"/>
    </xf>
    <xf numFmtId="3" fontId="4" fillId="2" borderId="5" xfId="0" applyNumberFormat="1" applyFont="1" applyFill="1" applyBorder="1" applyAlignment="1">
      <alignment horizontal="center"/>
    </xf>
    <xf numFmtId="0" fontId="2" fillId="3" borderId="5" xfId="0" applyFont="1" applyFill="1" applyBorder="1" applyAlignment="1" applyProtection="1">
      <alignment horizontal="center"/>
      <protection locked="0"/>
    </xf>
    <xf numFmtId="0" fontId="2" fillId="2" borderId="0" xfId="1" applyNumberFormat="1" applyFont="1" applyFill="1" applyBorder="1" applyAlignment="1">
      <alignment horizontal="center" wrapText="1"/>
    </xf>
    <xf numFmtId="0" fontId="2" fillId="2" borderId="5" xfId="1" applyNumberFormat="1" applyFont="1" applyFill="1" applyBorder="1" applyAlignment="1">
      <alignment horizontal="center" wrapText="1"/>
    </xf>
    <xf numFmtId="0" fontId="7" fillId="4" borderId="1" xfId="0" applyFont="1" applyFill="1" applyBorder="1" applyAlignment="1">
      <alignment horizont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2" borderId="0" xfId="0" applyFont="1" applyFill="1" applyBorder="1" applyAlignment="1">
      <alignment horizontal="center"/>
    </xf>
    <xf numFmtId="14" fontId="14" fillId="4" borderId="4" xfId="0" applyNumberFormat="1" applyFont="1" applyFill="1" applyBorder="1" applyAlignment="1">
      <alignment horizontal="left"/>
    </xf>
    <xf numFmtId="14" fontId="14" fillId="4" borderId="5" xfId="0" applyNumberFormat="1" applyFont="1" applyFill="1" applyBorder="1" applyAlignment="1">
      <alignment horizontal="left"/>
    </xf>
    <xf numFmtId="14" fontId="7" fillId="4" borderId="5" xfId="0" applyNumberFormat="1" applyFont="1" applyFill="1" applyBorder="1" applyAlignment="1">
      <alignment horizontal="center"/>
    </xf>
    <xf numFmtId="0" fontId="11" fillId="2" borderId="0" xfId="0" applyFont="1" applyFill="1" applyBorder="1" applyAlignment="1">
      <alignment horizontal="left"/>
    </xf>
    <xf numFmtId="0" fontId="4" fillId="3" borderId="5" xfId="0" applyFont="1" applyFill="1" applyBorder="1" applyAlignment="1" applyProtection="1">
      <alignment horizontal="center"/>
      <protection locked="0"/>
    </xf>
    <xf numFmtId="3" fontId="4" fillId="3" borderId="5" xfId="0" applyNumberFormat="1" applyFont="1" applyFill="1" applyBorder="1" applyAlignment="1" applyProtection="1">
      <alignment horizontal="center"/>
      <protection locked="0"/>
    </xf>
    <xf numFmtId="0" fontId="14" fillId="2" borderId="0" xfId="0" applyFont="1" applyFill="1" applyBorder="1" applyAlignment="1">
      <alignment horizontal="left" wrapText="1"/>
    </xf>
    <xf numFmtId="0" fontId="2" fillId="2" borderId="5" xfId="0" applyFont="1" applyFill="1" applyBorder="1" applyAlignment="1">
      <alignment horizontal="center"/>
    </xf>
    <xf numFmtId="3" fontId="14" fillId="4" borderId="5" xfId="0" applyNumberFormat="1" applyFont="1" applyFill="1" applyBorder="1" applyAlignment="1">
      <alignment horizontal="center"/>
    </xf>
    <xf numFmtId="0" fontId="15" fillId="2" borderId="0" xfId="0" applyFont="1" applyFill="1" applyBorder="1" applyAlignment="1">
      <alignment horizontal="left" vertical="center"/>
    </xf>
    <xf numFmtId="3" fontId="2" fillId="2" borderId="0" xfId="0" applyNumberFormat="1" applyFont="1" applyFill="1" applyBorder="1" applyAlignment="1" applyProtection="1"/>
  </cellXfs>
  <cellStyles count="4">
    <cellStyle name="Comma" xfId="3" builtinId="3"/>
    <cellStyle name="Normal" xfId="0" builtinId="0"/>
    <cellStyle name="Normal 2" xfId="2" xr:uid="{00000000-0005-0000-0000-000002000000}"/>
    <cellStyle name="Percent" xfId="1" builtinId="5"/>
  </cellStyles>
  <dxfs count="1">
    <dxf>
      <fill>
        <patternFill>
          <bgColor rgb="FFFF5050"/>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11</xdr:col>
      <xdr:colOff>27646</xdr:colOff>
      <xdr:row>88</xdr:row>
      <xdr:rowOff>83634</xdr:rowOff>
    </xdr:from>
    <xdr:to>
      <xdr:col>14</xdr:col>
      <xdr:colOff>27646</xdr:colOff>
      <xdr:row>88</xdr:row>
      <xdr:rowOff>83634</xdr:rowOff>
    </xdr:to>
    <xdr:cxnSp macro="">
      <xdr:nvCxnSpPr>
        <xdr:cNvPr id="3" name="Straight Arrow Connector 2">
          <a:extLst>
            <a:ext uri="{FF2B5EF4-FFF2-40B4-BE49-F238E27FC236}">
              <a16:creationId xmlns:a16="http://schemas.microsoft.com/office/drawing/2014/main" id="{00000000-0008-0000-0000-000003000000}"/>
            </a:ext>
          </a:extLst>
        </xdr:cNvPr>
        <xdr:cNvCxnSpPr/>
      </xdr:nvCxnSpPr>
      <xdr:spPr>
        <a:xfrm>
          <a:off x="1627846" y="8608509"/>
          <a:ext cx="457200" cy="0"/>
        </a:xfrm>
        <a:prstGeom prst="straightConnector1">
          <a:avLst/>
        </a:prstGeom>
        <a:ln>
          <a:solidFill>
            <a:sysClr val="windowText" lastClr="000000"/>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34151</xdr:colOff>
      <xdr:row>90</xdr:row>
      <xdr:rowOff>85028</xdr:rowOff>
    </xdr:from>
    <xdr:to>
      <xdr:col>14</xdr:col>
      <xdr:colOff>34151</xdr:colOff>
      <xdr:row>90</xdr:row>
      <xdr:rowOff>85028</xdr:rowOff>
    </xdr:to>
    <xdr:cxnSp macro="">
      <xdr:nvCxnSpPr>
        <xdr:cNvPr id="5" name="Straight Arrow Connector 4">
          <a:extLst>
            <a:ext uri="{FF2B5EF4-FFF2-40B4-BE49-F238E27FC236}">
              <a16:creationId xmlns:a16="http://schemas.microsoft.com/office/drawing/2014/main" id="{00000000-0008-0000-0000-000005000000}"/>
            </a:ext>
          </a:extLst>
        </xdr:cNvPr>
        <xdr:cNvCxnSpPr/>
      </xdr:nvCxnSpPr>
      <xdr:spPr>
        <a:xfrm>
          <a:off x="1634351" y="8809928"/>
          <a:ext cx="457200" cy="0"/>
        </a:xfrm>
        <a:prstGeom prst="straightConnector1">
          <a:avLst/>
        </a:prstGeom>
        <a:ln>
          <a:solidFill>
            <a:sysClr val="windowText" lastClr="000000"/>
          </a:solidFill>
          <a:headEnd type="none"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157"/>
  <sheetViews>
    <sheetView showGridLines="0" tabSelected="1" zoomScaleNormal="100" zoomScaleSheetLayoutView="100" workbookViewId="0">
      <selection activeCell="AE6" sqref="AE6:BA6"/>
    </sheetView>
  </sheetViews>
  <sheetFormatPr defaultColWidth="2.28515625" defaultRowHeight="12" x14ac:dyDescent="0.2"/>
  <cols>
    <col min="1" max="1" width="1.140625" style="20" customWidth="1"/>
    <col min="2" max="9" width="2.28515625" style="20" customWidth="1"/>
    <col min="10" max="10" width="2.85546875" style="20" customWidth="1"/>
    <col min="11" max="30" width="2.28515625" style="20" customWidth="1"/>
    <col min="31" max="31" width="1.7109375" style="20" customWidth="1"/>
    <col min="32" max="53" width="2.28515625" style="20" customWidth="1"/>
    <col min="54" max="54" width="1.140625" style="20" customWidth="1"/>
    <col min="55" max="55" width="2.28515625" style="2" customWidth="1"/>
    <col min="56" max="56" width="38.7109375" style="2" hidden="1" customWidth="1"/>
    <col min="57" max="58" width="12.42578125" style="2" hidden="1" customWidth="1"/>
    <col min="59" max="59" width="15.85546875" style="2" hidden="1" customWidth="1"/>
    <col min="60" max="62" width="12.42578125" style="2" hidden="1" customWidth="1"/>
    <col min="63" max="63" width="8.7109375" style="2" hidden="1" customWidth="1"/>
    <col min="64" max="16384" width="2.28515625" style="2"/>
  </cols>
  <sheetData>
    <row r="1" spans="1:60" ht="15" x14ac:dyDescent="0.25">
      <c r="A1" s="162" t="s">
        <v>143</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3"/>
      <c r="AL1" s="163"/>
      <c r="AM1" s="163"/>
      <c r="AN1" s="163"/>
      <c r="AO1" s="163"/>
      <c r="AP1" s="163"/>
      <c r="AQ1" s="163"/>
      <c r="AR1" s="163"/>
      <c r="AS1" s="163"/>
      <c r="AT1" s="163"/>
      <c r="AU1" s="163"/>
      <c r="AV1" s="163"/>
      <c r="AW1" s="163"/>
      <c r="AX1" s="163"/>
      <c r="AY1" s="163"/>
      <c r="AZ1" s="163"/>
      <c r="BA1" s="163"/>
      <c r="BB1" s="164"/>
    </row>
    <row r="2" spans="1:60" ht="15" x14ac:dyDescent="0.25">
      <c r="A2" s="166">
        <v>44469</v>
      </c>
      <c r="B2" s="167"/>
      <c r="C2" s="167"/>
      <c r="D2" s="167"/>
      <c r="E2" s="167"/>
      <c r="F2" s="167"/>
      <c r="G2" s="167"/>
      <c r="H2" s="168" t="s">
        <v>144</v>
      </c>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T2" s="168"/>
      <c r="AU2" s="168"/>
      <c r="AV2" s="89"/>
      <c r="AW2" s="89"/>
      <c r="AX2" s="89"/>
      <c r="AY2" s="89"/>
      <c r="AZ2" s="89"/>
      <c r="BA2" s="89"/>
      <c r="BB2" s="90"/>
    </row>
    <row r="3" spans="1:60" ht="3.75" customHeight="1" x14ac:dyDescent="0.2">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5"/>
    </row>
    <row r="4" spans="1:60" x14ac:dyDescent="0.2">
      <c r="A4" s="6"/>
      <c r="B4" s="175" t="s">
        <v>132</v>
      </c>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c r="AL4" s="175"/>
      <c r="AM4" s="175"/>
      <c r="AN4" s="175"/>
      <c r="AO4" s="175"/>
      <c r="AP4" s="175"/>
      <c r="AQ4" s="175"/>
      <c r="AR4" s="175"/>
      <c r="AS4" s="175"/>
      <c r="AT4" s="175"/>
      <c r="AU4" s="175"/>
      <c r="AV4" s="175"/>
      <c r="AW4" s="175"/>
      <c r="AX4" s="175"/>
      <c r="AY4" s="175"/>
      <c r="AZ4" s="175"/>
      <c r="BA4" s="175"/>
      <c r="BB4" s="8"/>
    </row>
    <row r="5" spans="1:60" ht="3.75" customHeight="1" x14ac:dyDescent="0.2">
      <c r="A5" s="6"/>
      <c r="B5" s="175"/>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c r="AE5" s="175"/>
      <c r="AF5" s="175"/>
      <c r="AG5" s="175"/>
      <c r="AH5" s="175"/>
      <c r="AI5" s="175"/>
      <c r="AJ5" s="175"/>
      <c r="AK5" s="175"/>
      <c r="AL5" s="175"/>
      <c r="AM5" s="175"/>
      <c r="AN5" s="175"/>
      <c r="AO5" s="175"/>
      <c r="AP5" s="175"/>
      <c r="AQ5" s="175"/>
      <c r="AR5" s="175"/>
      <c r="AS5" s="175"/>
      <c r="AT5" s="175"/>
      <c r="AU5" s="175"/>
      <c r="AV5" s="175"/>
      <c r="AW5" s="175"/>
      <c r="AX5" s="175"/>
      <c r="AY5" s="175"/>
      <c r="AZ5" s="175"/>
      <c r="BA5" s="175"/>
      <c r="BB5" s="8"/>
    </row>
    <row r="6" spans="1:60" x14ac:dyDescent="0.2">
      <c r="A6" s="6"/>
      <c r="B6" s="7" t="s">
        <v>1</v>
      </c>
      <c r="C6" s="7"/>
      <c r="D6" s="7"/>
      <c r="E6" s="7"/>
      <c r="F6" s="7"/>
      <c r="G6" s="7"/>
      <c r="H6" s="7"/>
      <c r="I6" s="7"/>
      <c r="J6" s="7"/>
      <c r="K6" s="7"/>
      <c r="L6" s="7"/>
      <c r="M6" s="7"/>
      <c r="N6" s="7"/>
      <c r="O6" s="7"/>
      <c r="P6" s="7"/>
      <c r="Q6" s="7"/>
      <c r="R6" s="7"/>
      <c r="S6" s="7"/>
      <c r="T6" s="7"/>
      <c r="U6" s="7"/>
      <c r="V6" s="7"/>
      <c r="W6" s="7"/>
      <c r="X6" s="7"/>
      <c r="Y6" s="7"/>
      <c r="Z6" s="7"/>
      <c r="AA6" s="7"/>
      <c r="AB6" s="7"/>
      <c r="AC6" s="7"/>
      <c r="AD6" s="7"/>
      <c r="AE6" s="170"/>
      <c r="AF6" s="170"/>
      <c r="AG6" s="170"/>
      <c r="AH6" s="170"/>
      <c r="AI6" s="170"/>
      <c r="AJ6" s="170"/>
      <c r="AK6" s="170"/>
      <c r="AL6" s="170"/>
      <c r="AM6" s="170"/>
      <c r="AN6" s="170"/>
      <c r="AO6" s="170"/>
      <c r="AP6" s="170"/>
      <c r="AQ6" s="170"/>
      <c r="AR6" s="170"/>
      <c r="AS6" s="170"/>
      <c r="AT6" s="170"/>
      <c r="AU6" s="170"/>
      <c r="AV6" s="170"/>
      <c r="AW6" s="170"/>
      <c r="AX6" s="170"/>
      <c r="AY6" s="170"/>
      <c r="AZ6" s="170"/>
      <c r="BA6" s="170"/>
      <c r="BB6" s="8"/>
    </row>
    <row r="7" spans="1:60" ht="3.75" customHeight="1" x14ac:dyDescent="0.2">
      <c r="A7" s="6"/>
      <c r="B7" s="7"/>
      <c r="C7" s="7"/>
      <c r="D7" s="7"/>
      <c r="E7" s="7"/>
      <c r="F7" s="7"/>
      <c r="G7" s="7"/>
      <c r="H7" s="7"/>
      <c r="I7" s="7"/>
      <c r="J7" s="7"/>
      <c r="K7" s="7"/>
      <c r="L7" s="7"/>
      <c r="M7" s="7"/>
      <c r="N7" s="7"/>
      <c r="O7" s="7"/>
      <c r="P7" s="7"/>
      <c r="Q7" s="7"/>
      <c r="R7" s="7"/>
      <c r="S7" s="7"/>
      <c r="T7" s="7"/>
      <c r="U7" s="7"/>
      <c r="V7" s="7"/>
      <c r="W7" s="7"/>
      <c r="X7" s="7"/>
      <c r="Y7" s="7"/>
      <c r="Z7" s="7"/>
      <c r="AA7" s="7"/>
      <c r="AB7" s="7"/>
      <c r="AC7" s="7"/>
      <c r="AD7" s="7"/>
      <c r="AE7" s="9"/>
      <c r="AF7" s="9"/>
      <c r="AG7" s="9"/>
      <c r="AH7" s="9"/>
      <c r="AI7" s="9"/>
      <c r="AJ7" s="9"/>
      <c r="AK7" s="9"/>
      <c r="AL7" s="9"/>
      <c r="AM7" s="9"/>
      <c r="AN7" s="147" t="str">
        <f>IF(AE10&gt;10000,"The pre-sized approach is not applicable for projects exceeding 10,000 sf of new plus replaced hard surface.","")</f>
        <v/>
      </c>
      <c r="AO7" s="147"/>
      <c r="AP7" s="147"/>
      <c r="AQ7" s="147"/>
      <c r="AR7" s="147"/>
      <c r="AS7" s="147"/>
      <c r="AT7" s="147"/>
      <c r="AU7" s="147"/>
      <c r="AV7" s="147"/>
      <c r="AW7" s="147"/>
      <c r="AX7" s="147"/>
      <c r="AY7" s="147"/>
      <c r="AZ7" s="147"/>
      <c r="BA7" s="147"/>
      <c r="BB7" s="8"/>
    </row>
    <row r="8" spans="1:60" ht="12" customHeight="1" x14ac:dyDescent="0.2">
      <c r="A8" s="6"/>
      <c r="B8" s="91" t="s">
        <v>145</v>
      </c>
      <c r="C8" s="7"/>
      <c r="D8" s="7"/>
      <c r="E8" s="7"/>
      <c r="F8" s="7"/>
      <c r="G8" s="7"/>
      <c r="H8" s="7"/>
      <c r="I8" s="7"/>
      <c r="J8" s="7"/>
      <c r="K8" s="7"/>
      <c r="L8" s="7"/>
      <c r="M8" s="7"/>
      <c r="N8" s="7"/>
      <c r="O8" s="7"/>
      <c r="P8" s="7"/>
      <c r="Q8" s="7"/>
      <c r="R8" s="7"/>
      <c r="S8" s="7"/>
      <c r="T8" s="7"/>
      <c r="U8" s="7"/>
      <c r="V8" s="7"/>
      <c r="W8" s="7"/>
      <c r="X8" s="7"/>
      <c r="Y8" s="9"/>
      <c r="Z8" s="9"/>
      <c r="AA8" s="9"/>
      <c r="AB8" s="9"/>
      <c r="AC8" s="9"/>
      <c r="AD8" s="9"/>
      <c r="AE8" s="170"/>
      <c r="AF8" s="170"/>
      <c r="AG8" s="170"/>
      <c r="AH8" s="170"/>
      <c r="AI8" s="170"/>
      <c r="AJ8" s="170"/>
      <c r="AK8" s="170"/>
      <c r="AL8" s="170"/>
      <c r="AM8" s="9"/>
      <c r="AN8" s="148"/>
      <c r="AO8" s="148"/>
      <c r="AP8" s="148"/>
      <c r="AQ8" s="148"/>
      <c r="AR8" s="148"/>
      <c r="AS8" s="148"/>
      <c r="AT8" s="148"/>
      <c r="AU8" s="148"/>
      <c r="AV8" s="148"/>
      <c r="AW8" s="148"/>
      <c r="AX8" s="148"/>
      <c r="AY8" s="148"/>
      <c r="AZ8" s="148"/>
      <c r="BA8" s="148"/>
      <c r="BB8" s="55"/>
    </row>
    <row r="9" spans="1:60" ht="3.75" customHeight="1" x14ac:dyDescent="0.2">
      <c r="A9" s="6"/>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148"/>
      <c r="AO9" s="148"/>
      <c r="AP9" s="148"/>
      <c r="AQ9" s="148"/>
      <c r="AR9" s="148"/>
      <c r="AS9" s="148"/>
      <c r="AT9" s="148"/>
      <c r="AU9" s="148"/>
      <c r="AV9" s="148"/>
      <c r="AW9" s="148"/>
      <c r="AX9" s="148"/>
      <c r="AY9" s="148"/>
      <c r="AZ9" s="148"/>
      <c r="BA9" s="148"/>
      <c r="BB9" s="55"/>
    </row>
    <row r="10" spans="1:60" x14ac:dyDescent="0.2">
      <c r="A10" s="6"/>
      <c r="B10" s="7" t="s">
        <v>2</v>
      </c>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171"/>
      <c r="AF10" s="171"/>
      <c r="AG10" s="171"/>
      <c r="AH10" s="171"/>
      <c r="AI10" s="171"/>
      <c r="AJ10" s="171"/>
      <c r="AK10" s="171"/>
      <c r="AL10" s="171"/>
      <c r="AM10" s="7" t="s">
        <v>6</v>
      </c>
      <c r="AN10" s="148"/>
      <c r="AO10" s="148"/>
      <c r="AP10" s="148"/>
      <c r="AQ10" s="148"/>
      <c r="AR10" s="148"/>
      <c r="AS10" s="148"/>
      <c r="AT10" s="148"/>
      <c r="AU10" s="148"/>
      <c r="AV10" s="148"/>
      <c r="AW10" s="148"/>
      <c r="AX10" s="148"/>
      <c r="AY10" s="148"/>
      <c r="AZ10" s="148"/>
      <c r="BA10" s="148"/>
      <c r="BB10" s="55"/>
      <c r="BD10" s="53"/>
      <c r="BE10" s="53"/>
      <c r="BF10" s="53"/>
      <c r="BG10" s="53"/>
      <c r="BH10" s="53"/>
    </row>
    <row r="11" spans="1:60" ht="3.75" customHeight="1" x14ac:dyDescent="0.2">
      <c r="A11" s="6"/>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148"/>
      <c r="AO11" s="148"/>
      <c r="AP11" s="148"/>
      <c r="AQ11" s="148"/>
      <c r="AR11" s="148"/>
      <c r="AS11" s="148"/>
      <c r="AT11" s="148"/>
      <c r="AU11" s="148"/>
      <c r="AV11" s="148"/>
      <c r="AW11" s="148"/>
      <c r="AX11" s="148"/>
      <c r="AY11" s="148"/>
      <c r="AZ11" s="148"/>
      <c r="BA11" s="148"/>
      <c r="BB11" s="55"/>
    </row>
    <row r="12" spans="1:60" ht="24" customHeight="1" x14ac:dyDescent="0.2">
      <c r="A12" s="6"/>
      <c r="B12" s="7" t="s">
        <v>73</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144" t="str">
        <f>AT146</f>
        <v>No</v>
      </c>
      <c r="AF12" s="144"/>
      <c r="AG12" s="144"/>
      <c r="AH12" s="144"/>
      <c r="AI12" s="144"/>
      <c r="AJ12" s="144"/>
      <c r="AK12" s="144"/>
      <c r="AL12" s="144"/>
      <c r="AM12" s="7"/>
      <c r="AN12" s="148"/>
      <c r="AO12" s="148"/>
      <c r="AP12" s="148"/>
      <c r="AQ12" s="148"/>
      <c r="AR12" s="148"/>
      <c r="AS12" s="148"/>
      <c r="AT12" s="148"/>
      <c r="AU12" s="148"/>
      <c r="AV12" s="148"/>
      <c r="AW12" s="148"/>
      <c r="AX12" s="148"/>
      <c r="AY12" s="148"/>
      <c r="AZ12" s="148"/>
      <c r="BA12" s="148"/>
      <c r="BB12" s="55"/>
    </row>
    <row r="13" spans="1:60" ht="3.75" customHeight="1" x14ac:dyDescent="0.2">
      <c r="A13" s="10"/>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49"/>
      <c r="AO13" s="149"/>
      <c r="AP13" s="149"/>
      <c r="AQ13" s="149"/>
      <c r="AR13" s="149"/>
      <c r="AS13" s="149"/>
      <c r="AT13" s="149"/>
      <c r="AU13" s="149"/>
      <c r="AV13" s="149"/>
      <c r="AW13" s="149"/>
      <c r="AX13" s="149"/>
      <c r="AY13" s="149"/>
      <c r="AZ13" s="149"/>
      <c r="BA13" s="149"/>
      <c r="BB13" s="12"/>
    </row>
    <row r="14" spans="1:60" s="41" customFormat="1" x14ac:dyDescent="0.2">
      <c r="A14" s="92" t="s">
        <v>146</v>
      </c>
      <c r="B14" s="73"/>
      <c r="C14" s="73"/>
      <c r="D14" s="73"/>
      <c r="E14" s="73"/>
      <c r="F14" s="73"/>
      <c r="G14" s="73"/>
      <c r="H14" s="73"/>
      <c r="I14" s="73"/>
      <c r="J14" s="73"/>
      <c r="K14" s="73"/>
      <c r="L14" s="73"/>
      <c r="M14" s="73"/>
      <c r="N14" s="73"/>
      <c r="O14" s="73"/>
      <c r="P14" s="73"/>
      <c r="Q14" s="73"/>
      <c r="R14" s="73"/>
      <c r="S14" s="73"/>
      <c r="T14" s="150" t="s">
        <v>14</v>
      </c>
      <c r="U14" s="150"/>
      <c r="V14" s="150"/>
      <c r="W14" s="150"/>
      <c r="X14" s="150"/>
      <c r="Y14" s="150"/>
      <c r="Z14" s="150"/>
      <c r="AA14" s="150"/>
      <c r="AB14" s="150"/>
      <c r="AC14" s="150"/>
      <c r="AD14" s="150"/>
      <c r="AE14" s="73"/>
      <c r="AF14" s="73"/>
      <c r="AG14" s="73"/>
      <c r="AH14" s="151" t="s">
        <v>15</v>
      </c>
      <c r="AI14" s="151"/>
      <c r="AJ14" s="151"/>
      <c r="AK14" s="151"/>
      <c r="AL14" s="151"/>
      <c r="AM14" s="151"/>
      <c r="AN14" s="151"/>
      <c r="AO14" s="151"/>
      <c r="AP14" s="151"/>
      <c r="AQ14" s="151"/>
      <c r="AR14" s="151"/>
      <c r="AS14" s="73"/>
      <c r="AT14" s="73"/>
      <c r="AU14" s="73"/>
      <c r="AV14" s="151" t="s">
        <v>16</v>
      </c>
      <c r="AW14" s="151"/>
      <c r="AX14" s="151"/>
      <c r="AY14" s="151"/>
      <c r="AZ14" s="151"/>
      <c r="BA14" s="151"/>
      <c r="BB14" s="74"/>
    </row>
    <row r="15" spans="1:60" ht="3.75" customHeight="1" x14ac:dyDescent="0.2">
      <c r="A15" s="6"/>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8"/>
    </row>
    <row r="16" spans="1:60" x14ac:dyDescent="0.2">
      <c r="A16" s="6"/>
      <c r="B16" s="13" t="s">
        <v>10</v>
      </c>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8"/>
    </row>
    <row r="17" spans="1:60" ht="3.75" customHeight="1" x14ac:dyDescent="0.2">
      <c r="A17" s="6"/>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8"/>
    </row>
    <row r="18" spans="1:60" s="28" customFormat="1" x14ac:dyDescent="0.2">
      <c r="A18" s="21"/>
      <c r="B18" s="22"/>
      <c r="C18" s="14" t="s">
        <v>106</v>
      </c>
      <c r="D18" s="1"/>
      <c r="E18" s="22"/>
      <c r="F18" s="22"/>
      <c r="G18" s="22"/>
      <c r="H18" s="22"/>
      <c r="I18" s="24"/>
      <c r="J18" s="22"/>
      <c r="K18" s="22"/>
      <c r="L18" s="165" t="s">
        <v>108</v>
      </c>
      <c r="M18" s="165"/>
      <c r="N18" s="141"/>
      <c r="O18" s="141"/>
      <c r="P18" s="141"/>
      <c r="Q18" s="141"/>
      <c r="R18" s="25"/>
      <c r="S18" s="1" t="s">
        <v>19</v>
      </c>
      <c r="T18" s="22"/>
      <c r="U18" s="22"/>
      <c r="V18" s="25"/>
      <c r="W18" s="7"/>
      <c r="X18" s="25"/>
      <c r="Y18" s="7"/>
      <c r="Z18" s="141"/>
      <c r="AA18" s="141"/>
      <c r="AB18" s="141"/>
      <c r="AC18" s="141"/>
      <c r="AD18" s="22" t="s">
        <v>6</v>
      </c>
      <c r="AE18" s="25"/>
      <c r="AF18" s="26" t="s">
        <v>46</v>
      </c>
      <c r="AG18" s="25"/>
      <c r="AH18" s="173" t="str">
        <f>"20% Canopy or 100 sf / tree"&amp;IF(AND(N18="",Z18=""),""," = "&amp;TEXT(MAX(0.2*Z18,100*N18),"#,##0")&amp;" sf")</f>
        <v>20% Canopy or 100 sf / tree</v>
      </c>
      <c r="AI18" s="173"/>
      <c r="AJ18" s="173"/>
      <c r="AK18" s="173"/>
      <c r="AL18" s="173"/>
      <c r="AM18" s="173"/>
      <c r="AN18" s="173"/>
      <c r="AO18" s="173"/>
      <c r="AP18" s="173"/>
      <c r="AQ18" s="173"/>
      <c r="AR18" s="173"/>
      <c r="AS18" s="173"/>
      <c r="AT18" s="173"/>
      <c r="AU18" s="62"/>
      <c r="AV18" s="62"/>
      <c r="AW18" s="22"/>
      <c r="AX18" s="22"/>
      <c r="AY18" s="22"/>
      <c r="AZ18" s="22"/>
      <c r="BA18" s="22"/>
      <c r="BB18" s="27"/>
      <c r="BD18" s="2"/>
      <c r="BE18" s="2"/>
      <c r="BF18" s="2"/>
      <c r="BG18" s="2"/>
      <c r="BH18" s="2"/>
    </row>
    <row r="19" spans="1:60" ht="3.75" customHeight="1" x14ac:dyDescent="0.2">
      <c r="A19" s="6"/>
      <c r="B19" s="7"/>
      <c r="C19" s="14"/>
      <c r="D19" s="7"/>
      <c r="E19" s="7"/>
      <c r="F19" s="7"/>
      <c r="G19" s="7"/>
      <c r="H19" s="7"/>
      <c r="I19" s="7"/>
      <c r="J19" s="7"/>
      <c r="K19" s="7"/>
      <c r="L19" s="15"/>
      <c r="M19" s="7"/>
      <c r="N19" s="7"/>
      <c r="O19" s="15"/>
      <c r="P19" s="15"/>
      <c r="Q19" s="15"/>
      <c r="R19" s="15"/>
      <c r="S19" s="50"/>
      <c r="T19" s="7"/>
      <c r="U19" s="7"/>
      <c r="V19" s="15"/>
      <c r="W19" s="7"/>
      <c r="X19" s="15"/>
      <c r="Y19" s="7"/>
      <c r="Z19" s="7"/>
      <c r="AA19" s="7"/>
      <c r="AB19" s="7"/>
      <c r="AC19" s="7"/>
      <c r="AD19" s="7"/>
      <c r="AE19" s="15"/>
      <c r="AF19" s="16"/>
      <c r="AG19" s="15"/>
      <c r="AH19" s="9"/>
      <c r="AI19" s="9"/>
      <c r="AJ19" s="9"/>
      <c r="AK19" s="9"/>
      <c r="AL19" s="9"/>
      <c r="AM19" s="9"/>
      <c r="AN19" s="9"/>
      <c r="AO19" s="9"/>
      <c r="AP19" s="9"/>
      <c r="AQ19" s="9"/>
      <c r="AR19" s="9"/>
      <c r="AS19" s="9"/>
      <c r="AT19" s="9"/>
      <c r="AU19" s="7"/>
      <c r="AV19" s="62"/>
      <c r="AW19" s="22"/>
      <c r="AX19" s="22"/>
      <c r="AY19" s="22"/>
      <c r="AZ19" s="22"/>
      <c r="BA19" s="22"/>
      <c r="BB19" s="8"/>
    </row>
    <row r="20" spans="1:60" s="28" customFormat="1" x14ac:dyDescent="0.2">
      <c r="A20" s="21"/>
      <c r="B20" s="22"/>
      <c r="C20" s="14" t="s">
        <v>107</v>
      </c>
      <c r="D20" s="1"/>
      <c r="E20" s="22"/>
      <c r="F20" s="22"/>
      <c r="G20" s="22"/>
      <c r="H20" s="22"/>
      <c r="I20" s="24"/>
      <c r="J20" s="22"/>
      <c r="K20" s="22"/>
      <c r="L20" s="165" t="s">
        <v>108</v>
      </c>
      <c r="M20" s="165"/>
      <c r="N20" s="141"/>
      <c r="O20" s="141"/>
      <c r="P20" s="141"/>
      <c r="Q20" s="141"/>
      <c r="R20" s="25"/>
      <c r="S20" s="1" t="s">
        <v>19</v>
      </c>
      <c r="T20" s="22"/>
      <c r="U20" s="22"/>
      <c r="V20" s="25"/>
      <c r="W20" s="7"/>
      <c r="X20" s="25"/>
      <c r="Y20" s="7"/>
      <c r="Z20" s="141"/>
      <c r="AA20" s="141"/>
      <c r="AB20" s="141"/>
      <c r="AC20" s="141"/>
      <c r="AD20" s="22" t="s">
        <v>6</v>
      </c>
      <c r="AE20" s="25"/>
      <c r="AF20" s="26" t="s">
        <v>46</v>
      </c>
      <c r="AG20" s="25"/>
      <c r="AH20" s="173" t="str">
        <f>"10% Canopy or 50 sf / tree"&amp;IF(AND(N20="",Z20=""),""," = "&amp;TEXT(MAX(0.1*Z20,50*N20),"#,##0")&amp;" sf")</f>
        <v>10% Canopy or 50 sf / tree</v>
      </c>
      <c r="AI20" s="173"/>
      <c r="AJ20" s="173"/>
      <c r="AK20" s="173"/>
      <c r="AL20" s="173"/>
      <c r="AM20" s="173"/>
      <c r="AN20" s="173"/>
      <c r="AO20" s="173"/>
      <c r="AP20" s="173"/>
      <c r="AQ20" s="173"/>
      <c r="AR20" s="173"/>
      <c r="AS20" s="173"/>
      <c r="AT20" s="173"/>
      <c r="AU20" s="22"/>
      <c r="AV20" s="62"/>
      <c r="AW20" s="22"/>
      <c r="AX20" s="22"/>
      <c r="AY20" s="22"/>
      <c r="AZ20" s="22"/>
      <c r="BA20" s="22"/>
      <c r="BB20" s="27"/>
      <c r="BD20" s="2"/>
      <c r="BE20" s="2"/>
      <c r="BF20" s="2"/>
      <c r="BG20" s="2"/>
      <c r="BH20" s="2"/>
    </row>
    <row r="21" spans="1:60" ht="3.75" customHeight="1" x14ac:dyDescent="0.2">
      <c r="A21" s="6"/>
      <c r="B21" s="7"/>
      <c r="C21" s="7"/>
      <c r="D21" s="7"/>
      <c r="E21" s="7"/>
      <c r="F21" s="7"/>
      <c r="G21" s="7"/>
      <c r="H21" s="7"/>
      <c r="I21" s="7"/>
      <c r="J21" s="7"/>
      <c r="K21" s="7"/>
      <c r="L21" s="15"/>
      <c r="M21" s="7"/>
      <c r="N21" s="7"/>
      <c r="O21" s="15"/>
      <c r="P21" s="15"/>
      <c r="Q21" s="15"/>
      <c r="R21" s="15"/>
      <c r="S21" s="15"/>
      <c r="T21" s="50"/>
      <c r="U21" s="7"/>
      <c r="V21" s="7"/>
      <c r="W21" s="15"/>
      <c r="X21" s="7"/>
      <c r="Y21" s="7"/>
      <c r="Z21" s="7"/>
      <c r="AA21" s="7"/>
      <c r="AB21" s="7"/>
      <c r="AC21" s="7"/>
      <c r="AD21" s="7"/>
      <c r="AE21" s="15"/>
      <c r="AF21" s="7"/>
      <c r="AG21" s="15"/>
      <c r="AH21" s="7"/>
      <c r="AI21" s="7"/>
      <c r="AJ21" s="7"/>
      <c r="AK21" s="7"/>
      <c r="AL21" s="7"/>
      <c r="AM21" s="7"/>
      <c r="AN21" s="7"/>
      <c r="AO21" s="7"/>
      <c r="AP21" s="7"/>
      <c r="AQ21" s="7"/>
      <c r="AR21" s="7"/>
      <c r="AS21" s="7"/>
      <c r="AT21" s="17"/>
      <c r="AU21" s="7"/>
      <c r="AV21" s="62"/>
      <c r="AW21" s="22"/>
      <c r="AX21" s="22"/>
      <c r="AY21" s="22"/>
      <c r="AZ21" s="22"/>
      <c r="BA21" s="22"/>
      <c r="BB21" s="8"/>
    </row>
    <row r="22" spans="1:60" x14ac:dyDescent="0.2">
      <c r="A22" s="6"/>
      <c r="B22" s="13" t="s">
        <v>17</v>
      </c>
      <c r="C22" s="7"/>
      <c r="D22" s="7"/>
      <c r="E22" s="7"/>
      <c r="F22" s="7"/>
      <c r="G22" s="7"/>
      <c r="H22" s="7"/>
      <c r="I22" s="7"/>
      <c r="J22" s="7"/>
      <c r="K22" s="7"/>
      <c r="L22" s="15"/>
      <c r="M22" s="7"/>
      <c r="N22" s="7"/>
      <c r="O22" s="15"/>
      <c r="P22" s="15"/>
      <c r="Q22" s="15"/>
      <c r="R22" s="15"/>
      <c r="S22" s="15"/>
      <c r="T22" s="50"/>
      <c r="U22" s="7"/>
      <c r="V22" s="7"/>
      <c r="W22" s="15"/>
      <c r="X22" s="7"/>
      <c r="Y22" s="7"/>
      <c r="Z22" s="7"/>
      <c r="AA22" s="7"/>
      <c r="AB22" s="7"/>
      <c r="AC22" s="7"/>
      <c r="AD22" s="7"/>
      <c r="AE22" s="15"/>
      <c r="AF22" s="7"/>
      <c r="AG22" s="15"/>
      <c r="AH22" s="7"/>
      <c r="AI22" s="7"/>
      <c r="AJ22" s="7"/>
      <c r="AK22" s="7"/>
      <c r="AL22" s="7"/>
      <c r="AM22" s="7"/>
      <c r="AN22" s="7"/>
      <c r="AO22" s="7"/>
      <c r="AP22" s="7"/>
      <c r="AQ22" s="7"/>
      <c r="AR22" s="7"/>
      <c r="AS22" s="7"/>
      <c r="AT22" s="17"/>
      <c r="AU22" s="7"/>
      <c r="AV22" s="62"/>
      <c r="AW22" s="22"/>
      <c r="AX22" s="22"/>
      <c r="AY22" s="22"/>
      <c r="AZ22" s="22"/>
      <c r="BA22" s="22"/>
      <c r="BB22" s="8"/>
    </row>
    <row r="23" spans="1:60" ht="3.75" customHeight="1" x14ac:dyDescent="0.2">
      <c r="A23" s="6"/>
      <c r="B23" s="7"/>
      <c r="C23" s="7"/>
      <c r="D23" s="7"/>
      <c r="E23" s="7"/>
      <c r="F23" s="7"/>
      <c r="G23" s="7"/>
      <c r="H23" s="7"/>
      <c r="I23" s="7"/>
      <c r="J23" s="7"/>
      <c r="K23" s="7"/>
      <c r="L23" s="7"/>
      <c r="M23" s="7"/>
      <c r="N23" s="7"/>
      <c r="O23" s="15"/>
      <c r="P23" s="15"/>
      <c r="Q23" s="15"/>
      <c r="R23" s="15"/>
      <c r="S23" s="15"/>
      <c r="T23" s="50"/>
      <c r="U23" s="7"/>
      <c r="V23" s="7"/>
      <c r="W23" s="15"/>
      <c r="X23" s="7"/>
      <c r="Y23" s="7"/>
      <c r="Z23" s="7"/>
      <c r="AA23" s="7"/>
      <c r="AB23" s="7"/>
      <c r="AC23" s="7"/>
      <c r="AD23" s="7"/>
      <c r="AE23" s="15"/>
      <c r="AF23" s="7"/>
      <c r="AG23" s="15"/>
      <c r="AH23" s="7"/>
      <c r="AI23" s="7"/>
      <c r="AJ23" s="7"/>
      <c r="AK23" s="7"/>
      <c r="AL23" s="7"/>
      <c r="AM23" s="7"/>
      <c r="AN23" s="7"/>
      <c r="AO23" s="7"/>
      <c r="AP23" s="7"/>
      <c r="AQ23" s="7"/>
      <c r="AR23" s="7"/>
      <c r="AS23" s="7"/>
      <c r="AT23" s="17"/>
      <c r="AU23" s="7"/>
      <c r="AV23" s="62"/>
      <c r="AW23" s="22"/>
      <c r="AX23" s="22"/>
      <c r="AY23" s="22"/>
      <c r="AZ23" s="22"/>
      <c r="BA23" s="22"/>
      <c r="BB23" s="8"/>
    </row>
    <row r="24" spans="1:60" x14ac:dyDescent="0.2">
      <c r="A24" s="6"/>
      <c r="B24" s="7"/>
      <c r="C24" s="14" t="s">
        <v>11</v>
      </c>
      <c r="D24" s="7"/>
      <c r="E24" s="7"/>
      <c r="F24" s="7"/>
      <c r="G24" s="7"/>
      <c r="H24" s="7"/>
      <c r="I24" s="7"/>
      <c r="J24" s="22"/>
      <c r="K24" s="22"/>
      <c r="L24" s="7"/>
      <c r="M24" s="7"/>
      <c r="N24" s="7"/>
      <c r="O24" s="15"/>
      <c r="P24" s="15"/>
      <c r="Q24" s="15"/>
      <c r="R24" s="15"/>
      <c r="S24" s="1" t="s">
        <v>18</v>
      </c>
      <c r="T24" s="22"/>
      <c r="U24" s="24"/>
      <c r="V24" s="15"/>
      <c r="W24" s="24"/>
      <c r="X24" s="7"/>
      <c r="Y24" s="7"/>
      <c r="Z24" s="141"/>
      <c r="AA24" s="141"/>
      <c r="AB24" s="141"/>
      <c r="AC24" s="141"/>
      <c r="AD24" s="7"/>
      <c r="AE24" s="15"/>
      <c r="AF24" s="26" t="s">
        <v>46</v>
      </c>
      <c r="AG24" s="25"/>
      <c r="AH24" s="173" t="str">
        <f>"50 sf / tree"&amp;IF(Z24="",""," = "&amp;TEXT(Z24*50,"#,##0")&amp;" sf")</f>
        <v>50 sf / tree</v>
      </c>
      <c r="AI24" s="173"/>
      <c r="AJ24" s="173"/>
      <c r="AK24" s="173"/>
      <c r="AL24" s="173"/>
      <c r="AM24" s="173"/>
      <c r="AN24" s="173"/>
      <c r="AO24" s="173"/>
      <c r="AP24" s="173"/>
      <c r="AQ24" s="173"/>
      <c r="AR24" s="173"/>
      <c r="AS24" s="173"/>
      <c r="AT24" s="173"/>
      <c r="AU24" s="7"/>
      <c r="AV24" s="62"/>
      <c r="AW24" s="22"/>
      <c r="AX24" s="22"/>
      <c r="AY24" s="22"/>
      <c r="AZ24" s="22"/>
      <c r="BA24" s="22"/>
      <c r="BB24" s="8"/>
    </row>
    <row r="25" spans="1:60" ht="3.75" customHeight="1" x14ac:dyDescent="0.2">
      <c r="A25" s="6"/>
      <c r="B25" s="7"/>
      <c r="C25" s="14"/>
      <c r="D25" s="7"/>
      <c r="E25" s="7"/>
      <c r="F25" s="7"/>
      <c r="G25" s="7"/>
      <c r="H25" s="7"/>
      <c r="I25" s="7"/>
      <c r="J25" s="7"/>
      <c r="K25" s="7"/>
      <c r="L25" s="7"/>
      <c r="M25" s="7"/>
      <c r="N25" s="7"/>
      <c r="O25" s="15"/>
      <c r="P25" s="15"/>
      <c r="Q25" s="15"/>
      <c r="R25" s="15"/>
      <c r="S25" s="50"/>
      <c r="T25" s="7"/>
      <c r="U25" s="7"/>
      <c r="V25" s="15"/>
      <c r="W25" s="7"/>
      <c r="X25" s="7"/>
      <c r="Y25" s="7"/>
      <c r="Z25" s="7"/>
      <c r="AA25" s="7"/>
      <c r="AB25" s="7"/>
      <c r="AC25" s="7"/>
      <c r="AD25" s="7"/>
      <c r="AE25" s="15"/>
      <c r="AF25" s="16"/>
      <c r="AG25" s="15"/>
      <c r="AH25" s="7"/>
      <c r="AI25" s="7"/>
      <c r="AJ25" s="7"/>
      <c r="AK25" s="7"/>
      <c r="AL25" s="7"/>
      <c r="AM25" s="7"/>
      <c r="AN25" s="7"/>
      <c r="AO25" s="7"/>
      <c r="AP25" s="7"/>
      <c r="AQ25" s="7"/>
      <c r="AR25" s="7"/>
      <c r="AS25" s="7"/>
      <c r="AT25" s="17"/>
      <c r="AU25" s="7"/>
      <c r="AV25" s="7"/>
      <c r="AW25" s="7"/>
      <c r="AX25" s="7"/>
      <c r="AY25" s="7"/>
      <c r="AZ25" s="7"/>
      <c r="BA25" s="7"/>
      <c r="BB25" s="8"/>
    </row>
    <row r="26" spans="1:60" x14ac:dyDescent="0.2">
      <c r="A26" s="6"/>
      <c r="B26" s="7"/>
      <c r="C26" s="14" t="s">
        <v>12</v>
      </c>
      <c r="D26" s="7"/>
      <c r="E26" s="7"/>
      <c r="F26" s="7"/>
      <c r="G26" s="7"/>
      <c r="H26" s="7"/>
      <c r="I26" s="7"/>
      <c r="J26" s="22"/>
      <c r="K26" s="22"/>
      <c r="L26" s="7"/>
      <c r="M26" s="7"/>
      <c r="N26" s="7"/>
      <c r="O26" s="15"/>
      <c r="P26" s="15"/>
      <c r="Q26" s="15"/>
      <c r="R26" s="15"/>
      <c r="S26" s="1" t="s">
        <v>18</v>
      </c>
      <c r="T26" s="22"/>
      <c r="U26" s="24"/>
      <c r="V26" s="15"/>
      <c r="W26" s="24"/>
      <c r="X26" s="7"/>
      <c r="Y26" s="7"/>
      <c r="Z26" s="141"/>
      <c r="AA26" s="141"/>
      <c r="AB26" s="141"/>
      <c r="AC26" s="141"/>
      <c r="AD26" s="7"/>
      <c r="AE26" s="15"/>
      <c r="AF26" s="26" t="s">
        <v>46</v>
      </c>
      <c r="AG26" s="25"/>
      <c r="AH26" s="173" t="str">
        <f>"20 sf / tree"&amp;IF(Z26="",""," = "&amp;TEXT(Z26*20,"#,###0")&amp;" sf")</f>
        <v>20 sf / tree</v>
      </c>
      <c r="AI26" s="173"/>
      <c r="AJ26" s="173"/>
      <c r="AK26" s="173"/>
      <c r="AL26" s="173"/>
      <c r="AM26" s="173"/>
      <c r="AN26" s="173"/>
      <c r="AO26" s="173"/>
      <c r="AP26" s="173"/>
      <c r="AQ26" s="173"/>
      <c r="AR26" s="173"/>
      <c r="AS26" s="173"/>
      <c r="AT26" s="173"/>
      <c r="AU26" s="7"/>
      <c r="AV26" s="7"/>
      <c r="AW26" s="7"/>
      <c r="AX26" s="7"/>
      <c r="AY26" s="7"/>
      <c r="AZ26" s="7"/>
      <c r="BA26" s="7"/>
      <c r="BB26" s="8"/>
    </row>
    <row r="27" spans="1:60" x14ac:dyDescent="0.2">
      <c r="A27" s="6"/>
      <c r="B27" s="7"/>
      <c r="C27" s="169" t="str">
        <f>IF(OR(N18&gt;0,Z18&gt;0,N20&gt;0,Z20&gt;0,Z24&gt;0,Z26&gt;0),"Trees must be within 20 feet of ground level hard surfaces to be included for flow control credit. ","")&amp;IF(AV28=0.25*AE10,"Total tree credit for retained and newly planted trees shall not exceed ","")</f>
        <v/>
      </c>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69"/>
      <c r="AL27" s="169"/>
      <c r="AM27" s="169"/>
      <c r="AN27" s="169"/>
      <c r="AO27" s="169"/>
      <c r="AP27" s="169"/>
      <c r="AQ27" s="169"/>
      <c r="AR27" s="169"/>
      <c r="AS27" s="169"/>
      <c r="AT27" s="169"/>
      <c r="AU27" s="169"/>
      <c r="AV27" s="169"/>
      <c r="AW27" s="169"/>
      <c r="AX27" s="169"/>
      <c r="AY27" s="169"/>
      <c r="AZ27" s="169"/>
      <c r="BA27" s="169"/>
      <c r="BB27" s="8"/>
    </row>
    <row r="28" spans="1:60" x14ac:dyDescent="0.2">
      <c r="A28" s="6"/>
      <c r="B28" s="7"/>
      <c r="C28" s="113" t="str">
        <f>IF(AV28=0.25*AE10,"25 percent of the new plus replaced hard surface requiring mitigation","")</f>
        <v/>
      </c>
      <c r="D28" s="7"/>
      <c r="E28" s="7"/>
      <c r="F28" s="7"/>
      <c r="G28" s="7"/>
      <c r="H28" s="7"/>
      <c r="I28" s="7"/>
      <c r="J28" s="22"/>
      <c r="K28" s="22"/>
      <c r="L28" s="7"/>
      <c r="M28" s="7"/>
      <c r="N28" s="7"/>
      <c r="O28" s="15"/>
      <c r="P28" s="15"/>
      <c r="Q28" s="15"/>
      <c r="R28" s="15"/>
      <c r="S28" s="15"/>
      <c r="T28" s="1"/>
      <c r="U28" s="22"/>
      <c r="V28" s="24"/>
      <c r="W28" s="24"/>
      <c r="X28" s="24"/>
      <c r="Y28" s="24"/>
      <c r="Z28" s="24"/>
      <c r="AA28" s="24"/>
      <c r="AB28" s="24"/>
      <c r="AC28" s="24"/>
      <c r="AD28" s="24"/>
      <c r="AE28" s="24"/>
      <c r="AF28" s="57"/>
      <c r="AG28" s="25"/>
      <c r="AH28" s="165" t="s">
        <v>127</v>
      </c>
      <c r="AI28" s="165"/>
      <c r="AJ28" s="165"/>
      <c r="AK28" s="165"/>
      <c r="AL28" s="165"/>
      <c r="AM28" s="165"/>
      <c r="AN28" s="165"/>
      <c r="AO28" s="165"/>
      <c r="AP28" s="165"/>
      <c r="AQ28" s="165"/>
      <c r="AR28" s="165"/>
      <c r="AS28" s="63"/>
      <c r="AT28" s="57" t="str">
        <f>"="</f>
        <v>=</v>
      </c>
      <c r="AU28" s="22"/>
      <c r="AV28" s="142" t="str">
        <f>IF(OR(AE10="",AND(N18="",Z18="",N20="",Z20="",Z24="",Z26="")),"",MIN(0.25*AE10,MAX(0.2*Z18,100*N18)+MAX(0.1*Z20,50*N20)+Z24*50+Z26*20))</f>
        <v/>
      </c>
      <c r="AW28" s="142"/>
      <c r="AX28" s="142"/>
      <c r="AY28" s="142"/>
      <c r="AZ28" s="142"/>
      <c r="BA28" s="22" t="s">
        <v>6</v>
      </c>
      <c r="BB28" s="8"/>
    </row>
    <row r="29" spans="1:60" ht="3.75" customHeight="1" x14ac:dyDescent="0.2">
      <c r="A29" s="6"/>
      <c r="B29" s="7"/>
      <c r="C29" s="7"/>
      <c r="D29" s="7"/>
      <c r="E29" s="7"/>
      <c r="F29" s="7"/>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5"/>
    </row>
    <row r="30" spans="1:60" x14ac:dyDescent="0.2">
      <c r="A30" s="6"/>
      <c r="B30" s="13" t="s">
        <v>13</v>
      </c>
      <c r="C30" s="7"/>
      <c r="D30" s="7"/>
      <c r="E30" s="7"/>
      <c r="F30" s="7"/>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c r="AS30" s="64"/>
      <c r="AT30" s="64"/>
      <c r="AU30" s="64"/>
      <c r="AV30" s="64"/>
      <c r="AW30" s="64"/>
      <c r="AX30" s="64"/>
      <c r="AY30" s="64"/>
      <c r="AZ30" s="64"/>
      <c r="BA30" s="64"/>
      <c r="BB30" s="65"/>
    </row>
    <row r="31" spans="1:60" ht="3.75" customHeight="1" x14ac:dyDescent="0.2">
      <c r="A31" s="6"/>
      <c r="B31" s="7"/>
      <c r="C31" s="7"/>
      <c r="D31" s="7"/>
      <c r="E31" s="7"/>
      <c r="F31" s="7"/>
      <c r="G31" s="7"/>
      <c r="H31" s="7"/>
      <c r="I31" s="7"/>
      <c r="J31" s="7"/>
      <c r="K31" s="7"/>
      <c r="L31" s="7"/>
      <c r="M31" s="7"/>
      <c r="N31" s="7"/>
      <c r="O31" s="7"/>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5"/>
    </row>
    <row r="32" spans="1:60" x14ac:dyDescent="0.2">
      <c r="A32" s="6"/>
      <c r="B32" s="7"/>
      <c r="C32" s="14" t="s">
        <v>122</v>
      </c>
      <c r="D32" s="7"/>
      <c r="E32" s="7"/>
      <c r="F32" s="7"/>
      <c r="G32" s="7"/>
      <c r="H32" s="7"/>
      <c r="I32" s="7"/>
      <c r="J32" s="7"/>
      <c r="K32" s="7"/>
      <c r="L32" s="7"/>
      <c r="M32" s="7"/>
      <c r="N32" s="7"/>
      <c r="O32" s="7"/>
      <c r="P32" s="60" t="s">
        <v>123</v>
      </c>
      <c r="Q32" s="15"/>
      <c r="R32" s="7"/>
      <c r="S32" s="7"/>
      <c r="T32" s="7"/>
      <c r="U32" s="7"/>
      <c r="V32" s="7"/>
      <c r="W32" s="7"/>
      <c r="X32" s="15"/>
      <c r="Y32" s="7"/>
      <c r="Z32" s="141"/>
      <c r="AA32" s="141"/>
      <c r="AB32" s="141"/>
      <c r="AC32" s="141"/>
      <c r="AD32" s="22" t="s">
        <v>6</v>
      </c>
      <c r="AE32" s="25"/>
      <c r="AF32" s="56" t="s">
        <v>46</v>
      </c>
      <c r="AG32" s="25"/>
      <c r="AH32" s="143">
        <v>1</v>
      </c>
      <c r="AI32" s="143"/>
      <c r="AJ32" s="143"/>
      <c r="AK32" s="143"/>
      <c r="AL32" s="143"/>
      <c r="AM32" s="143"/>
      <c r="AN32" s="143"/>
      <c r="AO32" s="143"/>
      <c r="AP32" s="143"/>
      <c r="AQ32" s="143"/>
      <c r="AR32" s="143"/>
      <c r="AS32" s="22"/>
      <c r="AT32" s="56" t="str">
        <f>"="</f>
        <v>=</v>
      </c>
      <c r="AU32" s="22"/>
      <c r="AV32" s="142" t="str">
        <f>IFERROR(IF(Z32="","",Z32*AH32),"")</f>
        <v/>
      </c>
      <c r="AW32" s="142"/>
      <c r="AX32" s="142"/>
      <c r="AY32" s="142"/>
      <c r="AZ32" s="142"/>
      <c r="BA32" s="22" t="s">
        <v>6</v>
      </c>
      <c r="BB32" s="8"/>
    </row>
    <row r="33" spans="1:84" ht="22.5" customHeight="1" x14ac:dyDescent="0.2">
      <c r="A33" s="6"/>
      <c r="C33" s="153" t="str">
        <f>IF(Z32&gt;0,"Requirements for full dispersion are difficult to achieve (e.g., developments must preserve 65% of a site in a forested or native condition and limit the impervious site coverage to 10% in residential settings).","")</f>
        <v/>
      </c>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8"/>
    </row>
    <row r="34" spans="1:84" x14ac:dyDescent="0.2">
      <c r="A34" s="6"/>
      <c r="B34" s="7"/>
      <c r="C34" s="14" t="s">
        <v>124</v>
      </c>
      <c r="D34" s="7"/>
      <c r="E34" s="7"/>
      <c r="F34" s="7"/>
      <c r="G34" s="7"/>
      <c r="H34" s="7"/>
      <c r="I34" s="7"/>
      <c r="J34" s="7"/>
      <c r="K34" s="7"/>
      <c r="L34" s="7"/>
      <c r="M34" s="7"/>
      <c r="N34" s="7"/>
      <c r="O34" s="7"/>
      <c r="P34" s="7"/>
      <c r="Q34" s="15"/>
      <c r="R34" s="7"/>
      <c r="S34" s="7"/>
      <c r="T34" s="7"/>
      <c r="U34" s="7"/>
      <c r="V34" s="7"/>
      <c r="W34" s="7"/>
      <c r="X34" s="7"/>
      <c r="Y34" s="7"/>
      <c r="Z34" s="7"/>
      <c r="AA34" s="7"/>
      <c r="AB34" s="7"/>
      <c r="AC34" s="7"/>
      <c r="AD34" s="7"/>
      <c r="AE34" s="15"/>
      <c r="AF34" s="7"/>
      <c r="AG34" s="15"/>
      <c r="AH34" s="7"/>
      <c r="AI34" s="7"/>
      <c r="AJ34" s="7"/>
      <c r="AK34" s="7"/>
      <c r="AL34" s="7"/>
      <c r="AM34" s="7"/>
      <c r="AN34" s="7"/>
      <c r="AO34" s="7"/>
      <c r="AP34" s="7"/>
      <c r="AQ34" s="7"/>
      <c r="AR34" s="7"/>
      <c r="AS34" s="7"/>
      <c r="AT34" s="17"/>
      <c r="AU34" s="7"/>
      <c r="AV34" s="7"/>
      <c r="AW34" s="7"/>
      <c r="AX34" s="7"/>
      <c r="AY34" s="7"/>
      <c r="AZ34" s="7"/>
      <c r="BA34" s="7"/>
      <c r="BB34" s="8"/>
    </row>
    <row r="35" spans="1:84" ht="3.75" customHeight="1" x14ac:dyDescent="0.2">
      <c r="A35" s="6"/>
      <c r="B35" s="7"/>
      <c r="C35" s="7"/>
      <c r="D35" s="7"/>
      <c r="E35" s="7"/>
      <c r="F35" s="7"/>
      <c r="G35" s="7"/>
      <c r="H35" s="7"/>
      <c r="I35" s="7"/>
      <c r="J35" s="7"/>
      <c r="K35" s="7"/>
      <c r="L35" s="7"/>
      <c r="M35" s="7"/>
      <c r="N35" s="7"/>
      <c r="O35" s="7"/>
      <c r="P35" s="7"/>
      <c r="Q35" s="15"/>
      <c r="R35" s="7"/>
      <c r="S35" s="7"/>
      <c r="T35" s="7"/>
      <c r="U35" s="7"/>
      <c r="V35" s="7"/>
      <c r="W35" s="7"/>
      <c r="X35" s="7"/>
      <c r="Y35" s="7"/>
      <c r="Z35" s="7"/>
      <c r="AA35" s="7"/>
      <c r="AB35" s="7"/>
      <c r="AC35" s="7"/>
      <c r="AD35" s="7"/>
      <c r="AE35" s="15"/>
      <c r="AF35" s="7"/>
      <c r="AG35" s="15"/>
      <c r="AH35" s="7"/>
      <c r="AI35" s="7"/>
      <c r="AJ35" s="7"/>
      <c r="AK35" s="7"/>
      <c r="AL35" s="7"/>
      <c r="AM35" s="7"/>
      <c r="AN35" s="7"/>
      <c r="AO35" s="7"/>
      <c r="AP35" s="7"/>
      <c r="AQ35" s="7"/>
      <c r="AR35" s="7"/>
      <c r="AS35" s="7"/>
      <c r="AT35" s="17"/>
      <c r="AU35" s="7"/>
      <c r="AV35" s="7"/>
      <c r="AW35" s="7"/>
      <c r="AX35" s="7"/>
      <c r="AY35" s="7"/>
      <c r="AZ35" s="7"/>
      <c r="BA35" s="7"/>
      <c r="BB35" s="8"/>
    </row>
    <row r="36" spans="1:84" s="28" customFormat="1" x14ac:dyDescent="0.2">
      <c r="A36" s="21"/>
      <c r="B36" s="22"/>
      <c r="C36" s="22"/>
      <c r="D36" s="22"/>
      <c r="E36" s="22"/>
      <c r="F36" s="22"/>
      <c r="G36" s="22"/>
      <c r="H36" s="22"/>
      <c r="I36" s="22"/>
      <c r="J36" s="22"/>
      <c r="K36" s="22"/>
      <c r="L36" s="22"/>
      <c r="M36" s="22"/>
      <c r="N36" s="22"/>
      <c r="O36" s="1"/>
      <c r="P36" s="1" t="s">
        <v>45</v>
      </c>
      <c r="Q36" s="25"/>
      <c r="R36" s="22"/>
      <c r="S36" s="22"/>
      <c r="T36" s="22"/>
      <c r="U36" s="22"/>
      <c r="V36" s="22"/>
      <c r="W36" s="22"/>
      <c r="X36" s="25"/>
      <c r="Y36" s="24"/>
      <c r="Z36" s="141"/>
      <c r="AA36" s="141"/>
      <c r="AB36" s="141"/>
      <c r="AC36" s="141"/>
      <c r="AD36" s="22" t="s">
        <v>6</v>
      </c>
      <c r="AE36" s="25"/>
      <c r="AF36" s="26" t="s">
        <v>46</v>
      </c>
      <c r="AG36" s="25"/>
      <c r="AH36" s="143" t="str">
        <f>IF(Standard="Pre-developed Pasture Standard",0.74,IF(Standard="Peak Control Standard",0.76,IF(Standard="Pre-developed Pasture and Peak Control Standards",0.74,"Select flow control standard")))</f>
        <v>Select flow control standard</v>
      </c>
      <c r="AI36" s="143"/>
      <c r="AJ36" s="143"/>
      <c r="AK36" s="143"/>
      <c r="AL36" s="143"/>
      <c r="AM36" s="143"/>
      <c r="AN36" s="143"/>
      <c r="AO36" s="143"/>
      <c r="AP36" s="143"/>
      <c r="AQ36" s="143"/>
      <c r="AR36" s="143"/>
      <c r="AS36" s="22"/>
      <c r="AT36" s="26" t="str">
        <f>"="</f>
        <v>=</v>
      </c>
      <c r="AU36" s="22"/>
      <c r="AV36" s="142" t="str">
        <f>IFERROR(IF(Z36="","",Z36*AH36),"")</f>
        <v/>
      </c>
      <c r="AW36" s="142"/>
      <c r="AX36" s="142"/>
      <c r="AY36" s="142"/>
      <c r="AZ36" s="142"/>
      <c r="BA36" s="22" t="s">
        <v>6</v>
      </c>
      <c r="BB36" s="27"/>
      <c r="BQ36" s="2"/>
      <c r="BR36" s="2"/>
      <c r="BS36" s="2"/>
      <c r="BT36" s="2"/>
      <c r="BU36" s="2"/>
      <c r="BV36" s="2"/>
      <c r="BW36" s="2"/>
      <c r="BX36" s="2"/>
      <c r="BY36" s="2"/>
      <c r="BZ36" s="2"/>
      <c r="CA36" s="2"/>
      <c r="CB36" s="2"/>
      <c r="CC36" s="2"/>
      <c r="CD36" s="2"/>
      <c r="CE36" s="2"/>
      <c r="CF36" s="2"/>
    </row>
    <row r="37" spans="1:84" ht="3.75" customHeight="1" x14ac:dyDescent="0.2">
      <c r="A37" s="6"/>
      <c r="B37" s="7"/>
      <c r="C37" s="14"/>
      <c r="D37" s="7"/>
      <c r="E37" s="7"/>
      <c r="F37" s="7"/>
      <c r="G37" s="7"/>
      <c r="H37" s="7"/>
      <c r="I37" s="7"/>
      <c r="J37" s="7"/>
      <c r="K37" s="7"/>
      <c r="L37" s="7"/>
      <c r="M37" s="7"/>
      <c r="N37" s="7"/>
      <c r="O37" s="7"/>
      <c r="P37" s="7"/>
      <c r="Q37" s="15"/>
      <c r="R37" s="7"/>
      <c r="S37" s="7"/>
      <c r="T37" s="7"/>
      <c r="U37" s="7"/>
      <c r="V37" s="7"/>
      <c r="W37" s="7"/>
      <c r="X37" s="7"/>
      <c r="Y37" s="7"/>
      <c r="Z37" s="7"/>
      <c r="AA37" s="7"/>
      <c r="AB37" s="7"/>
      <c r="AC37" s="7"/>
      <c r="AD37" s="7"/>
      <c r="AE37" s="15"/>
      <c r="AF37" s="7"/>
      <c r="AG37" s="15"/>
      <c r="AH37" s="7"/>
      <c r="AI37" s="7"/>
      <c r="AJ37" s="7"/>
      <c r="AK37" s="7"/>
      <c r="AL37" s="7"/>
      <c r="AM37" s="7"/>
      <c r="AN37" s="7"/>
      <c r="AO37" s="7"/>
      <c r="AP37" s="7"/>
      <c r="AQ37" s="7"/>
      <c r="AR37" s="7"/>
      <c r="AS37" s="7"/>
      <c r="AT37" s="17"/>
      <c r="AU37" s="7"/>
      <c r="AV37" s="7"/>
      <c r="AW37" s="7"/>
      <c r="AX37" s="7"/>
      <c r="AY37" s="7"/>
      <c r="AZ37" s="7"/>
      <c r="BA37" s="7"/>
      <c r="BB37" s="8"/>
    </row>
    <row r="38" spans="1:84" s="41" customFormat="1" x14ac:dyDescent="0.2">
      <c r="A38" s="93" t="s">
        <v>147</v>
      </c>
      <c r="B38" s="75"/>
      <c r="C38" s="75"/>
      <c r="D38" s="75"/>
      <c r="E38" s="75"/>
      <c r="F38" s="75"/>
      <c r="G38" s="75"/>
      <c r="H38" s="75"/>
      <c r="I38" s="75"/>
      <c r="J38" s="75"/>
      <c r="K38" s="75"/>
      <c r="L38" s="75"/>
      <c r="M38" s="75"/>
      <c r="N38" s="75"/>
      <c r="O38" s="75"/>
      <c r="P38" s="75"/>
      <c r="Q38" s="84"/>
      <c r="R38" s="84"/>
      <c r="S38" s="84"/>
      <c r="T38" s="84"/>
      <c r="U38" s="84"/>
      <c r="V38" s="84"/>
      <c r="W38" s="84"/>
      <c r="X38" s="84" t="s">
        <v>14</v>
      </c>
      <c r="Y38" s="84"/>
      <c r="Z38" s="84"/>
      <c r="AA38" s="84"/>
      <c r="AB38" s="84"/>
      <c r="AC38" s="84"/>
      <c r="AD38" s="84"/>
      <c r="AE38" s="75"/>
      <c r="AF38" s="75"/>
      <c r="AG38" s="75"/>
      <c r="AH38" s="151" t="s">
        <v>20</v>
      </c>
      <c r="AI38" s="151"/>
      <c r="AJ38" s="151"/>
      <c r="AK38" s="151"/>
      <c r="AL38" s="151"/>
      <c r="AM38" s="151"/>
      <c r="AN38" s="151"/>
      <c r="AO38" s="151"/>
      <c r="AP38" s="151"/>
      <c r="AQ38" s="151"/>
      <c r="AR38" s="151"/>
      <c r="AS38" s="75"/>
      <c r="AT38" s="75"/>
      <c r="AU38" s="75"/>
      <c r="AV38" s="151" t="s">
        <v>16</v>
      </c>
      <c r="AW38" s="151"/>
      <c r="AX38" s="151"/>
      <c r="AY38" s="151"/>
      <c r="AZ38" s="151"/>
      <c r="BA38" s="151"/>
      <c r="BB38" s="76"/>
      <c r="BD38" s="58"/>
    </row>
    <row r="39" spans="1:84" ht="3.75" customHeight="1" x14ac:dyDescent="0.2">
      <c r="A39" s="6"/>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8"/>
    </row>
    <row r="40" spans="1:84" x14ac:dyDescent="0.2">
      <c r="A40" s="6"/>
      <c r="B40" s="13" t="s">
        <v>24</v>
      </c>
      <c r="C40" s="14"/>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8"/>
    </row>
    <row r="41" spans="1:84" ht="3.75" customHeight="1" x14ac:dyDescent="0.2">
      <c r="A41" s="6"/>
      <c r="B41" s="14"/>
      <c r="C41" s="14"/>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145" t="str">
        <f>IF(Standard="","Select flow control standard",IF(K44="","Enter contributing area",IF(K46="","Select ponding depth",IF(K48="","Select infiltration rate",IF(K50="","Select sideslopes",
IF(Standard="Pre-Developed Pasture Standard", IFERROR(BG46,BI46),
IF(Standard="Peak Control Standard", IFERROR(BG48,BI48),
IF(Standard="Pre-developed Pasture and Peak Control Standards", IFERROR(IF($BH$46&lt;$BH$48,$BG$46,$BG$48),$BI$48), "Select flow control standard."))))))))</f>
        <v>Select flow control standard</v>
      </c>
      <c r="AI41" s="145"/>
      <c r="AJ41" s="145"/>
      <c r="AK41" s="145"/>
      <c r="AL41" s="145"/>
      <c r="AM41" s="145"/>
      <c r="AN41" s="145"/>
      <c r="AO41" s="145"/>
      <c r="AP41" s="145"/>
      <c r="AQ41" s="145"/>
      <c r="AR41" s="145"/>
      <c r="AS41" s="7"/>
      <c r="AT41" s="7"/>
      <c r="AU41" s="7"/>
      <c r="AV41" s="7"/>
      <c r="AW41" s="7"/>
      <c r="AX41" s="7"/>
      <c r="AY41" s="7"/>
      <c r="AZ41" s="7"/>
      <c r="BA41" s="7"/>
      <c r="BB41" s="8"/>
    </row>
    <row r="42" spans="1:84" ht="12" customHeight="1" x14ac:dyDescent="0.2">
      <c r="A42" s="6"/>
      <c r="B42" s="14"/>
      <c r="C42" s="83" t="s">
        <v>121</v>
      </c>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145"/>
      <c r="AI42" s="145"/>
      <c r="AJ42" s="145"/>
      <c r="AK42" s="145"/>
      <c r="AL42" s="145"/>
      <c r="AM42" s="145"/>
      <c r="AN42" s="145"/>
      <c r="AO42" s="145"/>
      <c r="AP42" s="145"/>
      <c r="AQ42" s="145"/>
      <c r="AR42" s="145"/>
      <c r="AS42" s="7"/>
      <c r="AT42" s="7"/>
      <c r="AU42" s="7"/>
      <c r="AV42" s="7"/>
      <c r="AW42" s="7"/>
      <c r="AX42" s="7"/>
      <c r="AY42" s="7"/>
      <c r="AZ42" s="7"/>
      <c r="BA42" s="7"/>
      <c r="BB42" s="8"/>
      <c r="BD42" s="41" t="str">
        <f>C42</f>
        <v>Bioretention without Underdrain</v>
      </c>
      <c r="BE42" s="28"/>
      <c r="BF42" s="28"/>
      <c r="BG42" s="28"/>
      <c r="BH42" s="28"/>
      <c r="BI42" s="28"/>
    </row>
    <row r="43" spans="1:84" ht="3.75" customHeight="1" x14ac:dyDescent="0.2">
      <c r="A43" s="6"/>
      <c r="B43" s="14"/>
      <c r="C43" s="14"/>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145"/>
      <c r="AI43" s="145"/>
      <c r="AJ43" s="145"/>
      <c r="AK43" s="145"/>
      <c r="AL43" s="145"/>
      <c r="AM43" s="145"/>
      <c r="AN43" s="145"/>
      <c r="AO43" s="145"/>
      <c r="AP43" s="145"/>
      <c r="AQ43" s="145"/>
      <c r="AR43" s="145"/>
      <c r="AS43" s="7"/>
      <c r="AT43" s="7"/>
      <c r="AU43" s="7"/>
      <c r="AV43" s="7"/>
      <c r="AW43" s="7"/>
      <c r="AX43" s="7"/>
      <c r="AY43" s="7"/>
      <c r="AZ43" s="7"/>
      <c r="BA43" s="7"/>
      <c r="BB43" s="8"/>
      <c r="BD43" s="28"/>
      <c r="BE43" s="28"/>
      <c r="BF43" s="28"/>
      <c r="BG43" s="28"/>
      <c r="BH43" s="28"/>
      <c r="BI43" s="28"/>
    </row>
    <row r="44" spans="1:84" s="28" customFormat="1" x14ac:dyDescent="0.2">
      <c r="A44" s="21"/>
      <c r="B44" s="23"/>
      <c r="C44" s="23"/>
      <c r="D44" s="94" t="s">
        <v>21</v>
      </c>
      <c r="E44" s="94"/>
      <c r="F44" s="22"/>
      <c r="G44" s="22"/>
      <c r="H44" s="22"/>
      <c r="I44" s="22"/>
      <c r="J44" s="22"/>
      <c r="K44" s="141"/>
      <c r="L44" s="141"/>
      <c r="M44" s="141"/>
      <c r="N44" s="141"/>
      <c r="O44" s="22" t="s">
        <v>6</v>
      </c>
      <c r="P44" s="22"/>
      <c r="Q44" s="1" t="s">
        <v>47</v>
      </c>
      <c r="R44" s="22"/>
      <c r="S44" s="22"/>
      <c r="T44" s="22"/>
      <c r="U44" s="22"/>
      <c r="V44" s="25"/>
      <c r="W44" s="25"/>
      <c r="X44" s="25"/>
      <c r="Y44" s="24" t="str">
        <f>IFERROR(IF(AND(AH41=BG46,BF46&gt;0),"[ ",""),"")</f>
        <v/>
      </c>
      <c r="Z44" s="141"/>
      <c r="AA44" s="141"/>
      <c r="AB44" s="141"/>
      <c r="AC44" s="141"/>
      <c r="AD44" s="22" t="s">
        <v>6</v>
      </c>
      <c r="AE44" s="22"/>
      <c r="AF44" s="51" t="str">
        <f>IFERROR(IF(AND(AH41=BG46,BF46&lt;&gt;0),IF(BF46&gt;0,"-","+"),"÷"),":")</f>
        <v>:</v>
      </c>
      <c r="AG44" s="22"/>
      <c r="AH44" s="146"/>
      <c r="AI44" s="146"/>
      <c r="AJ44" s="146"/>
      <c r="AK44" s="146"/>
      <c r="AL44" s="146"/>
      <c r="AM44" s="146"/>
      <c r="AN44" s="146"/>
      <c r="AO44" s="146"/>
      <c r="AP44" s="146"/>
      <c r="AQ44" s="146"/>
      <c r="AR44" s="146"/>
      <c r="AS44" s="22"/>
      <c r="AT44" s="26" t="s">
        <v>114</v>
      </c>
      <c r="AU44" s="22"/>
      <c r="AV44" s="142" t="str">
        <f>IF(K44="","",IFERROR(IF(Standard="Pre-Developed Pasture Standard",MIN(K44,BH46),IF(Standard="Peak Control Standard",MIN(K44,BH48),IF(Standard="Pre-Developed Pasture and Peak Control Standards",MIN(K44,BH46,BH48),""))),""))</f>
        <v/>
      </c>
      <c r="AW44" s="142"/>
      <c r="AX44" s="142"/>
      <c r="AY44" s="142"/>
      <c r="AZ44" s="142"/>
      <c r="BA44" s="22" t="s">
        <v>6</v>
      </c>
      <c r="BB44" s="27"/>
      <c r="BD44" s="28" t="s">
        <v>85</v>
      </c>
      <c r="BE44" s="42" t="s">
        <v>79</v>
      </c>
      <c r="BF44" s="42" t="s">
        <v>80</v>
      </c>
      <c r="BG44" s="42" t="s">
        <v>84</v>
      </c>
      <c r="BH44" s="42" t="s">
        <v>16</v>
      </c>
      <c r="BI44" s="42" t="s">
        <v>87</v>
      </c>
      <c r="BJ44" s="2"/>
      <c r="BK44" s="2"/>
      <c r="BL44" s="2"/>
      <c r="BM44" s="2"/>
      <c r="BN44" s="2"/>
      <c r="BO44" s="2"/>
      <c r="BP44" s="2"/>
      <c r="BQ44" s="2"/>
      <c r="BR44" s="2"/>
      <c r="BS44" s="2"/>
      <c r="BT44" s="2"/>
      <c r="BU44" s="2"/>
      <c r="BV44" s="2"/>
      <c r="BW44" s="2"/>
      <c r="BX44" s="2"/>
      <c r="BY44" s="2"/>
      <c r="BZ44" s="2"/>
      <c r="CA44" s="2"/>
      <c r="CB44" s="2"/>
      <c r="CC44" s="2"/>
      <c r="CD44" s="2"/>
      <c r="CE44" s="2"/>
      <c r="CF44" s="2"/>
    </row>
    <row r="45" spans="1:84" ht="3.75" customHeight="1" x14ac:dyDescent="0.2">
      <c r="A45" s="6"/>
      <c r="B45" s="14"/>
      <c r="C45" s="14"/>
      <c r="D45" s="91"/>
      <c r="E45" s="91"/>
      <c r="F45" s="7"/>
      <c r="G45" s="7"/>
      <c r="H45" s="7"/>
      <c r="I45" s="7"/>
      <c r="J45" s="7"/>
      <c r="K45" s="7"/>
      <c r="L45" s="7"/>
      <c r="M45" s="7"/>
      <c r="N45" s="7"/>
      <c r="O45" s="7"/>
      <c r="P45" s="7"/>
      <c r="Q45" s="9"/>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8"/>
      <c r="BD45" s="28"/>
      <c r="BE45" s="28"/>
      <c r="BF45" s="28"/>
      <c r="BG45" s="28"/>
      <c r="BH45" s="28"/>
      <c r="BI45" s="28"/>
    </row>
    <row r="46" spans="1:84" s="28" customFormat="1" x14ac:dyDescent="0.2">
      <c r="A46" s="21"/>
      <c r="B46" s="23"/>
      <c r="C46" s="23"/>
      <c r="D46" s="94" t="s">
        <v>22</v>
      </c>
      <c r="E46" s="94"/>
      <c r="F46" s="22"/>
      <c r="G46" s="22"/>
      <c r="H46" s="22"/>
      <c r="I46" s="22"/>
      <c r="J46" s="22"/>
      <c r="K46" s="159"/>
      <c r="L46" s="159"/>
      <c r="M46" s="159"/>
      <c r="N46" s="159"/>
      <c r="O46" s="22" t="s">
        <v>48</v>
      </c>
      <c r="P46" s="22"/>
      <c r="Q46" s="169" t="str">
        <f>IF(K44="","",IFERROR(
IF(Standard="Pre-Developed Pasture Standard",
IF(Z44&gt;ROUNDUP(K44*BE46+BF46,0),"Bioretention facility can be reduced to "&amp;TEXT(ROUNDUP(K44*BE46+BF46,0),"#,##0")&amp; " sf",
IF(Z44&lt;ROUNDUP(K44*BE46+BF46,0), "Bioretention facility to fully manage area is "&amp;TEXT(ROUNDUP(K44*BE46+BF46,0),"#,##0")&amp; " sf","")),
IF(Standard="Peak Control Standard",
IF(Z44&gt;ROUNDUP(K44*BE48+BF48,0),"Bioretention facility can be reduced to "&amp;TEXT(ROUNDUP(K44*BE48+BF48,0),"#,##0")&amp;" sf",
IF(Z44&lt;ROUNDUP(K44*BE48+BF48,0),"Bioretention facility to fully manage area is  "&amp;TEXT(ROUNDUP(K44*BE48+BF48,0),"#,##0")&amp;" sf","")),
IF(Standard="Pre-developed Pasture and Peak Control Standards",
IF(Z44&gt;ROUNDUP(MAX(K44*BE46+BF46,K44*BE48+BF48),0),"Bioretention facility can be reduced to "&amp;TEXT(ROUNDUP(MAX(K44*BE46+BF46,K44*BE48+BF48),0),"#,##0")&amp;" sf",
IF(Z44&lt;ROUNDUP(MAX(K44*BE46+BF46,K44*BE48+BF48),0),"Bioretention facility to fully manage area is "&amp;TEXT(ROUNDUP(MAX(K44*BE46+BF46,K44*BE48+BF48),0),"#,##0")&amp;" sf","")),""))),""))</f>
        <v/>
      </c>
      <c r="R46" s="169"/>
      <c r="S46" s="169"/>
      <c r="T46" s="169"/>
      <c r="U46" s="169"/>
      <c r="V46" s="169"/>
      <c r="W46" s="169"/>
      <c r="X46" s="169"/>
      <c r="Y46" s="169"/>
      <c r="Z46" s="169"/>
      <c r="AA46" s="169"/>
      <c r="AB46" s="169"/>
      <c r="AC46" s="169"/>
      <c r="AD46" s="169"/>
      <c r="AE46" s="169"/>
      <c r="AF46" s="169"/>
      <c r="AG46" s="169"/>
      <c r="AH46" s="169"/>
      <c r="AI46" s="169"/>
      <c r="AJ46" s="169"/>
      <c r="AK46" s="169"/>
      <c r="AL46" s="169"/>
      <c r="AM46" s="169"/>
      <c r="AN46" s="169"/>
      <c r="AO46" s="169"/>
      <c r="AP46" s="169"/>
      <c r="AQ46" s="169"/>
      <c r="AR46" s="169"/>
      <c r="AS46" s="169"/>
      <c r="AT46" s="169"/>
      <c r="AU46" s="169"/>
      <c r="AV46" s="169"/>
      <c r="AW46" s="169"/>
      <c r="AX46" s="169"/>
      <c r="AY46" s="169"/>
      <c r="AZ46" s="169"/>
      <c r="BA46" s="22"/>
      <c r="BB46" s="27"/>
      <c r="BD46" s="28" t="s">
        <v>8</v>
      </c>
      <c r="BE46" s="42" t="e">
        <f>INDEX('Sizing Factors'!$H:$H,MATCH(C42&amp;K50&amp;K46&amp;K48&amp;IF(K44&lt;=2000,"02000",IF(K44&lt;=10000,"200010000","x"))&amp;$BD$46,'Sizing Factors'!$L:$L,0))</f>
        <v>#N/A</v>
      </c>
      <c r="BF46" s="42" t="e">
        <f>INDEX('Sizing Factors'!$I:$I,MATCH(C42&amp;K50&amp;K46&amp;K48&amp;IF(K44&lt;=2000,"02000",IF(K44&lt;=10000,"200010000","x"))&amp;$BD$46,'Sizing Factors'!$L:$L,0))</f>
        <v>#N/A</v>
      </c>
      <c r="BG46" s="42" t="e">
        <f>IF(BF46=0,
BE46*100&amp;"%",
ABS(BF46)&amp;" ] ÷ "&amp;BE46)</f>
        <v>#N/A</v>
      </c>
      <c r="BH46" s="43" t="e">
        <f>MAX(($Z$44-$BF$46)/$BE$46,0)</f>
        <v>#N/A</v>
      </c>
      <c r="BI46" s="46" t="e">
        <f>IF(K44&gt;10000,"Not applicable for contributing area &gt; 10,000 sf",INDEX('Sizing Factors'!$J:$J,MATCH(C42&amp;K50&amp;K46&amp;K48&amp;IF(K44&lt;=2000,"02000",IF(K44&lt;=10000,"200010000","x"))&amp;$BD$46,'Sizing Factors'!$L:$L,0)))</f>
        <v>#N/A</v>
      </c>
      <c r="BJ46" s="2"/>
      <c r="BK46" s="2"/>
      <c r="BL46" s="2"/>
      <c r="BM46" s="2"/>
      <c r="BN46" s="2"/>
      <c r="BO46" s="2"/>
      <c r="BP46" s="2"/>
      <c r="BQ46" s="2"/>
      <c r="BR46" s="2"/>
      <c r="BS46" s="2"/>
      <c r="BT46" s="2"/>
      <c r="BU46" s="2"/>
      <c r="BV46" s="2"/>
      <c r="BW46" s="2"/>
      <c r="BX46" s="2"/>
      <c r="BY46" s="2"/>
      <c r="BZ46" s="2"/>
      <c r="CA46" s="2"/>
      <c r="CB46" s="2"/>
      <c r="CC46" s="2"/>
      <c r="CD46" s="2"/>
      <c r="CE46" s="2"/>
      <c r="CF46" s="2"/>
    </row>
    <row r="47" spans="1:84" ht="3.75" customHeight="1" x14ac:dyDescent="0.2">
      <c r="A47" s="6"/>
      <c r="B47" s="14"/>
      <c r="C47" s="14"/>
      <c r="D47" s="91"/>
      <c r="E47" s="91"/>
      <c r="F47" s="7"/>
      <c r="G47" s="7"/>
      <c r="H47" s="7"/>
      <c r="I47" s="7"/>
      <c r="J47" s="7"/>
      <c r="K47" s="7"/>
      <c r="L47" s="7"/>
      <c r="M47" s="7"/>
      <c r="N47" s="7"/>
      <c r="O47" s="7"/>
      <c r="P47" s="7"/>
      <c r="Q47" s="9"/>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8"/>
      <c r="BD47" s="28"/>
      <c r="BE47" s="42"/>
      <c r="BF47" s="42"/>
      <c r="BG47" s="42"/>
      <c r="BH47" s="42"/>
      <c r="BI47" s="42"/>
    </row>
    <row r="48" spans="1:84" s="28" customFormat="1" ht="12.75" x14ac:dyDescent="0.2">
      <c r="A48" s="21"/>
      <c r="B48" s="23"/>
      <c r="C48" s="23"/>
      <c r="D48" s="95" t="s">
        <v>150</v>
      </c>
      <c r="E48" s="94"/>
      <c r="F48" s="22"/>
      <c r="G48" s="22"/>
      <c r="H48" s="22"/>
      <c r="I48" s="22"/>
      <c r="J48" s="22"/>
      <c r="K48" s="159"/>
      <c r="L48" s="159"/>
      <c r="M48" s="159"/>
      <c r="N48" s="159"/>
      <c r="O48" s="22" t="s">
        <v>49</v>
      </c>
      <c r="P48" s="22"/>
      <c r="Q48" s="1"/>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7"/>
      <c r="BD48" s="28" t="s">
        <v>77</v>
      </c>
      <c r="BE48" s="42" t="e">
        <f>IF(K44&gt;10000,"NA",INDEX('Sizing Factors'!$H:$H,MATCH(C42&amp;K50&amp;K46&amp;K48&amp;$BD$48,'Sizing Factors'!$L:$L,0)))</f>
        <v>#N/A</v>
      </c>
      <c r="BF48" s="42" t="e">
        <f>INDEX('Sizing Factors'!$I:$I,MATCH(C42&amp;K50&amp;K46&amp;K48&amp;$BD$48,'Sizing Factors'!$L:$L,0))</f>
        <v>#N/A</v>
      </c>
      <c r="BG48" s="42" t="e">
        <f>IF(BF48=0,
BE48*100&amp;"%",
BF48&amp;" ] ÷ "&amp;BE48)</f>
        <v>#N/A</v>
      </c>
      <c r="BH48" s="43" t="e">
        <f>($Z$44-$BF$48)/$BE$48</f>
        <v>#N/A</v>
      </c>
      <c r="BI48" s="46" t="e">
        <f>IF(K44&gt;10000,"Not applicable for contributing area &gt; 10,000 sf",INDEX('Sizing Factors'!$J:$J,MATCH(C42&amp;K50&amp;K46&amp;K48&amp;$BD$48,'Sizing Factors'!$L:$L,0)))</f>
        <v>#N/A</v>
      </c>
      <c r="BJ48" s="2"/>
      <c r="BK48" s="2"/>
      <c r="BL48" s="2"/>
      <c r="BM48" s="2"/>
      <c r="BN48" s="2"/>
      <c r="BO48" s="2"/>
      <c r="BP48" s="2"/>
      <c r="BQ48" s="2"/>
      <c r="BR48" s="2"/>
      <c r="BS48" s="2"/>
      <c r="BT48" s="2"/>
      <c r="BU48" s="2"/>
      <c r="BV48" s="2"/>
      <c r="BW48" s="2"/>
      <c r="BX48" s="2"/>
      <c r="BY48" s="2"/>
      <c r="BZ48" s="2"/>
      <c r="CA48" s="2"/>
      <c r="CB48" s="2"/>
      <c r="CC48" s="2"/>
      <c r="CD48" s="2"/>
      <c r="CE48" s="2"/>
      <c r="CF48" s="2"/>
    </row>
    <row r="49" spans="1:75" ht="3.75" customHeight="1" x14ac:dyDescent="0.2">
      <c r="A49" s="6"/>
      <c r="B49" s="14"/>
      <c r="C49" s="14"/>
      <c r="D49" s="91"/>
      <c r="E49" s="91"/>
      <c r="F49" s="7"/>
      <c r="G49" s="7"/>
      <c r="H49" s="7"/>
      <c r="I49" s="7"/>
      <c r="J49" s="7"/>
      <c r="K49" s="7"/>
      <c r="L49" s="7"/>
      <c r="M49" s="7"/>
      <c r="N49" s="7"/>
      <c r="O49" s="7"/>
      <c r="P49" s="7"/>
      <c r="Q49" s="9"/>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8"/>
      <c r="BD49" s="28"/>
      <c r="BE49" s="28"/>
      <c r="BF49" s="28"/>
      <c r="BG49" s="28"/>
      <c r="BH49" s="28"/>
      <c r="BI49" s="28"/>
    </row>
    <row r="50" spans="1:75" s="28" customFormat="1" ht="12" customHeight="1" x14ac:dyDescent="0.2">
      <c r="A50" s="21"/>
      <c r="B50" s="23"/>
      <c r="C50" s="23"/>
      <c r="D50" s="94" t="s">
        <v>60</v>
      </c>
      <c r="E50" s="94"/>
      <c r="F50" s="22"/>
      <c r="G50" s="22"/>
      <c r="H50" s="22"/>
      <c r="I50" s="22"/>
      <c r="J50" s="22"/>
      <c r="K50" s="159"/>
      <c r="L50" s="159"/>
      <c r="M50" s="159"/>
      <c r="N50" s="159"/>
      <c r="O50" s="22"/>
      <c r="P50" s="22"/>
      <c r="Q50" s="1"/>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7"/>
      <c r="BP50" s="2"/>
      <c r="BQ50" s="2"/>
      <c r="BR50" s="2"/>
      <c r="BS50" s="2"/>
      <c r="BT50" s="2"/>
      <c r="BU50" s="2"/>
      <c r="BV50" s="2"/>
      <c r="BW50" s="2"/>
    </row>
    <row r="51" spans="1:75" ht="3.75" customHeight="1" x14ac:dyDescent="0.2">
      <c r="A51" s="6"/>
      <c r="B51" s="14"/>
      <c r="C51" s="14"/>
      <c r="D51" s="91"/>
      <c r="E51" s="91"/>
      <c r="F51" s="7"/>
      <c r="G51" s="7"/>
      <c r="H51" s="7"/>
      <c r="I51" s="7"/>
      <c r="J51" s="7"/>
      <c r="K51" s="7"/>
      <c r="L51" s="7"/>
      <c r="M51" s="7"/>
      <c r="N51" s="7"/>
      <c r="O51" s="7"/>
      <c r="P51" s="7"/>
      <c r="Q51" s="9"/>
      <c r="R51" s="7"/>
      <c r="S51" s="7"/>
      <c r="T51" s="7"/>
      <c r="U51" s="7"/>
      <c r="V51" s="7"/>
      <c r="W51" s="7"/>
      <c r="X51" s="7"/>
      <c r="Y51" s="7"/>
      <c r="Z51" s="7"/>
      <c r="AA51" s="7"/>
      <c r="AB51" s="7"/>
      <c r="AC51" s="7"/>
      <c r="AD51" s="7"/>
      <c r="AE51" s="7"/>
      <c r="AF51" s="7"/>
      <c r="AG51" s="7"/>
      <c r="AH51" s="40"/>
      <c r="AI51" s="40"/>
      <c r="AJ51" s="40"/>
      <c r="AK51" s="40"/>
      <c r="AL51" s="40"/>
      <c r="AM51" s="40"/>
      <c r="AN51" s="40"/>
      <c r="AO51" s="40"/>
      <c r="AP51" s="40"/>
      <c r="AQ51" s="40"/>
      <c r="AR51" s="40"/>
      <c r="AS51" s="7"/>
      <c r="AT51" s="7"/>
      <c r="AU51" s="7"/>
      <c r="AV51" s="7"/>
      <c r="AW51" s="7"/>
      <c r="AX51" s="7"/>
      <c r="AY51" s="7"/>
      <c r="AZ51" s="7"/>
      <c r="BA51" s="7"/>
      <c r="BB51" s="8"/>
      <c r="BD51" s="28"/>
      <c r="BE51" s="28"/>
      <c r="BF51" s="28"/>
      <c r="BG51" s="28"/>
      <c r="BH51" s="28"/>
      <c r="BI51" s="28"/>
      <c r="BJ51" s="28"/>
      <c r="BK51" s="28"/>
      <c r="BL51" s="28"/>
      <c r="BM51" s="28"/>
      <c r="BN51" s="28"/>
      <c r="BO51" s="28"/>
    </row>
    <row r="52" spans="1:75" x14ac:dyDescent="0.2">
      <c r="A52" s="6"/>
      <c r="B52" s="14"/>
      <c r="C52" s="14" t="s">
        <v>32</v>
      </c>
      <c r="D52" s="91"/>
      <c r="E52" s="91"/>
      <c r="F52" s="7"/>
      <c r="G52" s="7"/>
      <c r="H52" s="7"/>
      <c r="I52" s="7"/>
      <c r="J52" s="7"/>
      <c r="K52" s="7"/>
      <c r="L52" s="7"/>
      <c r="M52" s="7"/>
      <c r="N52" s="7"/>
      <c r="O52" s="7"/>
      <c r="P52" s="7"/>
      <c r="Q52" s="9"/>
      <c r="R52" s="7"/>
      <c r="S52" s="7"/>
      <c r="T52" s="7"/>
      <c r="U52" s="7"/>
      <c r="V52" s="7"/>
      <c r="W52" s="7"/>
      <c r="X52" s="7"/>
      <c r="Y52" s="7"/>
      <c r="Z52" s="7"/>
      <c r="AA52" s="7"/>
      <c r="AB52" s="7"/>
      <c r="AC52" s="7"/>
      <c r="AD52" s="7"/>
      <c r="AE52" s="7"/>
      <c r="AF52" s="7"/>
      <c r="AG52" s="7"/>
      <c r="AH52" s="145" t="str">
        <f>IF(Standard="","Select flow control standard",IF(K54="","Enter contributing area",IF(K56="","Select trench depth",IF(K58="","Select infiltration rate",IF(Z56="","Enter trench length",IF(Z58="","Enter trench width",
IF(Standard="Pre-developed Pasture Standard",IFERROR(BG56,BI56),
IF(Standard="Peak Control Standard",IFERROR(BG58,BI58),
IFERROR(IF($BH$56&lt;$BH$58,$BG$56,$BG$58),BI58)))))))))</f>
        <v>Select flow control standard</v>
      </c>
      <c r="AI52" s="145"/>
      <c r="AJ52" s="145"/>
      <c r="AK52" s="145"/>
      <c r="AL52" s="145"/>
      <c r="AM52" s="145"/>
      <c r="AN52" s="145"/>
      <c r="AO52" s="145"/>
      <c r="AP52" s="145"/>
      <c r="AQ52" s="145"/>
      <c r="AR52" s="145"/>
      <c r="AS52" s="7"/>
      <c r="AT52" s="7"/>
      <c r="AU52" s="7"/>
      <c r="AV52" s="7"/>
      <c r="AW52" s="7"/>
      <c r="AX52" s="7"/>
      <c r="AY52" s="7"/>
      <c r="AZ52" s="7"/>
      <c r="BA52" s="7"/>
      <c r="BB52" s="8"/>
      <c r="BD52" s="41" t="str">
        <f>C52</f>
        <v>Infiltration Trench</v>
      </c>
      <c r="BE52" s="28"/>
      <c r="BF52" s="28"/>
      <c r="BG52" s="28"/>
      <c r="BH52" s="28"/>
      <c r="BI52" s="28"/>
      <c r="BJ52" s="28"/>
      <c r="BK52" s="28"/>
      <c r="BL52" s="28"/>
      <c r="BM52" s="28"/>
      <c r="BN52" s="28"/>
      <c r="BO52" s="28"/>
      <c r="BP52" s="28"/>
      <c r="BQ52" s="28"/>
      <c r="BR52" s="28"/>
      <c r="BS52" s="28"/>
      <c r="BT52" s="28"/>
      <c r="BU52" s="28"/>
      <c r="BV52" s="28"/>
      <c r="BW52" s="28"/>
    </row>
    <row r="53" spans="1:75" ht="3.75" customHeight="1" x14ac:dyDescent="0.2">
      <c r="A53" s="6"/>
      <c r="B53" s="14"/>
      <c r="C53" s="14"/>
      <c r="D53" s="91"/>
      <c r="E53" s="91"/>
      <c r="F53" s="7"/>
      <c r="G53" s="7"/>
      <c r="H53" s="7"/>
      <c r="I53" s="7"/>
      <c r="J53" s="7"/>
      <c r="K53" s="7"/>
      <c r="L53" s="7"/>
      <c r="M53" s="7"/>
      <c r="N53" s="7"/>
      <c r="O53" s="7"/>
      <c r="P53" s="7"/>
      <c r="Q53" s="9"/>
      <c r="R53" s="7"/>
      <c r="S53" s="7"/>
      <c r="T53" s="7"/>
      <c r="U53" s="7"/>
      <c r="V53" s="7"/>
      <c r="W53" s="7"/>
      <c r="X53" s="7"/>
      <c r="Y53" s="7"/>
      <c r="Z53" s="7"/>
      <c r="AA53" s="7"/>
      <c r="AB53" s="7"/>
      <c r="AC53" s="7"/>
      <c r="AD53" s="7"/>
      <c r="AE53" s="7"/>
      <c r="AF53" s="7"/>
      <c r="AG53" s="7"/>
      <c r="AH53" s="145"/>
      <c r="AI53" s="145"/>
      <c r="AJ53" s="145"/>
      <c r="AK53" s="145"/>
      <c r="AL53" s="145"/>
      <c r="AM53" s="145"/>
      <c r="AN53" s="145"/>
      <c r="AO53" s="145"/>
      <c r="AP53" s="145"/>
      <c r="AQ53" s="145"/>
      <c r="AR53" s="145"/>
      <c r="AS53" s="7"/>
      <c r="AT53" s="7"/>
      <c r="AU53" s="7"/>
      <c r="AV53" s="7"/>
      <c r="AW53" s="7"/>
      <c r="AX53" s="7"/>
      <c r="AY53" s="7"/>
      <c r="AZ53" s="7"/>
      <c r="BA53" s="7"/>
      <c r="BB53" s="8"/>
      <c r="BD53" s="28"/>
      <c r="BE53" s="28"/>
      <c r="BF53" s="28"/>
      <c r="BG53" s="28"/>
      <c r="BH53" s="28"/>
      <c r="BI53" s="28"/>
      <c r="BJ53" s="28"/>
      <c r="BK53" s="28"/>
      <c r="BL53" s="28"/>
      <c r="BM53" s="28"/>
      <c r="BN53" s="28"/>
      <c r="BO53" s="28"/>
    </row>
    <row r="54" spans="1:75" s="28" customFormat="1" ht="11.25" customHeight="1" x14ac:dyDescent="0.2">
      <c r="A54" s="21"/>
      <c r="B54" s="23"/>
      <c r="C54" s="23"/>
      <c r="D54" s="94" t="s">
        <v>21</v>
      </c>
      <c r="E54" s="94"/>
      <c r="F54" s="22"/>
      <c r="G54" s="22"/>
      <c r="H54" s="22"/>
      <c r="I54" s="22"/>
      <c r="J54" s="22"/>
      <c r="K54" s="141"/>
      <c r="L54" s="141"/>
      <c r="M54" s="141"/>
      <c r="N54" s="141"/>
      <c r="O54" s="22" t="s">
        <v>6</v>
      </c>
      <c r="P54" s="22"/>
      <c r="Q54" s="1" t="s">
        <v>53</v>
      </c>
      <c r="R54" s="22"/>
      <c r="S54" s="22"/>
      <c r="T54" s="22"/>
      <c r="U54" s="22"/>
      <c r="V54" s="22"/>
      <c r="W54" s="22"/>
      <c r="X54" s="22"/>
      <c r="Y54" s="24" t="str">
        <f>IFERROR(IF(AND(AH52=BG56,BF56&gt;0),"[ ",""),"")</f>
        <v/>
      </c>
      <c r="Z54" s="142" t="str">
        <f>IF(OR(Z56="",Z58=""),"",Z56*Z58)</f>
        <v/>
      </c>
      <c r="AA54" s="142"/>
      <c r="AB54" s="142"/>
      <c r="AC54" s="142"/>
      <c r="AD54" s="22" t="s">
        <v>6</v>
      </c>
      <c r="AE54" s="22"/>
      <c r="AF54" s="51" t="str">
        <f>IFERROR(IF(Z54="",":",IF(AND(AH52=BG56,BF56&gt;0),"-","÷")),":")</f>
        <v>:</v>
      </c>
      <c r="AG54" s="22"/>
      <c r="AH54" s="146"/>
      <c r="AI54" s="146"/>
      <c r="AJ54" s="146"/>
      <c r="AK54" s="146"/>
      <c r="AL54" s="146"/>
      <c r="AM54" s="146"/>
      <c r="AN54" s="146"/>
      <c r="AO54" s="146"/>
      <c r="AP54" s="146"/>
      <c r="AQ54" s="146"/>
      <c r="AR54" s="146"/>
      <c r="AS54" s="22"/>
      <c r="AT54" s="51" t="s">
        <v>114</v>
      </c>
      <c r="AU54" s="22"/>
      <c r="AV54" s="142" t="str">
        <f>IF(K54="","",IFERROR(IF(Standard="Pre-Developed Pasture Standard",MIN(K54,BH56),IF(Standard="Peak Control Standard",MIN(K54,BH58),IF(Standard="Pre-Developed Pasture and Peak Control Standards",MIN(K54,BH56,BH58),""))),""))</f>
        <v/>
      </c>
      <c r="AW54" s="142"/>
      <c r="AX54" s="142"/>
      <c r="AY54" s="142"/>
      <c r="AZ54" s="142"/>
      <c r="BA54" s="22" t="s">
        <v>6</v>
      </c>
      <c r="BB54" s="27"/>
      <c r="BD54" s="28" t="s">
        <v>85</v>
      </c>
      <c r="BE54" s="42" t="s">
        <v>79</v>
      </c>
      <c r="BF54" s="42" t="s">
        <v>80</v>
      </c>
      <c r="BG54" s="42" t="s">
        <v>84</v>
      </c>
      <c r="BH54" s="42" t="s">
        <v>16</v>
      </c>
      <c r="BI54" s="42" t="s">
        <v>87</v>
      </c>
    </row>
    <row r="55" spans="1:75" ht="3.75" customHeight="1" x14ac:dyDescent="0.2">
      <c r="A55" s="6"/>
      <c r="B55" s="14"/>
      <c r="C55" s="14"/>
      <c r="D55" s="91"/>
      <c r="E55" s="91"/>
      <c r="F55" s="7"/>
      <c r="G55" s="7"/>
      <c r="H55" s="7"/>
      <c r="I55" s="7"/>
      <c r="J55" s="7"/>
      <c r="K55" s="7"/>
      <c r="L55" s="7"/>
      <c r="M55" s="7"/>
      <c r="N55" s="7"/>
      <c r="O55" s="7"/>
      <c r="P55" s="7"/>
      <c r="Q55" s="9"/>
      <c r="R55" s="7"/>
      <c r="S55" s="7"/>
      <c r="T55" s="7"/>
      <c r="U55" s="7"/>
      <c r="V55" s="7"/>
      <c r="W55" s="7"/>
      <c r="X55" s="7"/>
      <c r="Y55" s="16"/>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8"/>
      <c r="BD55" s="28"/>
      <c r="BE55" s="28"/>
      <c r="BF55" s="28"/>
      <c r="BG55" s="28"/>
      <c r="BH55" s="28"/>
      <c r="BI55" s="28"/>
      <c r="BJ55" s="28"/>
      <c r="BK55" s="28"/>
      <c r="BL55" s="28"/>
      <c r="BM55" s="28"/>
      <c r="BN55" s="28"/>
      <c r="BO55" s="28"/>
    </row>
    <row r="56" spans="1:75" s="28" customFormat="1" ht="11.25" x14ac:dyDescent="0.2">
      <c r="A56" s="21"/>
      <c r="B56" s="23"/>
      <c r="C56" s="23"/>
      <c r="D56" s="94" t="s">
        <v>33</v>
      </c>
      <c r="E56" s="94"/>
      <c r="F56" s="22"/>
      <c r="G56" s="22"/>
      <c r="H56" s="22"/>
      <c r="I56" s="22"/>
      <c r="J56" s="22"/>
      <c r="K56" s="159"/>
      <c r="L56" s="159"/>
      <c r="M56" s="159"/>
      <c r="N56" s="159"/>
      <c r="O56" s="22" t="s">
        <v>50</v>
      </c>
      <c r="P56" s="22"/>
      <c r="Q56" s="1" t="s">
        <v>51</v>
      </c>
      <c r="R56" s="22"/>
      <c r="S56" s="22"/>
      <c r="T56" s="22"/>
      <c r="U56" s="22"/>
      <c r="V56" s="22"/>
      <c r="W56" s="22"/>
      <c r="X56" s="22"/>
      <c r="Y56" s="24"/>
      <c r="Z56" s="141"/>
      <c r="AA56" s="141"/>
      <c r="AB56" s="141"/>
      <c r="AC56" s="141"/>
      <c r="AD56" s="22" t="s">
        <v>50</v>
      </c>
      <c r="AE56" s="22"/>
      <c r="AF56" s="22"/>
      <c r="AG56" s="22"/>
      <c r="AH56" s="153" t="str">
        <f>IFERROR(IF(OR(K54="",Z54=""),"",
IF(AND(Z58&gt;0,OR(Z58&gt;4,Z58&lt;2)),"Width must be between 2 and 4 feet",
IF(Standard="Pre-Developed Pasture Standard",
IF(Z54&gt;ROUNDUP(K54*BE56+BF56,0),"Trench area can be reduced to "&amp;TEXT(ROUNDUP(K54*BE56+BF56,0),"#,##0")&amp; " sf (length can be reduced to "&amp; TEXT(ROUNDUP((K54*BE56+BF56)/Z58,0),"#,##0")&amp;" ft)",
IF(Z54&lt;ROUNDUP(K54*BE56+BF56,0),"Trench area to fully manage area is "&amp;TEXT(ROUNDUP(K54*BE56+BF56,0),"#,##0")&amp; " sf (length of "&amp; TEXT(ROUNDUP((K54*BE56+BF56)/Z58,0),"#,##0")&amp;" ft)","")),
IF(Standard="Peak Control Standard",
IF(Z54&gt;ROUNDUP(K54*BE58+BF58,0),"Trench area can be reduced to "&amp;TEXT(ROUNDUP(K54*BE58+BF58,0),"#,##0")&amp;" sf (length can be reduced to "&amp; TEXT(ROUNDUP((K54*BE58+BF58)/Z58,0),"#,##0")&amp;" ft)",
IF(Z54&lt;ROUNDUP(K54*BE58+BF58,0),"Trench area to fully manage areais "&amp;TEXT(ROUNDUP(K54*BE58+BF58,0),"#,##0")&amp;" sf (length of "&amp; TEXT(ROUNDUP((K54*BE58+BF58)/Z58,0),"#,##0")&amp;" ft)","")),
IF(Standard="Pre-developed Pasture and Peak Control Standards",
IF(Z54&gt;ROUNDUP(MAX(K54*BE56+BF56,K54*BE58+BF58),0),"Trench area can be reduced to "&amp;TEXT(ROUNDUP(MAX(K54*BE56+BF56,K54*BE58+BF58),0),"#,##0")&amp;" sf (length can be reduced to "&amp; TEXT(ROUNDUP(MAX(K54*BE56+BF56,K54*BE58+BF58)/Z58,0),"#,##0")&amp;" ft)",
IF(Z54&lt;ROUNDUP(MAX(K54*BE56+BF56,K54*BE58+BF58),0),"Trench area to fully manage area is"&amp;TEXT(ROUNDUP(MAX(K54*BE56+BF56,K54*BE58+BF58),0),"#,##0")&amp;" sf (length of "&amp; TEXT(ROUNDUP(MAX(K54*BE56+BF56,K54*BE58+BF58)/Z58,0),"#,##0")&amp;" ft)","")),""))))),"")</f>
        <v/>
      </c>
      <c r="AI56" s="153"/>
      <c r="AJ56" s="153"/>
      <c r="AK56" s="153"/>
      <c r="AL56" s="153"/>
      <c r="AM56" s="153"/>
      <c r="AN56" s="153"/>
      <c r="AO56" s="153"/>
      <c r="AP56" s="153"/>
      <c r="AQ56" s="153"/>
      <c r="AR56" s="153"/>
      <c r="AS56" s="153"/>
      <c r="AT56" s="153"/>
      <c r="AU56" s="153"/>
      <c r="AV56" s="153"/>
      <c r="AW56" s="153"/>
      <c r="AX56" s="153"/>
      <c r="AY56" s="153"/>
      <c r="AZ56" s="153"/>
      <c r="BA56" s="22"/>
      <c r="BB56" s="27"/>
      <c r="BD56" s="28" t="s">
        <v>8</v>
      </c>
      <c r="BE56" s="42" t="e">
        <f>INDEX('Sizing Factors'!$H:$H,MATCH(C52&amp;K56&amp;K58&amp;IF(K54&lt;=2000,"02000",IF(K54&lt;=10000,"200010000","x"))&amp;$BD$56,'Sizing Factors'!$L:$L,0))</f>
        <v>#N/A</v>
      </c>
      <c r="BF56" s="42" t="e">
        <f>INDEX('Sizing Factors'!$I:$I,MATCH(C52&amp;K56&amp;K58&amp;IF(K54&lt;=2000,"02000",IF(K54&lt;=10000,"200010000","x"))&amp;$BD$56,'Sizing Factors'!$L:$L,0))</f>
        <v>#N/A</v>
      </c>
      <c r="BG56" s="42" t="e">
        <f>IF(BF56=0,BE56*100&amp;"%",BF56&amp;" ] ÷ "&amp;BE56)</f>
        <v>#N/A</v>
      </c>
      <c r="BH56" s="43" t="e">
        <f>MAX(($Z$54-$BF$56)/$BE$56,0)</f>
        <v>#VALUE!</v>
      </c>
      <c r="BI56" s="28" t="str">
        <f>IF(K54&gt;10000,"Not applicable for contributing area &gt; 10,000 sf","")</f>
        <v/>
      </c>
    </row>
    <row r="57" spans="1:75" ht="3.75" customHeight="1" x14ac:dyDescent="0.2">
      <c r="A57" s="6"/>
      <c r="B57" s="14"/>
      <c r="C57" s="14"/>
      <c r="D57" s="91"/>
      <c r="E57" s="91"/>
      <c r="F57" s="7"/>
      <c r="G57" s="7"/>
      <c r="H57" s="7"/>
      <c r="I57" s="7"/>
      <c r="J57" s="7"/>
      <c r="K57" s="7"/>
      <c r="L57" s="7"/>
      <c r="M57" s="7"/>
      <c r="N57" s="7"/>
      <c r="O57" s="7"/>
      <c r="P57" s="7"/>
      <c r="Q57" s="9"/>
      <c r="R57" s="7"/>
      <c r="S57" s="7"/>
      <c r="T57" s="7"/>
      <c r="U57" s="7"/>
      <c r="V57" s="7"/>
      <c r="W57" s="7"/>
      <c r="X57" s="7"/>
      <c r="Y57" s="16"/>
      <c r="Z57" s="7"/>
      <c r="AA57" s="7"/>
      <c r="AB57" s="7"/>
      <c r="AC57" s="7"/>
      <c r="AD57" s="7"/>
      <c r="AE57" s="7"/>
      <c r="AF57" s="7"/>
      <c r="AG57" s="7"/>
      <c r="AH57" s="153"/>
      <c r="AI57" s="153"/>
      <c r="AJ57" s="153"/>
      <c r="AK57" s="153"/>
      <c r="AL57" s="153"/>
      <c r="AM57" s="153"/>
      <c r="AN57" s="153"/>
      <c r="AO57" s="153"/>
      <c r="AP57" s="153"/>
      <c r="AQ57" s="153"/>
      <c r="AR57" s="153"/>
      <c r="AS57" s="153"/>
      <c r="AT57" s="153"/>
      <c r="AU57" s="153"/>
      <c r="AV57" s="153"/>
      <c r="AW57" s="153"/>
      <c r="AX57" s="153"/>
      <c r="AY57" s="153"/>
      <c r="AZ57" s="153"/>
      <c r="BA57" s="7"/>
      <c r="BB57" s="8"/>
      <c r="BD57" s="28"/>
      <c r="BE57" s="28"/>
      <c r="BF57" s="28"/>
      <c r="BG57" s="28"/>
      <c r="BH57" s="28"/>
      <c r="BI57" s="28"/>
      <c r="BJ57" s="28"/>
      <c r="BK57" s="28"/>
      <c r="BL57" s="28"/>
      <c r="BM57" s="28"/>
      <c r="BN57" s="28"/>
      <c r="BO57" s="28"/>
    </row>
    <row r="58" spans="1:75" s="28" customFormat="1" ht="11.25" customHeight="1" x14ac:dyDescent="0.2">
      <c r="A58" s="21"/>
      <c r="B58" s="23"/>
      <c r="C58" s="23"/>
      <c r="D58" s="94" t="s">
        <v>150</v>
      </c>
      <c r="E58" s="94"/>
      <c r="F58" s="22"/>
      <c r="G58" s="22"/>
      <c r="H58" s="22"/>
      <c r="I58" s="22"/>
      <c r="J58" s="22"/>
      <c r="K58" s="159"/>
      <c r="L58" s="159"/>
      <c r="M58" s="159"/>
      <c r="N58" s="159"/>
      <c r="O58" s="22" t="s">
        <v>49</v>
      </c>
      <c r="P58" s="22"/>
      <c r="Q58" s="1" t="s">
        <v>52</v>
      </c>
      <c r="R58" s="22"/>
      <c r="S58" s="22"/>
      <c r="T58" s="22"/>
      <c r="U58" s="22"/>
      <c r="V58" s="22"/>
      <c r="W58" s="22"/>
      <c r="X58" s="22"/>
      <c r="Y58" s="24"/>
      <c r="Z58" s="141"/>
      <c r="AA58" s="141"/>
      <c r="AB58" s="141"/>
      <c r="AC58" s="141"/>
      <c r="AD58" s="22" t="s">
        <v>50</v>
      </c>
      <c r="AE58" s="22"/>
      <c r="AF58" s="22"/>
      <c r="AG58" s="22"/>
      <c r="AH58" s="153"/>
      <c r="AI58" s="153"/>
      <c r="AJ58" s="153"/>
      <c r="AK58" s="153"/>
      <c r="AL58" s="153"/>
      <c r="AM58" s="153"/>
      <c r="AN58" s="153"/>
      <c r="AO58" s="153"/>
      <c r="AP58" s="153"/>
      <c r="AQ58" s="153"/>
      <c r="AR58" s="153"/>
      <c r="AS58" s="153"/>
      <c r="AT58" s="153"/>
      <c r="AU58" s="153"/>
      <c r="AV58" s="153"/>
      <c r="AW58" s="153"/>
      <c r="AX58" s="153"/>
      <c r="AY58" s="153"/>
      <c r="AZ58" s="153"/>
      <c r="BA58" s="22"/>
      <c r="BB58" s="27"/>
      <c r="BD58" s="28" t="s">
        <v>77</v>
      </c>
      <c r="BE58" s="42" t="e">
        <f>IF(K54&gt;10000,"NA",INDEX('Sizing Factors'!$H:$H,MATCH(C52&amp;K56&amp;K58&amp;$BD$58,'Sizing Factors'!$L:$L,0)))</f>
        <v>#N/A</v>
      </c>
      <c r="BF58" s="42" t="e">
        <f>INDEX('Sizing Factors'!$I:$I,MATCH(C52&amp;K56&amp;K58&amp;$BD$58,'Sizing Factors'!$L:$L,0))</f>
        <v>#N/A</v>
      </c>
      <c r="BG58" s="42" t="e">
        <f>IF(BF58=0,BE58*100&amp;"%",BF58&amp;" ] ÷ "&amp;BE58)</f>
        <v>#N/A</v>
      </c>
      <c r="BH58" s="43" t="e">
        <f>($Z$54-$BF$58)/$BE$58</f>
        <v>#VALUE!</v>
      </c>
      <c r="BI58" s="28" t="str">
        <f>IF(K54&gt;10000,"Not applicable for contributing area &gt; 10,000 sf","")</f>
        <v/>
      </c>
      <c r="BP58" s="2"/>
      <c r="BQ58" s="2"/>
      <c r="BR58" s="2"/>
      <c r="BS58" s="2"/>
      <c r="BT58" s="2"/>
      <c r="BU58" s="2"/>
      <c r="BV58" s="2"/>
      <c r="BW58" s="2"/>
    </row>
    <row r="59" spans="1:75" ht="3.75" customHeight="1" x14ac:dyDescent="0.2">
      <c r="A59" s="6"/>
      <c r="B59" s="14"/>
      <c r="C59" s="14"/>
      <c r="D59" s="91"/>
      <c r="E59" s="91"/>
      <c r="F59" s="7"/>
      <c r="G59" s="7"/>
      <c r="H59" s="7"/>
      <c r="I59" s="7"/>
      <c r="J59" s="7"/>
      <c r="K59" s="7"/>
      <c r="L59" s="7"/>
      <c r="M59" s="7"/>
      <c r="N59" s="7"/>
      <c r="O59" s="7"/>
      <c r="P59" s="7"/>
      <c r="Q59" s="9"/>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8"/>
      <c r="BD59" s="28"/>
      <c r="BE59" s="28"/>
      <c r="BF59" s="28"/>
      <c r="BG59" s="28"/>
      <c r="BH59" s="28"/>
      <c r="BI59" s="28"/>
      <c r="BJ59" s="28"/>
      <c r="BK59" s="28"/>
      <c r="BL59" s="28"/>
      <c r="BM59" s="28"/>
      <c r="BN59" s="28"/>
      <c r="BO59" s="28"/>
    </row>
    <row r="60" spans="1:75" x14ac:dyDescent="0.2">
      <c r="A60" s="6"/>
      <c r="B60" s="14"/>
      <c r="C60" s="14" t="s">
        <v>93</v>
      </c>
      <c r="D60" s="91"/>
      <c r="E60" s="91"/>
      <c r="F60" s="7"/>
      <c r="G60" s="7"/>
      <c r="H60" s="7"/>
      <c r="I60" s="7"/>
      <c r="J60" s="7"/>
      <c r="K60" s="7"/>
      <c r="L60" s="7"/>
      <c r="M60" s="7"/>
      <c r="N60" s="7"/>
      <c r="O60" s="7"/>
      <c r="P60" s="7"/>
      <c r="Q60" s="9"/>
      <c r="R60" s="7"/>
      <c r="S60" s="7"/>
      <c r="T60" s="7"/>
      <c r="U60" s="7"/>
      <c r="V60" s="7"/>
      <c r="W60" s="7"/>
      <c r="X60" s="7"/>
      <c r="Y60" s="7"/>
      <c r="Z60" s="7"/>
      <c r="AA60" s="7"/>
      <c r="AB60" s="7"/>
      <c r="AC60" s="7"/>
      <c r="AD60" s="7"/>
      <c r="AE60" s="7"/>
      <c r="AF60" s="7"/>
      <c r="AG60" s="7"/>
      <c r="AH60" s="145" t="str">
        <f>IF(Standard="","Select flow control standard", IF(K62="","Enter contributing area",IF(K64="","Select well depth",IF(K66="","Select infiltration rate",
IF(Standard="Pre-developed pasture standard",IFERROR(BG64,BI64),
IF(Standard="Peak Control Standard",IFERROR(BG66,BI66),
IFERROR(IF($BH$64&lt;$BH$66,$BG$64,$BG$66),BI64)))))))</f>
        <v>Select flow control standard</v>
      </c>
      <c r="AI60" s="145"/>
      <c r="AJ60" s="145"/>
      <c r="AK60" s="145"/>
      <c r="AL60" s="145"/>
      <c r="AM60" s="145"/>
      <c r="AN60" s="145"/>
      <c r="AO60" s="145"/>
      <c r="AP60" s="145"/>
      <c r="AQ60" s="145"/>
      <c r="AR60" s="145"/>
      <c r="AS60" s="7"/>
      <c r="AT60" s="7"/>
      <c r="AU60" s="7"/>
      <c r="AV60" s="7"/>
      <c r="AW60" s="7"/>
      <c r="AX60" s="7"/>
      <c r="AY60" s="7"/>
      <c r="AZ60" s="7"/>
      <c r="BA60" s="7"/>
      <c r="BB60" s="8"/>
      <c r="BD60" s="41" t="str">
        <f>C60</f>
        <v>Drywell</v>
      </c>
      <c r="BE60" s="28"/>
      <c r="BF60" s="28"/>
      <c r="BG60" s="28"/>
      <c r="BH60" s="28"/>
      <c r="BI60" s="28"/>
      <c r="BJ60" s="28"/>
      <c r="BK60" s="28"/>
      <c r="BL60" s="28"/>
      <c r="BM60" s="28"/>
      <c r="BN60" s="28"/>
      <c r="BO60" s="28"/>
      <c r="BP60" s="28"/>
      <c r="BQ60" s="28"/>
      <c r="BR60" s="28"/>
      <c r="BS60" s="28"/>
      <c r="BT60" s="28"/>
      <c r="BU60" s="28"/>
      <c r="BV60" s="28"/>
      <c r="BW60" s="28"/>
    </row>
    <row r="61" spans="1:75" ht="3.75" customHeight="1" x14ac:dyDescent="0.2">
      <c r="A61" s="6"/>
      <c r="B61" s="14"/>
      <c r="C61" s="14"/>
      <c r="D61" s="91"/>
      <c r="E61" s="91"/>
      <c r="F61" s="7"/>
      <c r="G61" s="7"/>
      <c r="H61" s="7"/>
      <c r="I61" s="7"/>
      <c r="J61" s="7"/>
      <c r="K61" s="7"/>
      <c r="L61" s="7"/>
      <c r="M61" s="7"/>
      <c r="N61" s="7"/>
      <c r="O61" s="7"/>
      <c r="P61" s="7"/>
      <c r="Q61" s="9"/>
      <c r="R61" s="7"/>
      <c r="S61" s="7"/>
      <c r="T61" s="7"/>
      <c r="U61" s="7"/>
      <c r="V61" s="7"/>
      <c r="W61" s="7"/>
      <c r="X61" s="7"/>
      <c r="Y61" s="7"/>
      <c r="Z61" s="7"/>
      <c r="AA61" s="7"/>
      <c r="AB61" s="7"/>
      <c r="AC61" s="7"/>
      <c r="AD61" s="7"/>
      <c r="AE61" s="7"/>
      <c r="AF61" s="7"/>
      <c r="AG61" s="7"/>
      <c r="AH61" s="145"/>
      <c r="AI61" s="145"/>
      <c r="AJ61" s="145"/>
      <c r="AK61" s="145"/>
      <c r="AL61" s="145"/>
      <c r="AM61" s="145"/>
      <c r="AN61" s="145"/>
      <c r="AO61" s="145"/>
      <c r="AP61" s="145"/>
      <c r="AQ61" s="145"/>
      <c r="AR61" s="145"/>
      <c r="AS61" s="7"/>
      <c r="AT61" s="7"/>
      <c r="AU61" s="7"/>
      <c r="AV61" s="7"/>
      <c r="AW61" s="7"/>
      <c r="AX61" s="7"/>
      <c r="AY61" s="7"/>
      <c r="AZ61" s="7"/>
      <c r="BA61" s="7"/>
      <c r="BB61" s="8"/>
      <c r="BD61" s="28"/>
      <c r="BE61" s="28"/>
      <c r="BF61" s="28"/>
      <c r="BG61" s="28"/>
      <c r="BH61" s="28"/>
      <c r="BI61" s="28"/>
      <c r="BJ61" s="28"/>
      <c r="BK61" s="28"/>
      <c r="BL61" s="28"/>
      <c r="BM61" s="28"/>
      <c r="BN61" s="28"/>
      <c r="BO61" s="28"/>
    </row>
    <row r="62" spans="1:75" s="28" customFormat="1" ht="11.25" customHeight="1" x14ac:dyDescent="0.2">
      <c r="A62" s="21"/>
      <c r="B62" s="23"/>
      <c r="C62" s="23"/>
      <c r="D62" s="94" t="s">
        <v>21</v>
      </c>
      <c r="E62" s="94"/>
      <c r="F62" s="22"/>
      <c r="G62" s="22"/>
      <c r="H62" s="22"/>
      <c r="I62" s="22"/>
      <c r="J62" s="22"/>
      <c r="K62" s="141"/>
      <c r="L62" s="141"/>
      <c r="M62" s="141"/>
      <c r="N62" s="141"/>
      <c r="O62" s="22" t="s">
        <v>6</v>
      </c>
      <c r="P62" s="22"/>
      <c r="Q62" s="1" t="s">
        <v>55</v>
      </c>
      <c r="R62" s="22"/>
      <c r="S62" s="22"/>
      <c r="T62" s="22"/>
      <c r="U62" s="22"/>
      <c r="V62" s="22"/>
      <c r="W62" s="22"/>
      <c r="X62" s="22"/>
      <c r="Y62" s="24" t="str">
        <f>IFERROR(IF(AND(AH60=BG64,BF64&gt;0),"[ ",""),"")</f>
        <v/>
      </c>
      <c r="Z62" s="141"/>
      <c r="AA62" s="141"/>
      <c r="AB62" s="141"/>
      <c r="AC62" s="141"/>
      <c r="AD62" s="22" t="s">
        <v>6</v>
      </c>
      <c r="AE62" s="22"/>
      <c r="AF62" s="51" t="str">
        <f>IFERROR(IF(AND(AH60=BG64,BF64&gt;0),"-","÷"),":")</f>
        <v>:</v>
      </c>
      <c r="AG62" s="22"/>
      <c r="AH62" s="146"/>
      <c r="AI62" s="146"/>
      <c r="AJ62" s="146"/>
      <c r="AK62" s="146"/>
      <c r="AL62" s="146"/>
      <c r="AM62" s="146"/>
      <c r="AN62" s="146"/>
      <c r="AO62" s="146"/>
      <c r="AP62" s="146"/>
      <c r="AQ62" s="146"/>
      <c r="AR62" s="146"/>
      <c r="AS62" s="22"/>
      <c r="AT62" s="51" t="s">
        <v>114</v>
      </c>
      <c r="AU62" s="22"/>
      <c r="AV62" s="142" t="str">
        <f>IF(K62="","",IFERROR(IF(Standard="Pre-Developed Pasture Standard",MIN(K62,BH64),IF(Standard="Peak Control Standard",MIN(K62,BH66),IF(Standard="Pre-Developed Pasture and Peak Control Standards",MIN(K62,BH64,BH66),""))),""))</f>
        <v/>
      </c>
      <c r="AW62" s="142"/>
      <c r="AX62" s="142"/>
      <c r="AY62" s="142"/>
      <c r="AZ62" s="142"/>
      <c r="BA62" s="22" t="s">
        <v>6</v>
      </c>
      <c r="BB62" s="27"/>
      <c r="BD62" s="28" t="s">
        <v>85</v>
      </c>
      <c r="BE62" s="42" t="s">
        <v>79</v>
      </c>
      <c r="BF62" s="42" t="s">
        <v>80</v>
      </c>
      <c r="BG62" s="42" t="s">
        <v>84</v>
      </c>
      <c r="BH62" s="42" t="s">
        <v>16</v>
      </c>
      <c r="BI62" s="42" t="s">
        <v>87</v>
      </c>
    </row>
    <row r="63" spans="1:75" ht="3.75" customHeight="1" x14ac:dyDescent="0.2">
      <c r="A63" s="6"/>
      <c r="B63" s="14"/>
      <c r="C63" s="14"/>
      <c r="D63" s="91"/>
      <c r="E63" s="91"/>
      <c r="F63" s="7"/>
      <c r="G63" s="7"/>
      <c r="H63" s="7"/>
      <c r="I63" s="7"/>
      <c r="J63" s="7"/>
      <c r="K63" s="7"/>
      <c r="L63" s="7"/>
      <c r="M63" s="7"/>
      <c r="N63" s="7"/>
      <c r="O63" s="7"/>
      <c r="P63" s="7"/>
      <c r="Q63" s="9"/>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8"/>
      <c r="BD63" s="28"/>
      <c r="BE63" s="28"/>
      <c r="BF63" s="28"/>
      <c r="BG63" s="28"/>
      <c r="BH63" s="28"/>
      <c r="BI63" s="28"/>
      <c r="BJ63" s="28"/>
      <c r="BK63" s="28"/>
      <c r="BL63" s="28"/>
      <c r="BM63" s="28"/>
      <c r="BN63" s="28"/>
      <c r="BO63" s="28"/>
    </row>
    <row r="64" spans="1:75" s="28" customFormat="1" x14ac:dyDescent="0.2">
      <c r="A64" s="21"/>
      <c r="B64" s="23"/>
      <c r="C64" s="23"/>
      <c r="D64" s="94" t="s">
        <v>34</v>
      </c>
      <c r="E64" s="94"/>
      <c r="F64" s="22"/>
      <c r="G64" s="22"/>
      <c r="H64" s="22"/>
      <c r="I64" s="22"/>
      <c r="J64" s="22"/>
      <c r="K64" s="159"/>
      <c r="L64" s="159"/>
      <c r="M64" s="159"/>
      <c r="N64" s="159"/>
      <c r="O64" s="22" t="s">
        <v>50</v>
      </c>
      <c r="P64" s="22"/>
      <c r="Q64" s="169" t="str">
        <f>IF(K62="","",
IF(AND(Z62&gt;0,Z62&lt;12.5),"Drywell to fully manage area must be a minimum of 48 inches in diameter",
IFERROR(
IF(Standard="Pre-Developed Pasture Standard",
IF(Z62&gt;ROUNDUP(MAX(K62*BE64+BF64,12.6),0),"Drywell area can be reduced to "&amp;TEXT(ROUNDUP(MAX(K62*BE64+BF64,12.6),0),"#,##0")&amp; " sf",
IF(Z62&lt;ROUNDUP(MAX(K62*BE64+BF64,12.6),0),"Drywell area to fully manage area is "&amp;TEXT(ROUNDUP(MAX(K62*BE64+BF64,12.6),0),"#,##0")&amp; " sf","")),
IF(Standard="Peak Control Standard",
IF(Z62&gt;ROUNDUP(MAX(K62*BE66+BF66,12.6),0),"Drywell area can be reduced to "&amp;TEXT(ROUNDUP(MAX(K62*BE66+BF66,12.6),0),"#,##0")&amp;" sf",
IF(Z62&lt;ROUNDUP(MAX(K62*BE66+BF66,12.6),0),"Drywell area to fully manage area is "&amp;TEXT(ROUNDUP(MAX(K62*BE66+BF66,12.6),0),"#,##0")&amp;" sf","")),
IF(Standard="Pre-developed Pasture and Peak Control Standards",
IF(Z62&gt;ROUNDUP(MAX(K62*BE64+BF64,K62*BE66+BF66,12.6),0),"Drywell area can be reduced to "&amp;TEXT(ROUNDUP(MAX(K62*BE64+BF64,K62*BE66+BF66,12.6),0),"#,##0")&amp;" sf",
IF(Z62&lt;ROUNDUP(MAX(K62*BE64+BF64,K62*BE66+BF66,12.6),0),"Drywell area to fully manage area is "&amp;TEXT(ROUNDUP(MAX(K62*BE64+BF64,K62*BE66+BF66,12.6),0),"#,##0")&amp;" sf","")),""))),"")))</f>
        <v/>
      </c>
      <c r="R64" s="169"/>
      <c r="S64" s="169"/>
      <c r="T64" s="169"/>
      <c r="U64" s="169"/>
      <c r="V64" s="169"/>
      <c r="W64" s="169"/>
      <c r="X64" s="169"/>
      <c r="Y64" s="169"/>
      <c r="Z64" s="169"/>
      <c r="AA64" s="169"/>
      <c r="AB64" s="169"/>
      <c r="AC64" s="169"/>
      <c r="AD64" s="169"/>
      <c r="AE64" s="169"/>
      <c r="AF64" s="169"/>
      <c r="AG64" s="169"/>
      <c r="AH64" s="169"/>
      <c r="AI64" s="169"/>
      <c r="AJ64" s="169"/>
      <c r="AK64" s="169"/>
      <c r="AL64" s="169"/>
      <c r="AM64" s="169"/>
      <c r="AN64" s="169"/>
      <c r="AO64" s="169"/>
      <c r="AP64" s="169"/>
      <c r="AQ64" s="169"/>
      <c r="AR64" s="169"/>
      <c r="AS64" s="169"/>
      <c r="AT64" s="169"/>
      <c r="AU64" s="169"/>
      <c r="AV64" s="169"/>
      <c r="AW64" s="169"/>
      <c r="AX64" s="169"/>
      <c r="AY64" s="169"/>
      <c r="AZ64" s="169"/>
      <c r="BA64" s="169"/>
      <c r="BB64" s="27"/>
      <c r="BD64" s="28" t="s">
        <v>8</v>
      </c>
      <c r="BE64" s="42" t="e">
        <f>INDEX('Sizing Factors'!$H:$H,MATCH(C60&amp;K64&amp;K66&amp;IF(K62&lt;=2000,"02000",IF(K62&lt;=10000,"200010000","x"))&amp;$BD$64,'Sizing Factors'!$L:$L,0))</f>
        <v>#N/A</v>
      </c>
      <c r="BF64" s="42" t="e">
        <f>INDEX('Sizing Factors'!$I:$I,MATCH(C60&amp;K64&amp;K66&amp;IF(K62&lt;=2000,"02000",IF(K62&lt;=10000,"200010000","x"))&amp;$BD$64,'Sizing Factors'!$L:$L,0))</f>
        <v>#N/A</v>
      </c>
      <c r="BG64" s="42" t="e">
        <f>IF(BF64=0,BE64*100&amp;"%",BF64&amp;" ] ÷ "&amp;BE64)</f>
        <v>#N/A</v>
      </c>
      <c r="BH64" s="43">
        <f>IF(Z62&gt;12.5,MAX(($Z$62-$BF$64)/$BE$64,0),0)</f>
        <v>0</v>
      </c>
      <c r="BI64" s="28" t="str">
        <f>IF(K62&gt;10000,"Not applicable for contributing area &gt; 10,000 sf","")</f>
        <v/>
      </c>
      <c r="BP64" s="2"/>
      <c r="BQ64" s="2"/>
      <c r="BR64" s="2"/>
      <c r="BS64" s="2"/>
      <c r="BT64" s="2"/>
      <c r="BU64" s="2"/>
      <c r="BV64" s="2"/>
      <c r="BW64" s="2"/>
    </row>
    <row r="65" spans="1:83" ht="3.75" customHeight="1" x14ac:dyDescent="0.2">
      <c r="A65" s="6"/>
      <c r="B65" s="14"/>
      <c r="C65" s="14"/>
      <c r="D65" s="91"/>
      <c r="E65" s="91"/>
      <c r="F65" s="7"/>
      <c r="G65" s="7"/>
      <c r="H65" s="7"/>
      <c r="I65" s="7"/>
      <c r="J65" s="7"/>
      <c r="K65" s="7"/>
      <c r="L65" s="7"/>
      <c r="M65" s="7"/>
      <c r="N65" s="7"/>
      <c r="O65" s="7"/>
      <c r="P65" s="7"/>
      <c r="Q65" s="9"/>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8"/>
      <c r="BD65" s="28"/>
      <c r="BE65" s="28"/>
      <c r="BF65" s="28"/>
      <c r="BG65" s="28"/>
      <c r="BH65" s="28"/>
      <c r="BI65" s="28"/>
      <c r="BJ65" s="28"/>
      <c r="BK65" s="28"/>
      <c r="BL65" s="28"/>
      <c r="BM65" s="28"/>
      <c r="BN65" s="28"/>
      <c r="BO65" s="28"/>
      <c r="BX65" s="28"/>
      <c r="BY65" s="28"/>
      <c r="BZ65" s="28"/>
      <c r="CA65" s="28"/>
      <c r="CB65" s="28"/>
      <c r="CC65" s="28"/>
      <c r="CD65" s="28"/>
      <c r="CE65" s="28"/>
    </row>
    <row r="66" spans="1:83" ht="12.75" x14ac:dyDescent="0.2">
      <c r="A66" s="21"/>
      <c r="B66" s="23"/>
      <c r="C66" s="23"/>
      <c r="D66" s="95" t="s">
        <v>150</v>
      </c>
      <c r="E66" s="94"/>
      <c r="F66" s="22"/>
      <c r="G66" s="22"/>
      <c r="H66" s="22"/>
      <c r="I66" s="22"/>
      <c r="J66" s="22"/>
      <c r="K66" s="159"/>
      <c r="L66" s="159"/>
      <c r="M66" s="159"/>
      <c r="N66" s="159"/>
      <c r="O66" s="22" t="s">
        <v>49</v>
      </c>
      <c r="P66" s="22"/>
      <c r="Q66" s="1"/>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7"/>
      <c r="BD66" s="28" t="s">
        <v>77</v>
      </c>
      <c r="BE66" s="42" t="e">
        <f>IF(K62&gt;10000,"NA",INDEX('Sizing Factors'!$H:$H,MATCH(C60&amp;K64&amp;K66&amp;$BD$66,'Sizing Factors'!$L:$L,0)))</f>
        <v>#N/A</v>
      </c>
      <c r="BF66" s="42" t="e">
        <f>INDEX('Sizing Factors'!$I:$I,MATCH(C60&amp;K64&amp;K66&amp;$BD$66,'Sizing Factors'!$L:$L,0))</f>
        <v>#N/A</v>
      </c>
      <c r="BG66" s="42" t="e">
        <f>IF(BF66=0,BE66*100&amp;"%",BF66&amp;" ] ÷ "&amp;BE66)</f>
        <v>#N/A</v>
      </c>
      <c r="BH66" s="43">
        <f>IF(Z62&lt;12.5,0,($Z$62-$BF$66)/$BE$66)</f>
        <v>0</v>
      </c>
      <c r="BI66" s="28" t="str">
        <f>IF(K62&gt;10000,"Not applicable for contributing area &gt; 10,000 sf","")</f>
        <v/>
      </c>
      <c r="BJ66" s="28"/>
      <c r="BK66" s="28"/>
      <c r="BL66" s="28"/>
      <c r="BM66" s="28"/>
      <c r="BN66" s="28"/>
      <c r="BO66" s="28"/>
      <c r="BX66" s="28"/>
      <c r="BY66" s="28"/>
      <c r="BZ66" s="28"/>
      <c r="CA66" s="28"/>
      <c r="CB66" s="28"/>
      <c r="CC66" s="28"/>
      <c r="CD66" s="28"/>
      <c r="CE66" s="28"/>
    </row>
    <row r="67" spans="1:83" ht="3.75" customHeight="1" x14ac:dyDescent="0.2">
      <c r="A67" s="6"/>
      <c r="B67" s="14"/>
      <c r="C67" s="14"/>
      <c r="D67" s="91"/>
      <c r="E67" s="91"/>
      <c r="F67" s="7"/>
      <c r="G67" s="7"/>
      <c r="H67" s="7"/>
      <c r="I67" s="7"/>
      <c r="J67" s="7"/>
      <c r="K67" s="7"/>
      <c r="L67" s="7"/>
      <c r="M67" s="7"/>
      <c r="N67" s="7"/>
      <c r="O67" s="7"/>
      <c r="P67" s="7"/>
      <c r="Q67" s="9"/>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8"/>
      <c r="BD67" s="28"/>
      <c r="BE67" s="28"/>
      <c r="BF67" s="28"/>
      <c r="BG67" s="28"/>
      <c r="BH67" s="28"/>
      <c r="BI67" s="28"/>
      <c r="BJ67" s="28"/>
      <c r="BK67" s="28"/>
      <c r="BL67" s="28"/>
      <c r="BM67" s="28"/>
      <c r="BN67" s="28"/>
      <c r="BO67" s="28"/>
      <c r="BX67" s="28"/>
      <c r="BY67" s="28"/>
      <c r="BZ67" s="28"/>
      <c r="CA67" s="28"/>
      <c r="CB67" s="28"/>
      <c r="CC67" s="28"/>
      <c r="CD67" s="28"/>
      <c r="CE67" s="28"/>
    </row>
    <row r="68" spans="1:83" s="28" customFormat="1" x14ac:dyDescent="0.2">
      <c r="A68" s="6"/>
      <c r="B68" s="14"/>
      <c r="C68" s="14" t="s">
        <v>23</v>
      </c>
      <c r="D68" s="91"/>
      <c r="E68" s="91"/>
      <c r="F68" s="7"/>
      <c r="G68" s="7"/>
      <c r="H68" s="7"/>
      <c r="I68" s="7"/>
      <c r="J68" s="7"/>
      <c r="K68" s="7"/>
      <c r="L68" s="7"/>
      <c r="M68" s="7"/>
      <c r="N68" s="7"/>
      <c r="O68" s="7"/>
      <c r="P68" s="7"/>
      <c r="Q68" s="9"/>
      <c r="R68" s="7"/>
      <c r="S68" s="7"/>
      <c r="T68" s="7"/>
      <c r="U68" s="7"/>
      <c r="V68" s="7"/>
      <c r="W68" s="7"/>
      <c r="X68" s="7"/>
      <c r="Y68" s="7"/>
      <c r="Z68" s="7"/>
      <c r="AA68" s="7"/>
      <c r="AB68" s="7"/>
      <c r="AC68" s="7"/>
      <c r="AD68" s="7"/>
      <c r="AE68" s="7"/>
      <c r="AF68" s="7"/>
      <c r="AG68" s="7"/>
      <c r="AH68" s="145" t="str">
        <f>IF(Standard="","Select flow control standard",IF(K70="","Enter contributing area",IF(K72="","Select ponding depth",IF(K74="","Select infiltration rate",
IF(Standard="Pre-developed pasture standard",IFERROR(BG72,BI72),
IF(Standard="Peak Control Standard",IFERROR(BG74,BI74),
IFERROR(IF($BH$72&lt;$BH$74,$BG$72,$BG$74),BI72)))))))</f>
        <v>Select flow control standard</v>
      </c>
      <c r="AI68" s="145"/>
      <c r="AJ68" s="145"/>
      <c r="AK68" s="145"/>
      <c r="AL68" s="145"/>
      <c r="AM68" s="145"/>
      <c r="AN68" s="145"/>
      <c r="AO68" s="145"/>
      <c r="AP68" s="145"/>
      <c r="AQ68" s="145"/>
      <c r="AR68" s="145"/>
      <c r="AS68" s="7"/>
      <c r="AT68" s="7"/>
      <c r="AU68" s="7"/>
      <c r="AV68" s="7"/>
      <c r="AW68" s="7"/>
      <c r="AX68" s="7"/>
      <c r="AY68" s="7"/>
      <c r="AZ68" s="7"/>
      <c r="BA68" s="7"/>
      <c r="BB68" s="8"/>
      <c r="BD68" s="41" t="str">
        <f>C68</f>
        <v>Permeable Pavement Facility</v>
      </c>
      <c r="BP68" s="2"/>
      <c r="BQ68" s="2"/>
      <c r="BR68" s="2"/>
      <c r="BS68" s="2"/>
      <c r="BT68" s="2"/>
      <c r="BU68" s="2"/>
      <c r="BV68" s="2"/>
      <c r="BW68" s="2"/>
    </row>
    <row r="69" spans="1:83" ht="3.75" customHeight="1" x14ac:dyDescent="0.2">
      <c r="A69" s="6"/>
      <c r="B69" s="14"/>
      <c r="C69" s="14"/>
      <c r="D69" s="91"/>
      <c r="E69" s="91"/>
      <c r="F69" s="7"/>
      <c r="G69" s="7"/>
      <c r="H69" s="7"/>
      <c r="I69" s="7"/>
      <c r="J69" s="7"/>
      <c r="K69" s="7"/>
      <c r="L69" s="7"/>
      <c r="M69" s="7"/>
      <c r="N69" s="7"/>
      <c r="O69" s="7"/>
      <c r="P69" s="7"/>
      <c r="Q69" s="9"/>
      <c r="R69" s="7"/>
      <c r="S69" s="7"/>
      <c r="T69" s="7"/>
      <c r="U69" s="7"/>
      <c r="V69" s="7"/>
      <c r="W69" s="7"/>
      <c r="X69" s="7"/>
      <c r="Y69" s="7"/>
      <c r="Z69" s="7"/>
      <c r="AA69" s="7"/>
      <c r="AB69" s="7"/>
      <c r="AC69" s="7"/>
      <c r="AD69" s="7"/>
      <c r="AE69" s="7"/>
      <c r="AF69" s="7"/>
      <c r="AG69" s="7"/>
      <c r="AH69" s="145"/>
      <c r="AI69" s="145"/>
      <c r="AJ69" s="145"/>
      <c r="AK69" s="145"/>
      <c r="AL69" s="145"/>
      <c r="AM69" s="145"/>
      <c r="AN69" s="145"/>
      <c r="AO69" s="145"/>
      <c r="AP69" s="145"/>
      <c r="AQ69" s="145"/>
      <c r="AR69" s="145"/>
      <c r="AS69" s="7"/>
      <c r="AT69" s="7"/>
      <c r="AU69" s="7"/>
      <c r="AV69" s="7"/>
      <c r="AW69" s="7"/>
      <c r="AX69" s="7"/>
      <c r="AY69" s="7"/>
      <c r="AZ69" s="7"/>
      <c r="BA69" s="7"/>
      <c r="BB69" s="8"/>
      <c r="BD69" s="28"/>
      <c r="BE69" s="28"/>
      <c r="BF69" s="28"/>
      <c r="BG69" s="28"/>
      <c r="BH69" s="28"/>
      <c r="BI69" s="28"/>
      <c r="BJ69" s="28"/>
      <c r="BK69" s="28"/>
      <c r="BL69" s="28"/>
      <c r="BM69" s="28"/>
      <c r="BN69" s="28"/>
      <c r="BO69" s="28"/>
      <c r="BX69" s="28"/>
      <c r="BY69" s="28"/>
      <c r="BZ69" s="28"/>
      <c r="CA69" s="28"/>
      <c r="CB69" s="28"/>
      <c r="CC69" s="28"/>
      <c r="CD69" s="28"/>
      <c r="CE69" s="28"/>
    </row>
    <row r="70" spans="1:83" s="28" customFormat="1" x14ac:dyDescent="0.2">
      <c r="A70" s="21"/>
      <c r="B70" s="23"/>
      <c r="C70" s="23"/>
      <c r="D70" s="94" t="s">
        <v>21</v>
      </c>
      <c r="E70" s="94"/>
      <c r="F70" s="22"/>
      <c r="G70" s="22"/>
      <c r="H70" s="22"/>
      <c r="I70" s="22"/>
      <c r="J70" s="22"/>
      <c r="K70" s="141"/>
      <c r="L70" s="141"/>
      <c r="M70" s="141"/>
      <c r="N70" s="141"/>
      <c r="O70" s="22" t="s">
        <v>6</v>
      </c>
      <c r="P70" s="22"/>
      <c r="Q70" s="1" t="s">
        <v>56</v>
      </c>
      <c r="R70" s="22"/>
      <c r="S70" s="22"/>
      <c r="T70" s="22"/>
      <c r="U70" s="22"/>
      <c r="V70" s="22"/>
      <c r="W70" s="22"/>
      <c r="X70" s="22"/>
      <c r="Y70" s="24" t="str">
        <f>IFERROR(IF(AND(AH68=BG72,BF72&gt;0),"[ ",""),"")</f>
        <v/>
      </c>
      <c r="Z70" s="141"/>
      <c r="AA70" s="141"/>
      <c r="AB70" s="141"/>
      <c r="AC70" s="141"/>
      <c r="AD70" s="22" t="s">
        <v>6</v>
      </c>
      <c r="AE70" s="22"/>
      <c r="AF70" s="51" t="str">
        <f>IFERROR(IF(AND(AH68=BG72,BF72&gt;0),"-","÷"),":")</f>
        <v>:</v>
      </c>
      <c r="AG70" s="22"/>
      <c r="AH70" s="146"/>
      <c r="AI70" s="146"/>
      <c r="AJ70" s="146"/>
      <c r="AK70" s="146"/>
      <c r="AL70" s="146"/>
      <c r="AM70" s="146"/>
      <c r="AN70" s="146"/>
      <c r="AO70" s="146"/>
      <c r="AP70" s="146"/>
      <c r="AQ70" s="146"/>
      <c r="AR70" s="146"/>
      <c r="AS70" s="22"/>
      <c r="AT70" s="51" t="s">
        <v>114</v>
      </c>
      <c r="AU70" s="22"/>
      <c r="AV70" s="155" t="str">
        <f>IF(K70="","",IFERROR(
IF(Standard="Pre-Developed Pasture Standard",MIN(K70,BH72),
IF(Standard="Peak Control Standard",MIN(K70,BH74),
IF(Standard="Pre-Developed Pasture and Peak Control Standards",MIN(K70,BH72,BH74),""))),""))</f>
        <v/>
      </c>
      <c r="AW70" s="155"/>
      <c r="AX70" s="155"/>
      <c r="AY70" s="155"/>
      <c r="AZ70" s="155"/>
      <c r="BA70" s="22" t="s">
        <v>6</v>
      </c>
      <c r="BB70" s="27"/>
      <c r="BD70" s="28" t="s">
        <v>85</v>
      </c>
      <c r="BE70" s="42" t="s">
        <v>79</v>
      </c>
      <c r="BF70" s="42" t="s">
        <v>80</v>
      </c>
      <c r="BG70" s="42" t="s">
        <v>84</v>
      </c>
      <c r="BH70" s="42" t="s">
        <v>16</v>
      </c>
      <c r="BI70" s="42" t="s">
        <v>87</v>
      </c>
      <c r="BP70" s="2"/>
      <c r="BQ70" s="2"/>
      <c r="BR70" s="2"/>
      <c r="BS70" s="2"/>
      <c r="BT70" s="2"/>
      <c r="BU70" s="2"/>
      <c r="BV70" s="2"/>
      <c r="BW70" s="2"/>
    </row>
    <row r="71" spans="1:83" ht="3.75" customHeight="1" x14ac:dyDescent="0.2">
      <c r="A71" s="6"/>
      <c r="B71" s="14"/>
      <c r="C71" s="14"/>
      <c r="D71" s="91"/>
      <c r="E71" s="91"/>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8"/>
      <c r="BD71" s="28"/>
      <c r="BE71" s="28"/>
      <c r="BF71" s="28"/>
      <c r="BG71" s="28"/>
      <c r="BH71" s="28"/>
      <c r="BI71" s="28"/>
      <c r="BJ71" s="28"/>
      <c r="BK71" s="28"/>
      <c r="BL71" s="28"/>
      <c r="BM71" s="28"/>
      <c r="BN71" s="28"/>
      <c r="BO71" s="28"/>
      <c r="BX71" s="28"/>
      <c r="BY71" s="28"/>
      <c r="BZ71" s="28"/>
      <c r="CA71" s="28"/>
      <c r="CB71" s="28"/>
      <c r="CC71" s="28"/>
      <c r="CD71" s="28"/>
      <c r="CE71" s="28"/>
    </row>
    <row r="72" spans="1:83" x14ac:dyDescent="0.2">
      <c r="A72" s="21"/>
      <c r="B72" s="23"/>
      <c r="C72" s="23"/>
      <c r="D72" s="94" t="s">
        <v>22</v>
      </c>
      <c r="E72" s="94"/>
      <c r="F72" s="22"/>
      <c r="G72" s="22"/>
      <c r="H72" s="22"/>
      <c r="I72" s="22"/>
      <c r="J72" s="22"/>
      <c r="K72" s="159"/>
      <c r="L72" s="159"/>
      <c r="M72" s="159"/>
      <c r="N72" s="159"/>
      <c r="O72" s="22" t="s">
        <v>48</v>
      </c>
      <c r="P72" s="22"/>
      <c r="Q72" s="153" t="str">
        <f>IFERROR(IF(AND(K70&gt;Z70*5,BH74=Z70*5,K70&lt;&gt;"",Z70&lt;&gt;"",K72&lt;&gt;"",K74&lt;&gt;"",Standard&lt;&gt;""),"The maximum contributing area is 5 times the permeable pavement area",""),"")</f>
        <v/>
      </c>
      <c r="R72" s="153"/>
      <c r="S72" s="153"/>
      <c r="T72" s="153"/>
      <c r="U72" s="153"/>
      <c r="V72" s="153"/>
      <c r="W72" s="153"/>
      <c r="X72" s="153"/>
      <c r="Y72" s="153"/>
      <c r="Z72" s="153"/>
      <c r="AA72" s="153"/>
      <c r="AB72" s="153"/>
      <c r="AC72" s="153"/>
      <c r="AD72" s="153"/>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7"/>
      <c r="BD72" s="28" t="s">
        <v>8</v>
      </c>
      <c r="BE72" s="42" t="e">
        <f>INDEX('Sizing Factors'!$H:$H,MATCH(C68&amp;K72&amp;K74&amp;IF(K70&lt;=2000,"02000",IF(K70&lt;=10000,"200010000","x"))&amp;$BD$72,'Sizing Factors'!$L:$L,0))</f>
        <v>#N/A</v>
      </c>
      <c r="BF72" s="42" t="e">
        <f>INDEX('Sizing Factors'!$I:$I,MATCH(C68&amp;K72&amp;K74&amp;IF(K70&lt;=2000,"02000",IF(K70&lt;=10000,"200010000","x"))&amp;$BD$72,'Sizing Factors'!$L:$L,0))</f>
        <v>#N/A</v>
      </c>
      <c r="BG72" s="42" t="e">
        <f>IF(BF72=0,BE72*100&amp;"%",BF72&amp;" ] ÷ "&amp;BE72)</f>
        <v>#N/A</v>
      </c>
      <c r="BH72" s="43" t="e">
        <f>MIN(MAX(($Z$70-$BF$72)/$BE$72,0),Z70*5)</f>
        <v>#N/A</v>
      </c>
      <c r="BI72" s="28" t="str">
        <f>IF(K70&gt;10000,"Not applicable for contributing area &gt; 10,000 sf","")</f>
        <v/>
      </c>
      <c r="BJ72" s="28"/>
      <c r="BK72" s="28"/>
      <c r="BL72" s="28"/>
      <c r="BM72" s="28"/>
      <c r="BN72" s="28"/>
      <c r="BO72" s="28"/>
      <c r="BX72" s="28"/>
      <c r="BY72" s="28"/>
      <c r="BZ72" s="28"/>
      <c r="CA72" s="28"/>
      <c r="CB72" s="28"/>
      <c r="CC72" s="28"/>
      <c r="CD72" s="28"/>
      <c r="CE72" s="28"/>
    </row>
    <row r="73" spans="1:83" ht="3.75" customHeight="1" x14ac:dyDescent="0.2">
      <c r="A73" s="6"/>
      <c r="B73" s="14"/>
      <c r="C73" s="14"/>
      <c r="D73" s="91"/>
      <c r="E73" s="91"/>
      <c r="F73" s="7"/>
      <c r="G73" s="7"/>
      <c r="H73" s="7"/>
      <c r="I73" s="7"/>
      <c r="J73" s="7"/>
      <c r="K73" s="7"/>
      <c r="L73" s="7"/>
      <c r="M73" s="7"/>
      <c r="N73" s="7"/>
      <c r="O73" s="7"/>
      <c r="P73" s="7"/>
      <c r="Q73" s="153"/>
      <c r="R73" s="153"/>
      <c r="S73" s="153"/>
      <c r="T73" s="153"/>
      <c r="U73" s="153"/>
      <c r="V73" s="153"/>
      <c r="W73" s="153"/>
      <c r="X73" s="153"/>
      <c r="Y73" s="153"/>
      <c r="Z73" s="153"/>
      <c r="AA73" s="153"/>
      <c r="AB73" s="153"/>
      <c r="AC73" s="153"/>
      <c r="AD73" s="153"/>
      <c r="AE73" s="7"/>
      <c r="AF73" s="7"/>
      <c r="AG73" s="7"/>
      <c r="AH73" s="7"/>
      <c r="AI73" s="7"/>
      <c r="AJ73" s="7"/>
      <c r="AK73" s="7"/>
      <c r="AL73" s="7"/>
      <c r="AM73" s="7"/>
      <c r="AN73" s="7"/>
      <c r="AO73" s="7"/>
      <c r="AP73" s="7"/>
      <c r="AQ73" s="7"/>
      <c r="AR73" s="7"/>
      <c r="AS73" s="7"/>
      <c r="AT73" s="7"/>
      <c r="AU73" s="7"/>
      <c r="AV73" s="7"/>
      <c r="AW73" s="7"/>
      <c r="AX73" s="7"/>
      <c r="AY73" s="7"/>
      <c r="AZ73" s="7"/>
      <c r="BA73" s="7"/>
      <c r="BB73" s="8"/>
      <c r="BD73" s="28"/>
      <c r="BE73" s="28"/>
      <c r="BF73" s="28"/>
      <c r="BG73" s="28"/>
      <c r="BH73" s="28"/>
      <c r="BI73" s="28"/>
      <c r="BJ73" s="28"/>
      <c r="BK73" s="28"/>
      <c r="BL73" s="28"/>
      <c r="BM73" s="28"/>
      <c r="BN73" s="28"/>
      <c r="BO73" s="28"/>
      <c r="BX73" s="28"/>
      <c r="BY73" s="28"/>
      <c r="BZ73" s="28"/>
      <c r="CA73" s="28"/>
      <c r="CB73" s="28"/>
      <c r="CC73" s="28"/>
      <c r="CD73" s="28"/>
      <c r="CE73" s="28"/>
    </row>
    <row r="74" spans="1:83" ht="12.75" x14ac:dyDescent="0.2">
      <c r="A74" s="21"/>
      <c r="B74" s="23"/>
      <c r="C74" s="23"/>
      <c r="D74" s="95" t="s">
        <v>150</v>
      </c>
      <c r="E74" s="94"/>
      <c r="F74" s="22"/>
      <c r="G74" s="22"/>
      <c r="H74" s="22"/>
      <c r="I74" s="22"/>
      <c r="J74" s="22"/>
      <c r="K74" s="159"/>
      <c r="L74" s="159"/>
      <c r="M74" s="159"/>
      <c r="N74" s="159"/>
      <c r="O74" s="22" t="s">
        <v>49</v>
      </c>
      <c r="P74" s="22"/>
      <c r="Q74" s="153"/>
      <c r="R74" s="153"/>
      <c r="S74" s="153"/>
      <c r="T74" s="153"/>
      <c r="U74" s="153"/>
      <c r="V74" s="153"/>
      <c r="W74" s="153"/>
      <c r="X74" s="153"/>
      <c r="Y74" s="153"/>
      <c r="Z74" s="153"/>
      <c r="AA74" s="153"/>
      <c r="AB74" s="153"/>
      <c r="AC74" s="153"/>
      <c r="AD74" s="153"/>
      <c r="AE74" s="22"/>
      <c r="AF74" s="22"/>
      <c r="AG74" s="22"/>
      <c r="AH74" s="165" t="s">
        <v>56</v>
      </c>
      <c r="AI74" s="165"/>
      <c r="AJ74" s="165"/>
      <c r="AK74" s="165"/>
      <c r="AL74" s="165"/>
      <c r="AM74" s="165"/>
      <c r="AN74" s="165"/>
      <c r="AO74" s="165"/>
      <c r="AP74" s="165"/>
      <c r="AQ74" s="165"/>
      <c r="AR74" s="165"/>
      <c r="AS74" s="22"/>
      <c r="AT74" s="52" t="s">
        <v>114</v>
      </c>
      <c r="AU74" s="22"/>
      <c r="AV74" s="155" t="str">
        <f>IF(Z70="","",Z70)</f>
        <v/>
      </c>
      <c r="AW74" s="155"/>
      <c r="AX74" s="155"/>
      <c r="AY74" s="155"/>
      <c r="AZ74" s="155"/>
      <c r="BA74" s="22" t="s">
        <v>6</v>
      </c>
      <c r="BB74" s="27"/>
      <c r="BD74" s="28" t="s">
        <v>77</v>
      </c>
      <c r="BE74" s="42" t="e">
        <f>IF(K70&gt;10000,"NA",INDEX('Sizing Factors'!$H:$H,MATCH(C68&amp;K72&amp;K74&amp;$BD$74,'Sizing Factors'!$L:$L,0)))</f>
        <v>#N/A</v>
      </c>
      <c r="BF74" s="42" t="e">
        <f>INDEX('Sizing Factors'!$I:$I,MATCH(C68&amp;K72&amp;K74&amp;$BD$74,'Sizing Factors'!$L:$L,0))</f>
        <v>#N/A</v>
      </c>
      <c r="BG74" s="42" t="e">
        <f>IF(BF74=0,BE74*100&amp;"%",BF74&amp;" ] ÷ "&amp;BE74)</f>
        <v>#N/A</v>
      </c>
      <c r="BH74" s="43" t="e">
        <f>MIN(($Z$70-$BF$74)/$BE$74,Z70*5)</f>
        <v>#N/A</v>
      </c>
      <c r="BI74" s="28" t="str">
        <f>IF(K70&gt;10000,"Not applicable for contributing area &gt; 10,000 sf","")</f>
        <v/>
      </c>
      <c r="BJ74" s="28"/>
      <c r="BK74" s="28"/>
      <c r="BL74" s="28"/>
      <c r="BM74" s="28"/>
      <c r="BN74" s="28"/>
      <c r="BO74" s="28"/>
      <c r="BX74" s="28"/>
      <c r="BY74" s="28"/>
      <c r="BZ74" s="28"/>
      <c r="CA74" s="28"/>
      <c r="CB74" s="28"/>
      <c r="CC74" s="28"/>
      <c r="CD74" s="28"/>
      <c r="CE74" s="28"/>
    </row>
    <row r="75" spans="1:83" ht="3.75" customHeight="1" x14ac:dyDescent="0.2">
      <c r="A75" s="6"/>
      <c r="B75" s="14"/>
      <c r="C75" s="14"/>
      <c r="D75" s="91"/>
      <c r="E75" s="91"/>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8"/>
      <c r="BD75" s="28"/>
      <c r="BE75" s="28"/>
      <c r="BF75" s="28"/>
      <c r="BG75" s="28"/>
      <c r="BH75" s="28"/>
      <c r="BI75" s="28"/>
      <c r="BJ75" s="28"/>
      <c r="BK75" s="28"/>
      <c r="BL75" s="28"/>
      <c r="BM75" s="28"/>
      <c r="BN75" s="28"/>
      <c r="BO75" s="28"/>
      <c r="BX75" s="28"/>
      <c r="BY75" s="28"/>
      <c r="BZ75" s="28"/>
      <c r="CA75" s="28"/>
      <c r="CB75" s="28"/>
      <c r="CC75" s="28"/>
      <c r="CD75" s="28"/>
      <c r="CE75" s="28"/>
    </row>
    <row r="76" spans="1:83" x14ac:dyDescent="0.2">
      <c r="A76" s="6"/>
      <c r="B76" s="13" t="s">
        <v>25</v>
      </c>
      <c r="C76" s="14"/>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8"/>
      <c r="BD76" s="28"/>
      <c r="BE76" s="28"/>
      <c r="BF76" s="28"/>
      <c r="BG76" s="28"/>
      <c r="BH76" s="28"/>
      <c r="BI76" s="28"/>
      <c r="BJ76" s="28"/>
      <c r="BK76" s="28"/>
      <c r="BL76" s="28"/>
      <c r="BM76" s="28"/>
      <c r="BN76" s="28"/>
      <c r="BO76" s="28"/>
      <c r="BX76" s="28"/>
      <c r="BY76" s="28"/>
      <c r="BZ76" s="28"/>
      <c r="CA76" s="28"/>
      <c r="CB76" s="28"/>
      <c r="CC76" s="28"/>
      <c r="CD76" s="28"/>
      <c r="CE76" s="28"/>
    </row>
    <row r="77" spans="1:83" ht="3.75" customHeight="1" x14ac:dyDescent="0.2">
      <c r="A77" s="6"/>
      <c r="B77" s="14"/>
      <c r="C77" s="14"/>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8"/>
      <c r="BD77" s="28"/>
      <c r="BE77" s="28"/>
      <c r="BF77" s="28"/>
      <c r="BG77" s="28"/>
      <c r="BH77" s="28"/>
      <c r="BI77" s="28"/>
      <c r="BJ77" s="28"/>
      <c r="BK77" s="28"/>
      <c r="BL77" s="28"/>
      <c r="BM77" s="28"/>
      <c r="BN77" s="28"/>
      <c r="BO77" s="28"/>
      <c r="BX77" s="28"/>
      <c r="BY77" s="28"/>
      <c r="BZ77" s="28"/>
      <c r="CA77" s="28"/>
      <c r="CB77" s="28"/>
      <c r="CC77" s="28"/>
      <c r="CD77" s="28"/>
      <c r="CE77" s="28"/>
    </row>
    <row r="78" spans="1:83" x14ac:dyDescent="0.2">
      <c r="A78" s="6"/>
      <c r="B78" s="14"/>
      <c r="C78" s="14" t="s">
        <v>26</v>
      </c>
      <c r="D78" s="7"/>
      <c r="E78" s="7"/>
      <c r="F78" s="7"/>
      <c r="G78" s="7"/>
      <c r="H78" s="7"/>
      <c r="I78" s="7"/>
      <c r="J78" s="7"/>
      <c r="K78" s="7"/>
      <c r="L78" s="7"/>
      <c r="M78" s="7"/>
      <c r="N78" s="7"/>
      <c r="O78" s="7"/>
      <c r="P78" s="7"/>
      <c r="Q78" s="22" t="s">
        <v>57</v>
      </c>
      <c r="R78" s="15"/>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141"/>
      <c r="AW78" s="141"/>
      <c r="AX78" s="141"/>
      <c r="AY78" s="141"/>
      <c r="AZ78" s="141"/>
      <c r="BA78" s="22" t="s">
        <v>6</v>
      </c>
      <c r="BB78" s="8"/>
      <c r="BD78" s="28"/>
      <c r="BE78" s="28"/>
      <c r="BF78" s="28"/>
      <c r="BG78" s="28"/>
      <c r="BH78" s="28"/>
      <c r="BI78" s="28"/>
      <c r="BJ78" s="28"/>
      <c r="BK78" s="28"/>
      <c r="BL78" s="28"/>
      <c r="BM78" s="28"/>
      <c r="BN78" s="28"/>
      <c r="BO78" s="28"/>
      <c r="BX78" s="28"/>
      <c r="BY78" s="28"/>
      <c r="BZ78" s="28"/>
      <c r="CA78" s="28"/>
      <c r="CB78" s="28"/>
      <c r="CC78" s="28"/>
      <c r="CD78" s="28"/>
      <c r="CE78" s="28"/>
    </row>
    <row r="79" spans="1:83" ht="3.75" customHeight="1" x14ac:dyDescent="0.2">
      <c r="A79" s="6"/>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8"/>
      <c r="BD79" s="28"/>
      <c r="BE79" s="28"/>
      <c r="BF79" s="28"/>
      <c r="BG79" s="28"/>
      <c r="BH79" s="28"/>
      <c r="BI79" s="28"/>
      <c r="BJ79" s="28"/>
      <c r="BK79" s="28"/>
      <c r="BL79" s="28"/>
      <c r="BM79" s="28"/>
      <c r="BN79" s="28"/>
      <c r="BO79" s="28"/>
    </row>
    <row r="80" spans="1:83" s="41" customFormat="1" x14ac:dyDescent="0.2">
      <c r="A80" s="93" t="s">
        <v>148</v>
      </c>
      <c r="B80" s="75"/>
      <c r="C80" s="75"/>
      <c r="D80" s="75"/>
      <c r="E80" s="75"/>
      <c r="F80" s="75"/>
      <c r="G80" s="75"/>
      <c r="H80" s="75"/>
      <c r="I80" s="75"/>
      <c r="J80" s="75"/>
      <c r="K80" s="75"/>
      <c r="L80" s="75"/>
      <c r="M80" s="75"/>
      <c r="N80" s="75"/>
      <c r="O80" s="75"/>
      <c r="P80" s="75"/>
      <c r="Q80" s="84"/>
      <c r="R80" s="84"/>
      <c r="S80" s="84"/>
      <c r="T80" s="84"/>
      <c r="U80" s="84"/>
      <c r="V80" s="84"/>
      <c r="W80" s="84"/>
      <c r="X80" s="84" t="s">
        <v>14</v>
      </c>
      <c r="Y80" s="84"/>
      <c r="Z80" s="84"/>
      <c r="AA80" s="84"/>
      <c r="AB80" s="84"/>
      <c r="AC80" s="84"/>
      <c r="AD80" s="84"/>
      <c r="AE80" s="75"/>
      <c r="AF80" s="75"/>
      <c r="AG80" s="75"/>
      <c r="AH80" s="151" t="s">
        <v>15</v>
      </c>
      <c r="AI80" s="151"/>
      <c r="AJ80" s="151"/>
      <c r="AK80" s="151"/>
      <c r="AL80" s="151"/>
      <c r="AM80" s="151"/>
      <c r="AN80" s="151"/>
      <c r="AO80" s="151"/>
      <c r="AP80" s="151"/>
      <c r="AQ80" s="151"/>
      <c r="AR80" s="151"/>
      <c r="AS80" s="75"/>
      <c r="AT80" s="75"/>
      <c r="AU80" s="75"/>
      <c r="AV80" s="151" t="s">
        <v>16</v>
      </c>
      <c r="AW80" s="151"/>
      <c r="AX80" s="151"/>
      <c r="AY80" s="151"/>
      <c r="AZ80" s="151"/>
      <c r="BA80" s="151"/>
      <c r="BB80" s="76"/>
      <c r="BD80" s="59"/>
      <c r="BE80" s="59"/>
      <c r="BF80" s="59"/>
      <c r="BG80" s="59"/>
      <c r="BH80" s="59"/>
      <c r="BI80" s="59"/>
      <c r="BJ80" s="59"/>
      <c r="BK80" s="59"/>
      <c r="BL80" s="59"/>
      <c r="BM80" s="59"/>
      <c r="BN80" s="59"/>
      <c r="BO80" s="59"/>
    </row>
    <row r="81" spans="1:75" ht="3.75" customHeight="1" x14ac:dyDescent="0.2">
      <c r="A81" s="6"/>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8"/>
      <c r="BD81" s="28"/>
      <c r="BE81" s="28"/>
      <c r="BF81" s="28"/>
      <c r="BG81" s="28"/>
      <c r="BH81" s="28"/>
      <c r="BI81" s="28"/>
      <c r="BJ81" s="28"/>
      <c r="BK81" s="28"/>
      <c r="BL81" s="28"/>
      <c r="BM81" s="28"/>
      <c r="BN81" s="28"/>
      <c r="BO81" s="28"/>
    </row>
    <row r="82" spans="1:75" x14ac:dyDescent="0.2">
      <c r="A82" s="6"/>
      <c r="B82" s="13" t="s">
        <v>27</v>
      </c>
      <c r="C82" s="14"/>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8"/>
      <c r="BD82" s="28"/>
      <c r="BE82" s="28"/>
      <c r="BF82" s="28"/>
      <c r="BG82" s="28"/>
      <c r="BH82" s="28"/>
      <c r="BI82" s="28"/>
      <c r="BJ82" s="28"/>
      <c r="BK82" s="28"/>
      <c r="BL82" s="28"/>
      <c r="BM82" s="28"/>
      <c r="BN82" s="28"/>
      <c r="BO82" s="28"/>
      <c r="BP82" s="28"/>
      <c r="BQ82" s="28"/>
      <c r="BR82" s="28"/>
      <c r="BS82" s="28"/>
      <c r="BT82" s="28"/>
      <c r="BU82" s="28"/>
      <c r="BV82" s="28"/>
      <c r="BW82" s="28"/>
    </row>
    <row r="83" spans="1:75" ht="3.75" customHeight="1" x14ac:dyDescent="0.2">
      <c r="A83" s="6"/>
      <c r="B83" s="14"/>
      <c r="C83" s="14"/>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8"/>
      <c r="BD83" s="28"/>
      <c r="BE83" s="28"/>
      <c r="BF83" s="28"/>
      <c r="BG83" s="28"/>
      <c r="BH83" s="28"/>
      <c r="BI83" s="28"/>
      <c r="BJ83" s="28"/>
      <c r="BK83" s="28"/>
      <c r="BL83" s="28"/>
      <c r="BM83" s="28"/>
      <c r="BN83" s="28"/>
      <c r="BO83" s="28"/>
    </row>
    <row r="84" spans="1:75" s="28" customFormat="1" x14ac:dyDescent="0.2">
      <c r="A84" s="6"/>
      <c r="B84" s="14"/>
      <c r="C84" s="14" t="s">
        <v>70</v>
      </c>
      <c r="D84" s="7"/>
      <c r="E84" s="7"/>
      <c r="F84" s="7"/>
      <c r="G84" s="7"/>
      <c r="H84" s="7"/>
      <c r="I84" s="7"/>
      <c r="J84" s="7"/>
      <c r="K84" s="7"/>
      <c r="L84" s="7"/>
      <c r="M84" s="7"/>
      <c r="N84" s="7"/>
      <c r="O84" s="7"/>
      <c r="P84" s="7"/>
      <c r="Q84" s="96"/>
      <c r="R84" s="78"/>
      <c r="S84" s="78"/>
      <c r="T84" s="78"/>
      <c r="U84" s="7"/>
      <c r="V84" s="7"/>
      <c r="W84" s="7"/>
      <c r="X84" s="7"/>
      <c r="Y84" s="7"/>
      <c r="AD84" s="7"/>
      <c r="AE84" s="7"/>
      <c r="AF84" s="7"/>
      <c r="AG84" s="7"/>
      <c r="AH84" s="7"/>
      <c r="AI84" s="7"/>
      <c r="AJ84" s="7"/>
      <c r="AK84" s="7"/>
      <c r="AL84" s="7"/>
      <c r="AM84" s="7"/>
      <c r="AN84" s="7"/>
      <c r="AO84" s="7"/>
      <c r="AP84" s="7"/>
      <c r="AQ84" s="7"/>
      <c r="AR84" s="7"/>
      <c r="AS84" s="7"/>
      <c r="AT84" s="7"/>
      <c r="AU84" s="7"/>
      <c r="AV84" s="7"/>
      <c r="AW84" s="7"/>
      <c r="AX84" s="7"/>
      <c r="AY84" s="7"/>
      <c r="AZ84" s="7"/>
      <c r="BA84" s="7"/>
      <c r="BB84" s="8"/>
      <c r="BD84" s="97" t="str">
        <f>C84&amp;IF(R86="No","without check dams","with check dams")</f>
        <v>Permeable Pavement Surfacewith check dams</v>
      </c>
      <c r="BE84" s="28" t="s">
        <v>8</v>
      </c>
      <c r="BF84" s="28" t="s">
        <v>77</v>
      </c>
    </row>
    <row r="85" spans="1:75" ht="3.75" customHeight="1" x14ac:dyDescent="0.2">
      <c r="A85" s="6"/>
      <c r="B85" s="14"/>
      <c r="C85" s="14"/>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8"/>
      <c r="BD85" s="28"/>
      <c r="BE85" s="28"/>
      <c r="BF85" s="28"/>
      <c r="BG85" s="28"/>
      <c r="BH85" s="28"/>
      <c r="BI85" s="28"/>
      <c r="BJ85" s="28"/>
      <c r="BK85" s="28"/>
      <c r="BL85" s="28"/>
      <c r="BM85" s="28"/>
      <c r="BN85" s="28"/>
      <c r="BO85" s="28"/>
    </row>
    <row r="86" spans="1:75" ht="12" customHeight="1" x14ac:dyDescent="0.2">
      <c r="A86" s="6"/>
      <c r="B86" s="14"/>
      <c r="C86" s="14"/>
      <c r="D86" s="157" t="s">
        <v>153</v>
      </c>
      <c r="E86" s="157"/>
      <c r="F86" s="157"/>
      <c r="G86" s="157"/>
      <c r="H86" s="157"/>
      <c r="I86" s="157"/>
      <c r="J86" s="157"/>
      <c r="K86" s="157"/>
      <c r="L86" s="157"/>
      <c r="M86" s="157"/>
      <c r="N86" s="157"/>
      <c r="O86" s="157"/>
      <c r="P86" s="157"/>
      <c r="Q86" s="157"/>
      <c r="R86" s="154"/>
      <c r="S86" s="154"/>
      <c r="T86" s="154"/>
      <c r="U86" s="154"/>
      <c r="V86" s="115"/>
      <c r="W86" s="115"/>
      <c r="X86" s="115"/>
      <c r="Y86" s="7"/>
      <c r="Z86" s="2"/>
      <c r="AA86" s="2"/>
      <c r="AB86" s="2"/>
      <c r="AC86" s="2"/>
      <c r="AD86" s="2"/>
      <c r="AE86" s="2"/>
      <c r="AF86" s="7"/>
      <c r="AG86" s="7"/>
      <c r="AH86" s="7"/>
      <c r="AI86" s="7"/>
      <c r="AJ86" s="7"/>
      <c r="AK86" s="7"/>
      <c r="AL86" s="7"/>
      <c r="AM86" s="7"/>
      <c r="AN86" s="7"/>
      <c r="AO86" s="7"/>
      <c r="AP86" s="7"/>
      <c r="AQ86" s="7"/>
      <c r="AR86" s="7"/>
      <c r="AS86" s="7"/>
      <c r="AT86" s="7"/>
      <c r="AU86" s="7"/>
      <c r="AV86" s="7"/>
      <c r="AW86" s="7"/>
      <c r="AX86" s="7"/>
      <c r="AY86" s="7"/>
      <c r="AZ86" s="7"/>
      <c r="BA86" s="7"/>
      <c r="BB86" s="8"/>
      <c r="BD86" s="28"/>
      <c r="BE86" s="28"/>
      <c r="BF86" s="28"/>
      <c r="BG86" s="28"/>
      <c r="BH86" s="28"/>
      <c r="BI86" s="28"/>
      <c r="BJ86" s="28"/>
      <c r="BK86" s="28"/>
      <c r="BL86" s="28"/>
      <c r="BM86" s="28"/>
      <c r="BN86" s="28"/>
      <c r="BO86" s="28"/>
    </row>
    <row r="87" spans="1:75" x14ac:dyDescent="0.2">
      <c r="A87" s="6"/>
      <c r="B87" s="14"/>
      <c r="C87" s="14"/>
      <c r="D87" s="157"/>
      <c r="E87" s="157"/>
      <c r="F87" s="157"/>
      <c r="G87" s="157"/>
      <c r="H87" s="157"/>
      <c r="I87" s="157"/>
      <c r="J87" s="157"/>
      <c r="K87" s="157"/>
      <c r="L87" s="157"/>
      <c r="M87" s="157"/>
      <c r="N87" s="157"/>
      <c r="O87" s="157"/>
      <c r="P87" s="157"/>
      <c r="Q87" s="157"/>
      <c r="R87" s="2"/>
      <c r="S87" s="2"/>
      <c r="T87" s="2"/>
      <c r="U87" s="2"/>
      <c r="V87" s="2"/>
      <c r="W87" s="115"/>
      <c r="X87" s="115"/>
      <c r="Y87" s="7"/>
      <c r="Z87" s="2"/>
      <c r="AA87" s="2"/>
      <c r="AB87" s="2"/>
      <c r="AC87" s="2"/>
      <c r="AD87" s="7"/>
      <c r="AE87" s="7"/>
      <c r="AF87" s="7"/>
      <c r="AG87" s="7"/>
      <c r="AH87" s="7"/>
      <c r="AI87" s="7"/>
      <c r="AJ87" s="7"/>
      <c r="AK87" s="7"/>
      <c r="AL87" s="7"/>
      <c r="AM87" s="7"/>
      <c r="AN87" s="7"/>
      <c r="AO87" s="7"/>
      <c r="AP87" s="7"/>
      <c r="AQ87" s="7"/>
      <c r="AR87" s="7"/>
      <c r="AS87" s="7"/>
      <c r="AT87" s="7"/>
      <c r="AU87" s="7"/>
      <c r="AV87" s="7"/>
      <c r="AW87" s="7"/>
      <c r="AX87" s="7"/>
      <c r="AY87" s="7"/>
      <c r="AZ87" s="7"/>
      <c r="BA87" s="7"/>
      <c r="BB87" s="8"/>
      <c r="BD87" s="28"/>
      <c r="BE87" s="28"/>
      <c r="BF87" s="28"/>
      <c r="BG87" s="28"/>
      <c r="BH87" s="28"/>
      <c r="BI87" s="28"/>
      <c r="BJ87" s="28"/>
      <c r="BK87" s="28"/>
      <c r="BL87" s="28"/>
      <c r="BM87" s="28"/>
      <c r="BN87" s="28"/>
      <c r="BO87" s="28"/>
    </row>
    <row r="88" spans="1:75" ht="3.75" customHeight="1" x14ac:dyDescent="0.2">
      <c r="A88" s="6"/>
      <c r="B88" s="14"/>
      <c r="C88" s="14"/>
      <c r="D88" s="115"/>
      <c r="E88" s="115"/>
      <c r="F88" s="115"/>
      <c r="G88" s="115"/>
      <c r="H88" s="115"/>
      <c r="I88" s="115"/>
      <c r="J88" s="115"/>
      <c r="K88" s="115"/>
      <c r="L88" s="115"/>
      <c r="M88" s="115"/>
      <c r="N88" s="115"/>
      <c r="O88" s="115"/>
      <c r="P88" s="115"/>
      <c r="Q88" s="115"/>
      <c r="R88" s="115"/>
      <c r="S88" s="115"/>
      <c r="T88" s="115"/>
      <c r="U88" s="115"/>
      <c r="V88" s="115"/>
      <c r="W88" s="115"/>
      <c r="X88" s="115"/>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8"/>
      <c r="BD88" s="28"/>
      <c r="BE88" s="28"/>
      <c r="BF88" s="28"/>
      <c r="BG88" s="28"/>
      <c r="BH88" s="28"/>
      <c r="BI88" s="28"/>
      <c r="BJ88" s="28"/>
      <c r="BK88" s="28"/>
      <c r="BL88" s="28"/>
      <c r="BM88" s="28"/>
      <c r="BN88" s="28"/>
      <c r="BO88" s="28"/>
    </row>
    <row r="89" spans="1:75" s="28" customFormat="1" x14ac:dyDescent="0.2">
      <c r="A89" s="21"/>
      <c r="B89" s="23"/>
      <c r="C89" s="25"/>
      <c r="D89" s="22" t="s">
        <v>71</v>
      </c>
      <c r="E89" s="22"/>
      <c r="F89" s="22"/>
      <c r="G89" s="22"/>
      <c r="H89" s="22"/>
      <c r="I89" s="22"/>
      <c r="J89" s="22"/>
      <c r="K89" s="22"/>
      <c r="L89" s="22"/>
      <c r="M89" s="22"/>
      <c r="N89" s="22"/>
      <c r="O89" s="22"/>
      <c r="P89" s="22"/>
      <c r="Q89" s="1" t="s">
        <v>56</v>
      </c>
      <c r="R89" s="22"/>
      <c r="S89" s="22"/>
      <c r="T89" s="22"/>
      <c r="U89" s="22"/>
      <c r="V89" s="22"/>
      <c r="W89" s="22"/>
      <c r="X89" s="22"/>
      <c r="Y89" s="24"/>
      <c r="Z89" s="141"/>
      <c r="AA89" s="141"/>
      <c r="AB89" s="141"/>
      <c r="AC89" s="141"/>
      <c r="AD89" s="22" t="s">
        <v>6</v>
      </c>
      <c r="AE89" s="22"/>
      <c r="AF89" s="88" t="s">
        <v>46</v>
      </c>
      <c r="AG89" s="22"/>
      <c r="AH89" s="146" t="str">
        <f>IF(R86="","Select if check dams are used",
IF(Standard="","Select flow control standard",
IF(Standard="Pre-developed pasture standard",BE89,
IF(Standard="Peak Control Standard",BF89,
MIN(BF89,BE89)))))</f>
        <v>Select if check dams are used</v>
      </c>
      <c r="AI89" s="146"/>
      <c r="AJ89" s="146"/>
      <c r="AK89" s="146"/>
      <c r="AL89" s="146"/>
      <c r="AM89" s="146"/>
      <c r="AN89" s="146"/>
      <c r="AO89" s="146"/>
      <c r="AP89" s="146"/>
      <c r="AQ89" s="146"/>
      <c r="AR89" s="146"/>
      <c r="AS89" s="22"/>
      <c r="AT89" s="88" t="str">
        <f>"="</f>
        <v>=</v>
      </c>
      <c r="AU89" s="22"/>
      <c r="AV89" s="142" t="str">
        <f>IFERROR(IF(Z89="","",Z89*AH89),"")</f>
        <v/>
      </c>
      <c r="AW89" s="142"/>
      <c r="AX89" s="142"/>
      <c r="AY89" s="142"/>
      <c r="AZ89" s="142"/>
      <c r="BA89" s="22" t="s">
        <v>6</v>
      </c>
      <c r="BB89" s="27"/>
      <c r="BD89" s="28" t="s">
        <v>99</v>
      </c>
      <c r="BE89" s="28">
        <f>INDEX('Sizing Factors'!$H:$H,MATCH($BD$84&amp;$BD$89&amp;$BE$84,'Sizing Factors'!$L:$L,0))</f>
        <v>1</v>
      </c>
      <c r="BF89" s="28">
        <f>INDEX('Sizing Factors'!$H:$H,MATCH($BD$84&amp;$BD$89&amp;$BF$84,'Sizing Factors'!$L:$L,0))</f>
        <v>0.63</v>
      </c>
      <c r="BP89" s="2"/>
      <c r="BQ89" s="2"/>
      <c r="BR89" s="2"/>
      <c r="BS89" s="2"/>
      <c r="BT89" s="2"/>
      <c r="BU89" s="2"/>
      <c r="BV89" s="2"/>
      <c r="BW89" s="2"/>
    </row>
    <row r="90" spans="1:75" ht="3.75" customHeight="1" x14ac:dyDescent="0.2">
      <c r="A90" s="6"/>
      <c r="B90" s="14"/>
      <c r="C90" s="14"/>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8"/>
      <c r="BD90" s="28"/>
      <c r="BE90" s="28"/>
      <c r="BF90" s="28"/>
      <c r="BG90" s="28"/>
      <c r="BH90" s="28"/>
      <c r="BI90" s="28"/>
      <c r="BJ90" s="28"/>
      <c r="BK90" s="28"/>
      <c r="BL90" s="28"/>
      <c r="BM90" s="28"/>
      <c r="BN90" s="28"/>
      <c r="BO90" s="28"/>
    </row>
    <row r="91" spans="1:75" x14ac:dyDescent="0.2">
      <c r="A91" s="21"/>
      <c r="B91" s="23"/>
      <c r="C91" s="23"/>
      <c r="D91" s="22" t="s">
        <v>72</v>
      </c>
      <c r="E91" s="22"/>
      <c r="F91" s="22"/>
      <c r="G91" s="22"/>
      <c r="H91" s="22"/>
      <c r="I91" s="22"/>
      <c r="J91" s="22"/>
      <c r="K91" s="22"/>
      <c r="L91" s="22"/>
      <c r="M91" s="22"/>
      <c r="N91" s="22"/>
      <c r="O91" s="22"/>
      <c r="P91" s="22"/>
      <c r="Q91" s="1" t="s">
        <v>56</v>
      </c>
      <c r="R91" s="22"/>
      <c r="S91" s="22"/>
      <c r="T91" s="22"/>
      <c r="U91" s="22"/>
      <c r="V91" s="22"/>
      <c r="W91" s="22"/>
      <c r="X91" s="22"/>
      <c r="Y91" s="24"/>
      <c r="Z91" s="141"/>
      <c r="AA91" s="141"/>
      <c r="AB91" s="141"/>
      <c r="AC91" s="141"/>
      <c r="AD91" s="22" t="s">
        <v>6</v>
      </c>
      <c r="AE91" s="22"/>
      <c r="AF91" s="26" t="s">
        <v>46</v>
      </c>
      <c r="AG91" s="22"/>
      <c r="AH91" s="146" t="str">
        <f>IF(R86="","Select if check dams are used",
IF(Standard="","Select flow control standard",
IF(Standard="Pre-developed pasture standard",BE91,
IF(Standard="Peak Control Standard",BF91,
MIN(BF91,BE91)))))</f>
        <v>Select if check dams are used</v>
      </c>
      <c r="AI91" s="146"/>
      <c r="AJ91" s="146"/>
      <c r="AK91" s="146"/>
      <c r="AL91" s="146"/>
      <c r="AM91" s="146"/>
      <c r="AN91" s="146"/>
      <c r="AO91" s="146"/>
      <c r="AP91" s="146"/>
      <c r="AQ91" s="146"/>
      <c r="AR91" s="146"/>
      <c r="AS91" s="22"/>
      <c r="AT91" s="26" t="str">
        <f>"="</f>
        <v>=</v>
      </c>
      <c r="AU91" s="22"/>
      <c r="AV91" s="142" t="str">
        <f>IFERROR(IF(Z91="","",Z91*AH91),"")</f>
        <v/>
      </c>
      <c r="AW91" s="142"/>
      <c r="AX91" s="142"/>
      <c r="AY91" s="142"/>
      <c r="AZ91" s="142"/>
      <c r="BA91" s="22" t="s">
        <v>6</v>
      </c>
      <c r="BB91" s="27"/>
      <c r="BD91" s="28" t="s">
        <v>97</v>
      </c>
      <c r="BE91" s="28">
        <f>INDEX('Sizing Factors'!$H:$H,MATCH($BD$84&amp;$BD$91&amp;$BE$84,'Sizing Factors'!$L:$L,0))</f>
        <v>0.99</v>
      </c>
      <c r="BF91" s="28">
        <f>INDEX('Sizing Factors'!$H:$H,MATCH($BD$84&amp;$BD$91&amp;$BF$84,'Sizing Factors'!$L:$L,0))</f>
        <v>0.68</v>
      </c>
      <c r="BG91" s="28"/>
      <c r="BH91" s="28"/>
      <c r="BI91" s="28"/>
      <c r="BJ91" s="28"/>
      <c r="BK91" s="28"/>
      <c r="BL91" s="28"/>
      <c r="BM91" s="28"/>
      <c r="BN91" s="28"/>
      <c r="BO91" s="28"/>
    </row>
    <row r="92" spans="1:75" ht="3.75" customHeight="1" x14ac:dyDescent="0.2">
      <c r="A92" s="6"/>
      <c r="B92" s="14"/>
      <c r="C92" s="14"/>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8"/>
      <c r="BD92" s="28"/>
      <c r="BE92" s="28"/>
      <c r="BF92" s="28"/>
      <c r="BG92" s="28"/>
      <c r="BH92" s="28"/>
      <c r="BI92" s="28"/>
      <c r="BJ92" s="28"/>
      <c r="BK92" s="28"/>
      <c r="BL92" s="28"/>
      <c r="BM92" s="28"/>
      <c r="BN92" s="28"/>
      <c r="BO92" s="28"/>
    </row>
    <row r="93" spans="1:75" x14ac:dyDescent="0.2">
      <c r="A93" s="6"/>
      <c r="B93" s="13" t="s">
        <v>28</v>
      </c>
      <c r="C93" s="14"/>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8"/>
      <c r="BD93" s="41" t="str">
        <f>C95</f>
        <v>Vegetated Roof System</v>
      </c>
      <c r="BE93" s="28" t="s">
        <v>8</v>
      </c>
      <c r="BF93" s="28" t="s">
        <v>77</v>
      </c>
      <c r="BG93" s="28"/>
      <c r="BH93" s="28"/>
      <c r="BI93" s="28"/>
      <c r="BJ93" s="28"/>
      <c r="BK93" s="28"/>
      <c r="BL93" s="28"/>
      <c r="BM93" s="28"/>
      <c r="BN93" s="28"/>
      <c r="BO93" s="28"/>
    </row>
    <row r="94" spans="1:75" ht="3.75" customHeight="1" x14ac:dyDescent="0.2">
      <c r="A94" s="6"/>
      <c r="B94" s="14"/>
      <c r="C94" s="14"/>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8"/>
      <c r="BD94" s="28"/>
      <c r="BE94" s="28"/>
      <c r="BF94" s="28"/>
      <c r="BG94" s="28"/>
      <c r="BH94" s="28"/>
      <c r="BI94" s="28"/>
      <c r="BJ94" s="28"/>
      <c r="BK94" s="28"/>
      <c r="BL94" s="28"/>
      <c r="BM94" s="28"/>
      <c r="BN94" s="28"/>
      <c r="BO94" s="28"/>
    </row>
    <row r="95" spans="1:75" x14ac:dyDescent="0.2">
      <c r="A95" s="6"/>
      <c r="B95" s="14"/>
      <c r="C95" s="14" t="s">
        <v>58</v>
      </c>
      <c r="D95" s="7"/>
      <c r="E95" s="7"/>
      <c r="F95" s="7"/>
      <c r="G95" s="7"/>
      <c r="H95" s="7"/>
      <c r="I95" s="7"/>
      <c r="J95" s="7"/>
      <c r="K95" s="7"/>
      <c r="L95" s="7"/>
      <c r="M95" s="7"/>
      <c r="N95" s="7"/>
      <c r="O95" s="7"/>
      <c r="P95" s="7"/>
      <c r="Q95" s="1" t="s">
        <v>59</v>
      </c>
      <c r="R95" s="22"/>
      <c r="S95" s="22"/>
      <c r="T95" s="22"/>
      <c r="U95" s="22"/>
      <c r="V95" s="22"/>
      <c r="W95" s="22"/>
      <c r="X95" s="22"/>
      <c r="Y95" s="24"/>
      <c r="Z95" s="141"/>
      <c r="AA95" s="141"/>
      <c r="AB95" s="141"/>
      <c r="AC95" s="141"/>
      <c r="AD95" s="22" t="s">
        <v>6</v>
      </c>
      <c r="AE95" s="22"/>
      <c r="AF95" s="26" t="s">
        <v>46</v>
      </c>
      <c r="AG95" s="22"/>
      <c r="AH95" s="143" t="str">
        <f xml:space="preserve">
IF(Standard="","Select flow control standard",
IF(Standard="Pre-developed pasture standard",BE95,
IF(Standard="Peak Control Standard",BF95,
MIN(BE95,BF95))))</f>
        <v>Select flow control standard</v>
      </c>
      <c r="AI95" s="143"/>
      <c r="AJ95" s="143"/>
      <c r="AK95" s="143"/>
      <c r="AL95" s="143"/>
      <c r="AM95" s="143"/>
      <c r="AN95" s="143"/>
      <c r="AO95" s="143"/>
      <c r="AP95" s="143"/>
      <c r="AQ95" s="143"/>
      <c r="AR95" s="143"/>
      <c r="AS95" s="22"/>
      <c r="AT95" s="26" t="str">
        <f>"="</f>
        <v>=</v>
      </c>
      <c r="AU95" s="22"/>
      <c r="AV95" s="142" t="str">
        <f>IFERROR(IF(Z95="","",Z95*AH95),"")</f>
        <v/>
      </c>
      <c r="AW95" s="142"/>
      <c r="AX95" s="142"/>
      <c r="AY95" s="142"/>
      <c r="AZ95" s="142"/>
      <c r="BA95" s="22" t="s">
        <v>6</v>
      </c>
      <c r="BB95" s="8"/>
      <c r="BD95" s="28"/>
      <c r="BE95" s="28">
        <f>INDEX('Sizing Factors'!$H:$H,MATCH($BD$93&amp;$BE$93,'Sizing Factors'!$L:$L,0))</f>
        <v>0.16</v>
      </c>
      <c r="BF95" s="28">
        <f>INDEX('Sizing Factors'!$H:$H,MATCH($BD$93&amp;$BF$93,'Sizing Factors'!$L:$L,0))</f>
        <v>0.8</v>
      </c>
      <c r="BG95" s="28"/>
      <c r="BH95" s="28"/>
      <c r="BI95" s="28"/>
      <c r="BJ95" s="28"/>
      <c r="BK95" s="28"/>
      <c r="BL95" s="28"/>
      <c r="BM95" s="28"/>
      <c r="BN95" s="28"/>
      <c r="BO95" s="28"/>
    </row>
    <row r="96" spans="1:75" ht="3.75" customHeight="1" x14ac:dyDescent="0.2">
      <c r="A96" s="6"/>
      <c r="B96" s="14"/>
      <c r="C96" s="14"/>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8"/>
      <c r="BD96" s="28"/>
      <c r="BE96" s="28"/>
      <c r="BF96" s="28"/>
      <c r="BG96" s="28"/>
      <c r="BH96" s="28"/>
      <c r="BI96" s="28"/>
      <c r="BJ96" s="28"/>
      <c r="BK96" s="28"/>
      <c r="BL96" s="28"/>
      <c r="BM96" s="28"/>
      <c r="BN96" s="28"/>
      <c r="BO96" s="28"/>
    </row>
    <row r="97" spans="1:83" s="41" customFormat="1" x14ac:dyDescent="0.2">
      <c r="A97" s="93" t="s">
        <v>149</v>
      </c>
      <c r="B97" s="75"/>
      <c r="C97" s="75"/>
      <c r="D97" s="75"/>
      <c r="E97" s="75"/>
      <c r="F97" s="75"/>
      <c r="G97" s="75"/>
      <c r="H97" s="75"/>
      <c r="I97" s="75"/>
      <c r="J97" s="75"/>
      <c r="K97" s="75"/>
      <c r="L97" s="75"/>
      <c r="M97" s="75"/>
      <c r="N97" s="75"/>
      <c r="O97" s="75"/>
      <c r="P97" s="75"/>
      <c r="Q97" s="84"/>
      <c r="R97" s="84"/>
      <c r="S97" s="84"/>
      <c r="T97" s="84"/>
      <c r="U97" s="84"/>
      <c r="V97" s="84"/>
      <c r="W97" s="84"/>
      <c r="X97" s="84"/>
      <c r="Y97" s="84"/>
      <c r="Z97" s="84"/>
      <c r="AA97" s="84"/>
      <c r="AB97" s="84"/>
      <c r="AC97" s="84"/>
      <c r="AD97" s="84"/>
      <c r="AE97" s="75"/>
      <c r="AF97" s="75"/>
      <c r="AG97" s="75"/>
      <c r="AH97" s="151"/>
      <c r="AI97" s="151"/>
      <c r="AJ97" s="151"/>
      <c r="AK97" s="151"/>
      <c r="AL97" s="151"/>
      <c r="AM97" s="151"/>
      <c r="AN97" s="151"/>
      <c r="AO97" s="151"/>
      <c r="AP97" s="151"/>
      <c r="AQ97" s="151"/>
      <c r="AR97" s="151"/>
      <c r="AS97" s="75"/>
      <c r="AT97" s="75"/>
      <c r="AU97" s="75"/>
      <c r="AV97" s="151"/>
      <c r="AW97" s="151"/>
      <c r="AX97" s="151"/>
      <c r="AY97" s="151"/>
      <c r="AZ97" s="151"/>
      <c r="BA97" s="151"/>
      <c r="BB97" s="76"/>
      <c r="BD97" s="59"/>
      <c r="BE97" s="59"/>
      <c r="BF97" s="59"/>
      <c r="BG97" s="59"/>
      <c r="BH97" s="59"/>
      <c r="BI97" s="59"/>
      <c r="BJ97" s="59"/>
      <c r="BK97" s="59"/>
      <c r="BL97" s="59"/>
      <c r="BM97" s="59"/>
      <c r="BN97" s="59"/>
      <c r="BO97" s="59"/>
    </row>
    <row r="98" spans="1:83" ht="3.75" customHeight="1" x14ac:dyDescent="0.2">
      <c r="A98" s="6"/>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8"/>
      <c r="BD98" s="28"/>
      <c r="BE98" s="28"/>
      <c r="BF98" s="28"/>
      <c r="BG98" s="28"/>
      <c r="BH98" s="28"/>
      <c r="BI98" s="28"/>
      <c r="BJ98" s="28"/>
      <c r="BK98" s="28"/>
      <c r="BL98" s="28"/>
      <c r="BM98" s="28"/>
      <c r="BN98" s="28"/>
      <c r="BO98" s="28"/>
    </row>
    <row r="99" spans="1:83" ht="12" customHeight="1" x14ac:dyDescent="0.2">
      <c r="A99" s="6"/>
      <c r="B99" s="13" t="s">
        <v>29</v>
      </c>
      <c r="C99" s="14"/>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40"/>
      <c r="AI99" s="40"/>
      <c r="AJ99" s="40"/>
      <c r="AK99" s="40"/>
      <c r="AL99" s="40"/>
      <c r="AM99" s="40"/>
      <c r="AN99" s="40"/>
      <c r="AO99" s="40"/>
      <c r="AP99" s="40"/>
      <c r="AQ99" s="40"/>
      <c r="AR99" s="40"/>
      <c r="AS99" s="7"/>
      <c r="AT99" s="7"/>
      <c r="AU99" s="7"/>
      <c r="AV99" s="7"/>
      <c r="AW99" s="7"/>
      <c r="AX99" s="7"/>
      <c r="AY99" s="7"/>
      <c r="AZ99" s="7"/>
      <c r="BA99" s="7"/>
      <c r="BB99" s="8"/>
      <c r="BD99" s="28"/>
      <c r="BE99" s="28"/>
      <c r="BF99" s="28"/>
      <c r="BG99" s="28"/>
      <c r="BH99" s="28"/>
      <c r="BI99" s="28"/>
      <c r="BJ99" s="28"/>
      <c r="BK99" s="28"/>
      <c r="BL99" s="28"/>
      <c r="BM99" s="28"/>
      <c r="BN99" s="28"/>
      <c r="BO99" s="28"/>
      <c r="BP99" s="28"/>
      <c r="BQ99" s="28"/>
      <c r="BR99" s="28"/>
      <c r="BS99" s="28"/>
      <c r="BT99" s="28"/>
      <c r="BU99" s="28"/>
      <c r="BV99" s="28"/>
      <c r="BW99" s="28"/>
    </row>
    <row r="100" spans="1:83" ht="5.25" customHeight="1" x14ac:dyDescent="0.2">
      <c r="A100" s="6"/>
      <c r="B100" s="14"/>
      <c r="C100" s="14"/>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40"/>
      <c r="AI100" s="40"/>
      <c r="AJ100" s="40"/>
      <c r="AK100" s="40"/>
      <c r="AL100" s="40"/>
      <c r="AM100" s="40"/>
      <c r="AN100" s="40"/>
      <c r="AO100" s="40"/>
      <c r="AP100" s="40"/>
      <c r="AQ100" s="40"/>
      <c r="AR100" s="40"/>
      <c r="AS100" s="7"/>
      <c r="AT100" s="7"/>
      <c r="AU100" s="7"/>
      <c r="AV100" s="7"/>
      <c r="AW100" s="7"/>
      <c r="AX100" s="7"/>
      <c r="AY100" s="7"/>
      <c r="AZ100" s="7"/>
      <c r="BA100" s="7"/>
      <c r="BB100" s="8"/>
      <c r="BD100" s="28"/>
      <c r="BE100" s="28"/>
      <c r="BF100" s="28"/>
      <c r="BG100" s="28"/>
      <c r="BH100" s="28"/>
      <c r="BI100" s="28"/>
      <c r="BJ100" s="28"/>
      <c r="BK100" s="28"/>
      <c r="BL100" s="28"/>
      <c r="BM100" s="28"/>
      <c r="BN100" s="28"/>
      <c r="BO100" s="28"/>
    </row>
    <row r="101" spans="1:83" s="28" customFormat="1" ht="12" customHeight="1" x14ac:dyDescent="0.2">
      <c r="A101" s="6"/>
      <c r="B101" s="14"/>
      <c r="C101" s="14" t="s">
        <v>126</v>
      </c>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40"/>
      <c r="AI101" s="40"/>
      <c r="AJ101" s="40"/>
      <c r="AK101" s="40"/>
      <c r="AL101" s="40"/>
      <c r="AM101" s="40"/>
      <c r="AN101" s="40"/>
      <c r="AO101" s="40"/>
      <c r="AP101" s="40"/>
      <c r="AQ101" s="40"/>
      <c r="AR101" s="40"/>
      <c r="AS101" s="7"/>
      <c r="AT101" s="7"/>
      <c r="AU101" s="7"/>
      <c r="AV101" s="176"/>
      <c r="AW101" s="176"/>
      <c r="AX101" s="176"/>
      <c r="AY101" s="176"/>
      <c r="AZ101" s="176"/>
      <c r="BA101" s="22"/>
      <c r="BB101" s="8"/>
      <c r="BD101" s="41" t="str">
        <f>C101</f>
        <v>Bioretention with Underdrain</v>
      </c>
    </row>
    <row r="102" spans="1:83" ht="5.25" customHeight="1" x14ac:dyDescent="0.2">
      <c r="A102" s="6"/>
      <c r="B102" s="14"/>
      <c r="C102" s="14"/>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40"/>
      <c r="AI102" s="40"/>
      <c r="AJ102" s="40"/>
      <c r="AK102" s="40"/>
      <c r="AL102" s="40"/>
      <c r="AM102" s="40"/>
      <c r="AN102" s="40"/>
      <c r="AO102" s="40"/>
      <c r="AP102" s="40"/>
      <c r="AQ102" s="40"/>
      <c r="AR102" s="40"/>
      <c r="AS102" s="7"/>
      <c r="AT102" s="7"/>
      <c r="AU102" s="7"/>
      <c r="AV102" s="7"/>
      <c r="AW102" s="7"/>
      <c r="AX102" s="7"/>
      <c r="AY102" s="7"/>
      <c r="AZ102" s="7"/>
      <c r="BA102" s="7"/>
      <c r="BB102" s="8"/>
      <c r="BD102" s="28"/>
      <c r="BE102" s="28"/>
      <c r="BF102" s="28"/>
      <c r="BG102" s="28"/>
      <c r="BH102" s="28"/>
      <c r="BI102" s="28"/>
      <c r="BJ102" s="28"/>
      <c r="BK102" s="28"/>
      <c r="BL102" s="28"/>
      <c r="BM102" s="28"/>
      <c r="BN102" s="28"/>
      <c r="BO102" s="28"/>
      <c r="BP102" s="28"/>
      <c r="BQ102" s="28"/>
      <c r="BR102" s="28"/>
      <c r="BS102" s="28"/>
      <c r="BT102" s="28"/>
      <c r="BU102" s="28"/>
      <c r="BV102" s="28"/>
      <c r="BW102" s="28"/>
      <c r="BX102" s="28"/>
      <c r="BY102" s="28"/>
      <c r="BZ102" s="28"/>
      <c r="CA102" s="28"/>
      <c r="CB102" s="28"/>
      <c r="CC102" s="28"/>
      <c r="CD102" s="28"/>
      <c r="CE102" s="28"/>
    </row>
    <row r="103" spans="1:83" s="28" customFormat="1" ht="22.5" customHeight="1" x14ac:dyDescent="0.2">
      <c r="A103" s="21"/>
      <c r="B103" s="23"/>
      <c r="C103" s="23"/>
      <c r="D103" s="157" t="s">
        <v>152</v>
      </c>
      <c r="E103" s="157"/>
      <c r="F103" s="157"/>
      <c r="G103" s="157"/>
      <c r="H103" s="157"/>
      <c r="I103" s="157"/>
      <c r="J103" s="157"/>
      <c r="K103" s="157"/>
      <c r="L103" s="157"/>
      <c r="M103" s="157"/>
      <c r="N103" s="157"/>
      <c r="O103" s="157"/>
      <c r="P103" s="157"/>
      <c r="Q103" s="157"/>
      <c r="R103" s="157"/>
      <c r="S103" s="157"/>
      <c r="T103" s="157"/>
      <c r="U103" s="157"/>
      <c r="V103" s="157"/>
      <c r="W103" s="157"/>
      <c r="X103" s="157"/>
      <c r="Y103" s="157"/>
      <c r="Z103" s="157"/>
      <c r="AA103" s="157"/>
      <c r="AB103" s="157"/>
      <c r="AC103" s="157"/>
      <c r="AD103" s="157"/>
      <c r="AE103" s="157"/>
      <c r="AF103" s="157"/>
      <c r="AG103" s="157"/>
      <c r="AH103" s="157"/>
      <c r="AI103" s="157"/>
      <c r="AJ103" s="157"/>
      <c r="AK103" s="157"/>
      <c r="AL103" s="157"/>
      <c r="AM103" s="157"/>
      <c r="AN103" s="157"/>
      <c r="AO103" s="157"/>
      <c r="AP103" s="157"/>
      <c r="AQ103" s="157"/>
      <c r="AR103" s="157"/>
      <c r="AS103" s="157"/>
      <c r="AT103" s="115"/>
      <c r="AU103" s="115"/>
      <c r="AV103" s="115"/>
      <c r="AW103" s="115"/>
      <c r="AX103" s="115"/>
      <c r="AY103" s="115"/>
      <c r="AZ103" s="115"/>
      <c r="BA103" s="22"/>
      <c r="BB103" s="27"/>
      <c r="BD103" s="28" t="s">
        <v>85</v>
      </c>
      <c r="BE103" s="42" t="s">
        <v>79</v>
      </c>
      <c r="BF103" s="42" t="s">
        <v>80</v>
      </c>
      <c r="BG103" s="42" t="s">
        <v>84</v>
      </c>
      <c r="BH103" s="42" t="s">
        <v>16</v>
      </c>
      <c r="BI103" s="42" t="s">
        <v>87</v>
      </c>
    </row>
    <row r="104" spans="1:83" ht="7.5" customHeight="1" x14ac:dyDescent="0.2">
      <c r="A104" s="10"/>
      <c r="B104" s="18"/>
      <c r="C104" s="18"/>
      <c r="D104" s="11"/>
      <c r="E104" s="11"/>
      <c r="F104" s="11"/>
      <c r="G104" s="11"/>
      <c r="H104" s="11"/>
      <c r="I104" s="11"/>
      <c r="J104" s="11"/>
      <c r="K104" s="11"/>
      <c r="L104" s="11"/>
      <c r="M104" s="11"/>
      <c r="N104" s="11"/>
      <c r="O104" s="11"/>
      <c r="P104" s="11"/>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c r="AO104" s="114"/>
      <c r="AP104" s="114"/>
      <c r="AQ104" s="114"/>
      <c r="AR104" s="114"/>
      <c r="AS104" s="114"/>
      <c r="AT104" s="114"/>
      <c r="AU104" s="114"/>
      <c r="AV104" s="114"/>
      <c r="AW104" s="114"/>
      <c r="AX104" s="114"/>
      <c r="AY104" s="114"/>
      <c r="AZ104" s="114"/>
      <c r="BA104" s="114"/>
      <c r="BB104" s="12"/>
      <c r="BD104" s="28"/>
      <c r="BE104" s="28"/>
      <c r="BF104" s="28"/>
      <c r="BG104" s="28"/>
      <c r="BH104" s="28"/>
      <c r="BI104" s="28"/>
      <c r="BJ104" s="28"/>
      <c r="BK104" s="28"/>
      <c r="BL104" s="28"/>
      <c r="BM104" s="28"/>
      <c r="BN104" s="28"/>
      <c r="BO104" s="28"/>
    </row>
    <row r="105" spans="1:83" ht="3.75" customHeight="1" x14ac:dyDescent="0.2">
      <c r="A105" s="6"/>
      <c r="B105" s="14"/>
      <c r="C105" s="14"/>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8"/>
      <c r="BD105" s="28"/>
      <c r="BE105" s="28"/>
      <c r="BF105" s="28"/>
      <c r="BG105" s="28"/>
      <c r="BH105" s="28"/>
      <c r="BI105" s="28"/>
      <c r="BJ105" s="28"/>
      <c r="BK105" s="28"/>
      <c r="BL105" s="28"/>
      <c r="BM105" s="28"/>
      <c r="BN105" s="28"/>
      <c r="BO105" s="28"/>
    </row>
    <row r="106" spans="1:83" x14ac:dyDescent="0.2">
      <c r="A106" s="6"/>
      <c r="B106" s="14"/>
      <c r="C106" s="14"/>
      <c r="D106" s="7"/>
      <c r="E106" s="7"/>
      <c r="F106" s="7"/>
      <c r="G106" s="7"/>
      <c r="H106" s="7"/>
      <c r="I106" s="7"/>
      <c r="J106" s="7"/>
      <c r="K106" s="7"/>
      <c r="L106" s="7"/>
      <c r="M106" s="7"/>
      <c r="N106" s="7"/>
      <c r="O106" s="7"/>
      <c r="P106" s="7"/>
      <c r="Q106" s="7"/>
      <c r="R106" s="7"/>
      <c r="S106" s="7"/>
      <c r="T106" s="7"/>
      <c r="U106" s="7"/>
      <c r="V106" s="7"/>
      <c r="W106" s="7"/>
      <c r="X106" s="7"/>
      <c r="Y106" s="7"/>
      <c r="Z106" s="14"/>
      <c r="AA106" s="14"/>
      <c r="AB106" s="7"/>
      <c r="AC106" s="7"/>
      <c r="AD106" s="15"/>
      <c r="AE106" s="14"/>
      <c r="AF106" s="7"/>
      <c r="AG106" s="15"/>
      <c r="AH106" s="15"/>
      <c r="AI106" s="7"/>
      <c r="AJ106" s="7"/>
      <c r="AK106" s="7"/>
      <c r="AL106" s="7"/>
      <c r="AM106" s="7"/>
      <c r="AN106" s="7"/>
      <c r="AO106" s="7"/>
      <c r="AP106" s="7"/>
      <c r="AQ106" s="7"/>
      <c r="AR106" s="7"/>
      <c r="AS106" s="7"/>
      <c r="AT106" s="61" t="s">
        <v>134</v>
      </c>
      <c r="AU106" s="158">
        <f>IFERROR(SUM(AV28,AV36,AV32,AV44,AV54,AV62,AV70,AV74,AV78,AV89,AV91,AV95),"")</f>
        <v>0</v>
      </c>
      <c r="AV106" s="158"/>
      <c r="AW106" s="158"/>
      <c r="AX106" s="158"/>
      <c r="AY106" s="158"/>
      <c r="AZ106" s="158"/>
      <c r="BA106" s="19" t="s">
        <v>6</v>
      </c>
      <c r="BB106" s="8"/>
      <c r="BD106" s="28"/>
      <c r="BE106" s="28"/>
      <c r="BF106" s="28"/>
      <c r="BG106" s="28"/>
      <c r="BH106" s="28"/>
      <c r="BI106" s="28"/>
      <c r="BJ106" s="28"/>
      <c r="BK106" s="28"/>
      <c r="BL106" s="28"/>
      <c r="BM106" s="28"/>
      <c r="BN106" s="28"/>
      <c r="BO106" s="28"/>
    </row>
    <row r="107" spans="1:83" ht="3.75" customHeight="1" x14ac:dyDescent="0.2">
      <c r="A107" s="10"/>
      <c r="B107" s="18"/>
      <c r="C107" s="18"/>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2"/>
      <c r="BD107" s="28"/>
      <c r="BE107" s="28"/>
      <c r="BF107" s="28"/>
      <c r="BG107" s="28"/>
      <c r="BH107" s="28"/>
      <c r="BI107" s="28"/>
      <c r="BJ107" s="28"/>
      <c r="BK107" s="28"/>
      <c r="BL107" s="28"/>
      <c r="BM107" s="28"/>
      <c r="BN107" s="28"/>
      <c r="BO107" s="28"/>
    </row>
    <row r="108" spans="1:83" s="41" customFormat="1" x14ac:dyDescent="0.2">
      <c r="A108" s="72" t="s">
        <v>30</v>
      </c>
      <c r="B108" s="73"/>
      <c r="C108" s="73"/>
      <c r="D108" s="73"/>
      <c r="E108" s="73"/>
      <c r="F108" s="73"/>
      <c r="G108" s="73"/>
      <c r="H108" s="73"/>
      <c r="I108" s="73"/>
      <c r="J108" s="73"/>
      <c r="K108" s="73"/>
      <c r="L108" s="73"/>
      <c r="M108" s="73"/>
      <c r="N108" s="73"/>
      <c r="O108" s="73"/>
      <c r="P108" s="73"/>
      <c r="Q108" s="84"/>
      <c r="R108" s="84"/>
      <c r="S108" s="84"/>
      <c r="T108" s="84"/>
      <c r="U108" s="84"/>
      <c r="V108" s="84"/>
      <c r="W108" s="84"/>
      <c r="X108" s="84" t="s">
        <v>14</v>
      </c>
      <c r="Y108" s="84"/>
      <c r="Z108" s="84"/>
      <c r="AA108" s="84"/>
      <c r="AB108" s="84"/>
      <c r="AC108" s="84"/>
      <c r="AD108" s="84"/>
      <c r="AE108" s="73"/>
      <c r="AF108" s="73"/>
      <c r="AG108" s="73"/>
      <c r="AH108" s="151" t="s">
        <v>20</v>
      </c>
      <c r="AI108" s="151"/>
      <c r="AJ108" s="151"/>
      <c r="AK108" s="151"/>
      <c r="AL108" s="151"/>
      <c r="AM108" s="151"/>
      <c r="AN108" s="151"/>
      <c r="AO108" s="151"/>
      <c r="AP108" s="151"/>
      <c r="AQ108" s="151"/>
      <c r="AR108" s="151"/>
      <c r="AS108" s="73"/>
      <c r="AT108" s="73"/>
      <c r="AU108" s="73"/>
      <c r="AV108" s="151" t="s">
        <v>16</v>
      </c>
      <c r="AW108" s="151"/>
      <c r="AX108" s="151"/>
      <c r="AY108" s="151"/>
      <c r="AZ108" s="151"/>
      <c r="BA108" s="151"/>
      <c r="BB108" s="74"/>
      <c r="BC108" s="59"/>
      <c r="BD108" s="41" t="str">
        <f>C112</f>
        <v>Infiltration Chamber</v>
      </c>
      <c r="BE108" s="59"/>
      <c r="BF108" s="59"/>
      <c r="BG108" s="59"/>
      <c r="BH108" s="59"/>
      <c r="BI108" s="59"/>
      <c r="BJ108" s="59"/>
      <c r="BK108" s="59"/>
      <c r="BL108" s="59"/>
      <c r="BM108" s="59"/>
      <c r="BN108" s="59"/>
      <c r="BO108" s="59"/>
      <c r="BP108" s="59"/>
      <c r="BQ108" s="59"/>
      <c r="BR108" s="59"/>
      <c r="BS108" s="59"/>
      <c r="BT108" s="59"/>
      <c r="BU108" s="59"/>
      <c r="BV108" s="59"/>
      <c r="BW108" s="59"/>
    </row>
    <row r="109" spans="1:83" ht="3.75" customHeight="1" x14ac:dyDescent="0.2">
      <c r="A109" s="6"/>
      <c r="B109" s="14"/>
      <c r="C109" s="14"/>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8"/>
      <c r="BD109" s="28"/>
      <c r="BE109" s="28"/>
      <c r="BF109" s="28"/>
      <c r="BG109" s="28"/>
      <c r="BH109" s="28"/>
      <c r="BI109" s="28"/>
      <c r="BJ109" s="28"/>
      <c r="BK109" s="28"/>
      <c r="BL109" s="28"/>
      <c r="BM109" s="28"/>
      <c r="BN109" s="28"/>
      <c r="BO109" s="28"/>
    </row>
    <row r="110" spans="1:83" ht="12" customHeight="1" x14ac:dyDescent="0.2">
      <c r="A110" s="6"/>
      <c r="B110" s="13" t="s">
        <v>24</v>
      </c>
      <c r="C110" s="14"/>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I110" s="40"/>
      <c r="AJ110" s="40"/>
      <c r="AK110" s="40"/>
      <c r="AL110" s="40"/>
      <c r="AM110" s="40"/>
      <c r="AN110" s="40"/>
      <c r="AO110" s="40"/>
      <c r="AP110" s="40"/>
      <c r="AQ110" s="40"/>
      <c r="AR110" s="40"/>
      <c r="AS110" s="7"/>
      <c r="AT110" s="7"/>
      <c r="AU110" s="7"/>
      <c r="AV110" s="7"/>
      <c r="AW110" s="7"/>
      <c r="AX110" s="7"/>
      <c r="AY110" s="7"/>
      <c r="AZ110" s="7"/>
      <c r="BA110" s="7"/>
      <c r="BB110" s="8"/>
      <c r="BD110" s="28" t="s">
        <v>85</v>
      </c>
      <c r="BE110" s="42" t="s">
        <v>79</v>
      </c>
      <c r="BF110" s="42" t="s">
        <v>80</v>
      </c>
      <c r="BG110" s="42" t="s">
        <v>84</v>
      </c>
      <c r="BH110" s="42" t="s">
        <v>16</v>
      </c>
      <c r="BI110" s="42" t="s">
        <v>87</v>
      </c>
      <c r="BJ110" s="28"/>
      <c r="BK110" s="28"/>
      <c r="BL110" s="28"/>
      <c r="BM110" s="28"/>
      <c r="BN110" s="28"/>
      <c r="BO110" s="28"/>
      <c r="BX110" s="28"/>
      <c r="BY110" s="28"/>
    </row>
    <row r="111" spans="1:83" ht="3.75" customHeight="1" x14ac:dyDescent="0.2">
      <c r="A111" s="6"/>
      <c r="B111" s="14"/>
      <c r="C111" s="14"/>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40"/>
      <c r="AI111" s="40"/>
      <c r="AJ111" s="40"/>
      <c r="AK111" s="40"/>
      <c r="AL111" s="40"/>
      <c r="AM111" s="40"/>
      <c r="AN111" s="40"/>
      <c r="AO111" s="40"/>
      <c r="AP111" s="40"/>
      <c r="AQ111" s="40"/>
      <c r="AR111" s="40"/>
      <c r="AS111" s="7"/>
      <c r="AT111" s="7"/>
      <c r="AU111" s="7"/>
      <c r="AV111" s="7"/>
      <c r="AW111" s="7"/>
      <c r="AX111" s="7"/>
      <c r="AY111" s="7"/>
      <c r="AZ111" s="7"/>
      <c r="BA111" s="7"/>
      <c r="BB111" s="8"/>
      <c r="BD111" s="28"/>
      <c r="BE111" s="28"/>
      <c r="BF111" s="28"/>
      <c r="BG111" s="28"/>
      <c r="BH111" s="28"/>
      <c r="BI111" s="28"/>
      <c r="BJ111" s="28"/>
      <c r="BK111" s="28"/>
      <c r="BL111" s="28"/>
      <c r="BM111" s="28"/>
      <c r="BN111" s="28"/>
      <c r="BO111" s="28"/>
    </row>
    <row r="112" spans="1:83" s="28" customFormat="1" x14ac:dyDescent="0.2">
      <c r="A112" s="6"/>
      <c r="B112" s="14"/>
      <c r="C112" s="14" t="s">
        <v>31</v>
      </c>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145" t="str">
        <f>IF(Standard="","Select flow control standard",IF(K114="","Enter contributing area",IF(K116="","Select infiltration rate",
IF(Standard="Pre-developed pasture standard",IFERROR(BG112,BI112),
IF(Standard="Peak Control Standard",IFERROR(BG114,BI114),
IFERROR(IF(BH112&lt;BH114,BG112,BG114),BI112))))))</f>
        <v>Select flow control standard</v>
      </c>
      <c r="AI112" s="145"/>
      <c r="AJ112" s="145"/>
      <c r="AK112" s="145"/>
      <c r="AL112" s="145"/>
      <c r="AM112" s="145"/>
      <c r="AN112" s="145"/>
      <c r="AO112" s="145"/>
      <c r="AP112" s="145"/>
      <c r="AQ112" s="145"/>
      <c r="AR112" s="145"/>
      <c r="AS112" s="7"/>
      <c r="AT112" s="7"/>
      <c r="AU112" s="7"/>
      <c r="AV112" s="7"/>
      <c r="AW112" s="7"/>
      <c r="AX112" s="7"/>
      <c r="AY112" s="7"/>
      <c r="AZ112" s="7"/>
      <c r="BA112" s="7"/>
      <c r="BB112" s="8"/>
      <c r="BC112" s="2"/>
      <c r="BD112" s="28" t="s">
        <v>8</v>
      </c>
      <c r="BE112" s="42" t="e">
        <f>INDEX('Sizing Factors'!$H:$H,MATCH(C112&amp;K116&amp;IF(K114&lt;=2000,"02000",IF(K114&lt;=10000,"200010000","x"))&amp;BD$112,'Sizing Factors'!$L:$L,0))</f>
        <v>#N/A</v>
      </c>
      <c r="BF112" s="42" t="e">
        <f>INDEX('Sizing Factors'!$I:$I,MATCH(C112&amp;K116&amp;IF(K114&lt;=2000,"02000",IF(K114&lt;=10000,"200010000","x"))&amp;BD112,'Sizing Factors'!$L:$L,0))</f>
        <v>#N/A</v>
      </c>
      <c r="BG112" s="42" t="e">
        <f>IF(BF112=0,BE112*100&amp;"%",BF112&amp;" ] ÷ "&amp;BE112)</f>
        <v>#N/A</v>
      </c>
      <c r="BH112" s="43" t="e">
        <f>MAX(($Z$114-$BF$112)/$BE$112,0)</f>
        <v>#N/A</v>
      </c>
      <c r="BI112" s="46" t="str">
        <f>IF(K114&gt;10000,"Not applicable for contributing area &gt; 10,000 sf","")</f>
        <v/>
      </c>
      <c r="BP112" s="2"/>
      <c r="BQ112" s="2"/>
      <c r="BR112" s="2"/>
      <c r="BS112" s="2"/>
      <c r="BT112" s="2"/>
      <c r="BU112" s="2"/>
      <c r="BV112" s="2"/>
      <c r="BW112" s="2"/>
      <c r="BX112" s="2"/>
      <c r="BY112" s="2"/>
    </row>
    <row r="113" spans="1:80" ht="3.75" customHeight="1" x14ac:dyDescent="0.2">
      <c r="A113" s="6"/>
      <c r="B113" s="14"/>
      <c r="C113" s="14"/>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145"/>
      <c r="AI113" s="145"/>
      <c r="AJ113" s="145"/>
      <c r="AK113" s="145"/>
      <c r="AL113" s="145"/>
      <c r="AM113" s="145"/>
      <c r="AN113" s="145"/>
      <c r="AO113" s="145"/>
      <c r="AP113" s="145"/>
      <c r="AQ113" s="145"/>
      <c r="AR113" s="145"/>
      <c r="AS113" s="7"/>
      <c r="AT113" s="7"/>
      <c r="AU113" s="7"/>
      <c r="AV113" s="7"/>
      <c r="AW113" s="7"/>
      <c r="AX113" s="7"/>
      <c r="AY113" s="7"/>
      <c r="AZ113" s="7"/>
      <c r="BA113" s="7"/>
      <c r="BB113" s="8"/>
      <c r="BD113" s="28"/>
      <c r="BE113" s="42"/>
      <c r="BF113" s="42"/>
      <c r="BG113" s="42"/>
      <c r="BH113" s="42"/>
      <c r="BI113" s="42"/>
      <c r="BJ113" s="28"/>
      <c r="BK113" s="28"/>
      <c r="BL113" s="28"/>
      <c r="BM113" s="28"/>
      <c r="BN113" s="28"/>
      <c r="BO113" s="28"/>
    </row>
    <row r="114" spans="1:80" x14ac:dyDescent="0.2">
      <c r="A114" s="21"/>
      <c r="B114" s="23"/>
      <c r="C114" s="23"/>
      <c r="D114" s="22" t="s">
        <v>21</v>
      </c>
      <c r="E114" s="22"/>
      <c r="F114" s="22"/>
      <c r="G114" s="22"/>
      <c r="H114" s="22"/>
      <c r="I114" s="22"/>
      <c r="J114" s="22"/>
      <c r="K114" s="141"/>
      <c r="L114" s="141"/>
      <c r="M114" s="141"/>
      <c r="N114" s="141"/>
      <c r="O114" s="22" t="s">
        <v>6</v>
      </c>
      <c r="P114" s="22"/>
      <c r="Q114" s="1" t="s">
        <v>63</v>
      </c>
      <c r="R114" s="22"/>
      <c r="S114" s="22"/>
      <c r="T114" s="22"/>
      <c r="U114" s="22"/>
      <c r="V114" s="22"/>
      <c r="W114" s="22"/>
      <c r="X114" s="22"/>
      <c r="Y114" s="24" t="str">
        <f>IFERROR(IF(AND(AH112=BG112,BF112&gt;0),"[ ",""),"")</f>
        <v/>
      </c>
      <c r="Z114" s="141"/>
      <c r="AA114" s="141"/>
      <c r="AB114" s="141"/>
      <c r="AC114" s="141"/>
      <c r="AD114" s="22" t="s">
        <v>6</v>
      </c>
      <c r="AE114" s="22"/>
      <c r="AF114" s="51" t="str">
        <f>IFERROR(
IF(AND(AH112=BG112,BF112&gt;0),"-",
IF(AND(AH112&lt;&gt;BG112,AH112&lt;&gt;BG114),":","÷")),":")</f>
        <v>:</v>
      </c>
      <c r="AG114" s="22"/>
      <c r="AH114" s="146"/>
      <c r="AI114" s="146"/>
      <c r="AJ114" s="146"/>
      <c r="AK114" s="146"/>
      <c r="AL114" s="146"/>
      <c r="AM114" s="146"/>
      <c r="AN114" s="146"/>
      <c r="AO114" s="146"/>
      <c r="AP114" s="146"/>
      <c r="AQ114" s="146"/>
      <c r="AR114" s="146"/>
      <c r="AS114" s="22"/>
      <c r="AT114" s="51" t="s">
        <v>114</v>
      </c>
      <c r="AU114" s="22"/>
      <c r="AV114" s="142" t="str">
        <f>IF(K114="","",IFERROR(IF(Standard="Pre-Developed Pasture Standard",MIN(K114,BH112),IF(Standard="Peak Control Standard",MIN(K114,BH114),IF(Standard="Pre-Developed Pasture and Peak Control Standards",MIN(K114,BH112,BH114),""))),""))</f>
        <v/>
      </c>
      <c r="AW114" s="142"/>
      <c r="AX114" s="142"/>
      <c r="AY114" s="142"/>
      <c r="AZ114" s="142"/>
      <c r="BA114" s="22" t="s">
        <v>6</v>
      </c>
      <c r="BB114" s="27"/>
      <c r="BD114" s="28" t="s">
        <v>77</v>
      </c>
      <c r="BE114" s="42" t="e">
        <f>IF(K114&gt;10000,"NA",INDEX('Sizing Factors'!$H:$H,MATCH(C112&amp;K116&amp;BD$114,'Sizing Factors'!$L:$L,0)))</f>
        <v>#N/A</v>
      </c>
      <c r="BF114" s="42" t="e">
        <f>INDEX('Sizing Factors'!$I:$I,MATCH(C112&amp;K116&amp;BD114,'Sizing Factors'!$L:$L,0))</f>
        <v>#N/A</v>
      </c>
      <c r="BG114" s="42" t="e">
        <f>IF(BF114=0,BE114*100&amp;"%",BF114&amp;" ] ÷ "&amp;BE114)</f>
        <v>#N/A</v>
      </c>
      <c r="BH114" s="43" t="e">
        <f>MAX(($Z$114-$BF$114)/$BE$114,0)</f>
        <v>#N/A</v>
      </c>
      <c r="BI114" s="46" t="str">
        <f>IF(K114&gt;10000,"Not applicable for contributing area &gt; 10,000 sf","")</f>
        <v/>
      </c>
      <c r="BJ114" s="28"/>
      <c r="BK114" s="28"/>
      <c r="BL114" s="28"/>
      <c r="BM114" s="28"/>
      <c r="BN114" s="28"/>
      <c r="BO114" s="28"/>
    </row>
    <row r="115" spans="1:80" ht="3.75" customHeight="1" x14ac:dyDescent="0.2">
      <c r="A115" s="21"/>
      <c r="B115" s="23"/>
      <c r="C115" s="23"/>
      <c r="D115" s="22"/>
      <c r="E115" s="22"/>
      <c r="F115" s="22"/>
      <c r="G115" s="22"/>
      <c r="H115" s="22"/>
      <c r="I115" s="22"/>
      <c r="J115" s="22"/>
      <c r="K115" s="22"/>
      <c r="L115" s="22"/>
      <c r="M115" s="22"/>
      <c r="N115" s="22"/>
      <c r="O115" s="22"/>
      <c r="P115" s="22"/>
      <c r="Q115" s="1"/>
      <c r="R115" s="22"/>
      <c r="S115" s="22"/>
      <c r="T115" s="22"/>
      <c r="U115" s="22"/>
      <c r="V115" s="22"/>
      <c r="W115" s="22"/>
      <c r="X115" s="22"/>
      <c r="Y115" s="24"/>
      <c r="Z115" s="24"/>
      <c r="AA115" s="24"/>
      <c r="AB115" s="24"/>
      <c r="AC115" s="24"/>
      <c r="AD115" s="24"/>
      <c r="AE115" s="24"/>
      <c r="AF115" s="26"/>
      <c r="AG115" s="22"/>
      <c r="AH115" s="48"/>
      <c r="AI115" s="48"/>
      <c r="AJ115" s="48"/>
      <c r="AK115" s="48"/>
      <c r="AL115" s="48"/>
      <c r="AM115" s="48"/>
      <c r="AN115" s="48"/>
      <c r="AO115" s="48"/>
      <c r="AP115" s="48"/>
      <c r="AQ115" s="48"/>
      <c r="AR115" s="48"/>
      <c r="AS115" s="22"/>
      <c r="AT115" s="26"/>
      <c r="AU115" s="22"/>
      <c r="AV115" s="26"/>
      <c r="AW115" s="26"/>
      <c r="AX115" s="26"/>
      <c r="AY115" s="26"/>
      <c r="AZ115" s="26"/>
      <c r="BA115" s="22"/>
      <c r="BB115" s="27"/>
      <c r="BD115" s="28"/>
      <c r="BE115" s="28"/>
      <c r="BF115" s="28"/>
      <c r="BG115" s="28"/>
      <c r="BH115" s="28"/>
      <c r="BI115" s="28"/>
      <c r="BJ115" s="28"/>
      <c r="BK115" s="28"/>
      <c r="BL115" s="28"/>
      <c r="BM115" s="28"/>
      <c r="BN115" s="28"/>
      <c r="BO115" s="28"/>
    </row>
    <row r="116" spans="1:80" ht="12.75" x14ac:dyDescent="0.2">
      <c r="A116" s="21"/>
      <c r="B116" s="23"/>
      <c r="C116" s="23"/>
      <c r="D116" s="95" t="s">
        <v>150</v>
      </c>
      <c r="E116" s="22"/>
      <c r="F116" s="22"/>
      <c r="G116" s="22"/>
      <c r="H116" s="22"/>
      <c r="I116" s="22"/>
      <c r="J116" s="22"/>
      <c r="K116" s="159"/>
      <c r="L116" s="159"/>
      <c r="M116" s="159"/>
      <c r="N116" s="159"/>
      <c r="O116" s="22" t="s">
        <v>48</v>
      </c>
      <c r="P116" s="22"/>
      <c r="Q116" s="153" t="str">
        <f>IF(OR(K114="",K116="",Z114=""),"",IFERROR(
IF(Standard="Pre-Developed Pasture Standard",
IF(Z114&gt;ROUNDUP(K114*BE112+BF112,0),"Infiltration chamber can be reduced to "&amp;TEXT(ROUNDUP(K114*BE112+BF112,0),"#,##0")&amp; " sf.",
IF(Z114&lt;ROUNDUP(K114*BE112+BF112,0),"Infiltration chamber to fully manage area is "&amp;TEXT(ROUNDUP(K114*BE112+BF112,0),"#,##0")&amp; " sf.","")),
IF(Standard="Peak Control Standard",
IF(Z114&gt;ROUNDUP(K114*BE114+BF114,0),"Infiltration chamber can be reduced to "&amp;TEXT(ROUNDUP(K114*BE114+BF114,0),"#,##0")&amp;" sf.",
IF(Z114&lt;ROUNDUP(K114*BE114+BF114,0),"Infiltration chamber to fully manage area is "&amp;TEXT(ROUNDUP(K114*BE114+BF114,0),"#,##0")&amp;" sf.","")),
IF(Standard="Pre-developed Pasture and Peak Control Standards",
IF(Z114&gt;ROUNDUP(MAX(K114*BE112+BF112,K114*BE114+BF114),0),"Infiltration chamber can be reduced to "&amp;TEXT(ROUNDUP(MAX(K114*BE112+BF112,K114*BE114+BF114),0),"#,##0")&amp;" sf.",
IF(Z114&lt;ROUNDUP(MAX(K114*BE112+BF112,K114*BE114+BF114),0),"Infiltration chamber to fully manage area is "&amp;TEXT(ROUNDUP(MAX(K114*BE112+BF112,K114*BE114+BF114),0),"#,##0")&amp;" sf.","")),""))),"")&amp;
IF(OR(K114="",K116="",Standard=""),""," The effective chamber storage depth to fully manage area is at least 2 feet."))</f>
        <v/>
      </c>
      <c r="R116" s="153"/>
      <c r="S116" s="153"/>
      <c r="T116" s="153"/>
      <c r="U116" s="153"/>
      <c r="V116" s="153"/>
      <c r="W116" s="153"/>
      <c r="X116" s="153"/>
      <c r="Y116" s="153"/>
      <c r="Z116" s="153"/>
      <c r="AA116" s="153"/>
      <c r="AB116" s="153"/>
      <c r="AC116" s="153"/>
      <c r="AD116" s="153"/>
      <c r="AE116" s="153"/>
      <c r="AF116" s="153"/>
      <c r="AG116" s="153"/>
      <c r="AH116" s="153"/>
      <c r="AI116" s="153"/>
      <c r="AJ116" s="153"/>
      <c r="AK116" s="153"/>
      <c r="AL116" s="153"/>
      <c r="AM116" s="153"/>
      <c r="AN116" s="153"/>
      <c r="AO116" s="153"/>
      <c r="AP116" s="153"/>
      <c r="AQ116" s="153"/>
      <c r="AR116" s="153"/>
      <c r="AS116" s="153"/>
      <c r="AT116" s="153"/>
      <c r="AU116" s="153"/>
      <c r="AV116" s="153"/>
      <c r="AW116" s="153"/>
      <c r="AX116" s="153"/>
      <c r="AY116" s="153"/>
      <c r="AZ116" s="153"/>
      <c r="BA116" s="153"/>
      <c r="BB116" s="27"/>
      <c r="BC116" s="28"/>
      <c r="BD116" s="41" t="str">
        <f>C120</f>
        <v>Detention Pipe</v>
      </c>
      <c r="BE116" s="28"/>
      <c r="BF116" s="28"/>
      <c r="BG116" s="28"/>
      <c r="BH116" s="28"/>
      <c r="BI116" s="28"/>
      <c r="BJ116" s="28"/>
      <c r="BK116" s="28"/>
      <c r="BL116" s="28"/>
      <c r="BM116" s="28"/>
      <c r="BN116" s="28"/>
      <c r="BO116" s="28"/>
      <c r="BP116" s="28"/>
      <c r="BQ116" s="28"/>
      <c r="BR116" s="28"/>
      <c r="BS116" s="28"/>
      <c r="BT116" s="28"/>
      <c r="BU116" s="28"/>
      <c r="BV116" s="28"/>
      <c r="BW116" s="28"/>
    </row>
    <row r="117" spans="1:80" ht="3.75" customHeight="1" x14ac:dyDescent="0.2">
      <c r="A117" s="6"/>
      <c r="B117" s="14"/>
      <c r="C117" s="14"/>
      <c r="D117" s="7"/>
      <c r="E117" s="7"/>
      <c r="F117" s="7"/>
      <c r="G117" s="7"/>
      <c r="H117" s="7"/>
      <c r="I117" s="7"/>
      <c r="J117" s="7"/>
      <c r="K117" s="7"/>
      <c r="L117" s="7"/>
      <c r="M117" s="7"/>
      <c r="N117" s="7"/>
      <c r="O117" s="7"/>
      <c r="P117" s="7"/>
      <c r="Q117" s="153"/>
      <c r="R117" s="153"/>
      <c r="S117" s="153"/>
      <c r="T117" s="153"/>
      <c r="U117" s="153"/>
      <c r="V117" s="153"/>
      <c r="W117" s="153"/>
      <c r="X117" s="153"/>
      <c r="Y117" s="153"/>
      <c r="Z117" s="153"/>
      <c r="AA117" s="153"/>
      <c r="AB117" s="153"/>
      <c r="AC117" s="153"/>
      <c r="AD117" s="153"/>
      <c r="AE117" s="153"/>
      <c r="AF117" s="153"/>
      <c r="AG117" s="153"/>
      <c r="AH117" s="153"/>
      <c r="AI117" s="153"/>
      <c r="AJ117" s="153"/>
      <c r="AK117" s="153"/>
      <c r="AL117" s="153"/>
      <c r="AM117" s="153"/>
      <c r="AN117" s="153"/>
      <c r="AO117" s="153"/>
      <c r="AP117" s="153"/>
      <c r="AQ117" s="153"/>
      <c r="AR117" s="153"/>
      <c r="AS117" s="153"/>
      <c r="AT117" s="153"/>
      <c r="AU117" s="153"/>
      <c r="AV117" s="153"/>
      <c r="AW117" s="153"/>
      <c r="AX117" s="153"/>
      <c r="AY117" s="153"/>
      <c r="AZ117" s="153"/>
      <c r="BA117" s="153"/>
      <c r="BB117" s="8"/>
      <c r="BD117" s="28"/>
      <c r="BE117" s="28"/>
      <c r="BF117" s="28"/>
      <c r="BG117" s="28"/>
      <c r="BH117" s="28"/>
      <c r="BI117" s="28"/>
      <c r="BJ117" s="28"/>
      <c r="BK117" s="28"/>
      <c r="BL117" s="28"/>
      <c r="BM117" s="28"/>
      <c r="BN117" s="28"/>
      <c r="BO117" s="28"/>
    </row>
    <row r="118" spans="1:80" x14ac:dyDescent="0.2">
      <c r="A118" s="6"/>
      <c r="B118" s="13" t="s">
        <v>35</v>
      </c>
      <c r="C118" s="14"/>
      <c r="D118" s="7"/>
      <c r="E118" s="7"/>
      <c r="F118" s="7"/>
      <c r="G118" s="7"/>
      <c r="H118" s="7"/>
      <c r="I118" s="7"/>
      <c r="J118" s="7"/>
      <c r="K118" s="7"/>
      <c r="L118" s="7"/>
      <c r="M118" s="7"/>
      <c r="N118" s="7"/>
      <c r="O118" s="7"/>
      <c r="P118" s="7"/>
      <c r="Q118" s="153"/>
      <c r="R118" s="153"/>
      <c r="S118" s="153"/>
      <c r="T118" s="153"/>
      <c r="U118" s="153"/>
      <c r="V118" s="153"/>
      <c r="W118" s="153"/>
      <c r="X118" s="153"/>
      <c r="Y118" s="153"/>
      <c r="Z118" s="153"/>
      <c r="AA118" s="153"/>
      <c r="AB118" s="153"/>
      <c r="AC118" s="153"/>
      <c r="AD118" s="153"/>
      <c r="AE118" s="153"/>
      <c r="AF118" s="153"/>
      <c r="AG118" s="153"/>
      <c r="AH118" s="153"/>
      <c r="AI118" s="153"/>
      <c r="AJ118" s="153"/>
      <c r="AK118" s="153"/>
      <c r="AL118" s="153"/>
      <c r="AM118" s="153"/>
      <c r="AN118" s="153"/>
      <c r="AO118" s="153"/>
      <c r="AP118" s="153"/>
      <c r="AQ118" s="153"/>
      <c r="AR118" s="153"/>
      <c r="AS118" s="153"/>
      <c r="AT118" s="153"/>
      <c r="AU118" s="153"/>
      <c r="AV118" s="153"/>
      <c r="AW118" s="153"/>
      <c r="AX118" s="153"/>
      <c r="AY118" s="153"/>
      <c r="AZ118" s="153"/>
      <c r="BA118" s="153"/>
      <c r="BB118" s="8"/>
      <c r="BD118" s="107" t="s">
        <v>85</v>
      </c>
      <c r="BE118" s="108" t="s">
        <v>79</v>
      </c>
      <c r="BF118" s="108" t="s">
        <v>80</v>
      </c>
      <c r="BG118" s="108" t="s">
        <v>84</v>
      </c>
      <c r="BH118" s="108" t="s">
        <v>16</v>
      </c>
      <c r="BI118" s="108" t="s">
        <v>116</v>
      </c>
      <c r="BJ118" s="107" t="s">
        <v>138</v>
      </c>
      <c r="BK118" s="107" t="s">
        <v>142</v>
      </c>
      <c r="BL118" s="28"/>
      <c r="BM118" s="28"/>
      <c r="BN118" s="28"/>
      <c r="BO118" s="28"/>
      <c r="BX118" s="28"/>
      <c r="BY118" s="28"/>
    </row>
    <row r="119" spans="1:80" ht="3.75" customHeight="1" x14ac:dyDescent="0.2">
      <c r="A119" s="6"/>
      <c r="B119" s="14"/>
      <c r="C119" s="14"/>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8"/>
      <c r="BD119" s="107"/>
      <c r="BE119" s="107"/>
      <c r="BF119" s="107"/>
      <c r="BG119" s="107"/>
      <c r="BH119" s="107"/>
      <c r="BI119" s="107"/>
      <c r="BJ119" s="107"/>
      <c r="BK119" s="107"/>
      <c r="BL119" s="28"/>
      <c r="BM119" s="28"/>
      <c r="BN119" s="28"/>
      <c r="BO119" s="28"/>
    </row>
    <row r="120" spans="1:80" s="28" customFormat="1" x14ac:dyDescent="0.2">
      <c r="A120" s="6"/>
      <c r="B120" s="14"/>
      <c r="C120" s="14" t="s">
        <v>36</v>
      </c>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145" t="str">
        <f>IF(Standard="","Select flow control standard",IF(K122="","Enter contributing area",IF(K124="","Select pipe diameter",
IF(Standard="Pre-developed pasture standard",IFERROR(BG120,BI120),
IF(Standard="Peak Control Standard",IFERROR(BG122,BI122),
IFERROR(IF(BH120&lt;BH122,BG120,BG122),BI120))))))</f>
        <v>Select flow control standard</v>
      </c>
      <c r="AI120" s="145"/>
      <c r="AJ120" s="145"/>
      <c r="AK120" s="145"/>
      <c r="AL120" s="145"/>
      <c r="AM120" s="145"/>
      <c r="AN120" s="145"/>
      <c r="AO120" s="145"/>
      <c r="AP120" s="145"/>
      <c r="AQ120" s="145"/>
      <c r="AR120" s="145"/>
      <c r="AS120" s="7"/>
      <c r="AT120" s="7"/>
      <c r="AU120" s="7"/>
      <c r="AV120" s="7"/>
      <c r="AW120" s="7"/>
      <c r="AX120" s="7"/>
      <c r="AY120" s="7"/>
      <c r="AZ120" s="7"/>
      <c r="BA120" s="7"/>
      <c r="BB120" s="8"/>
      <c r="BC120" s="2"/>
      <c r="BD120" s="107" t="s">
        <v>8</v>
      </c>
      <c r="BE120" s="108" t="e">
        <f>INDEX('Sizing Factors'!$H:$H,MATCH($C$120&amp;$K$124&amp;$BK$120&amp;$BD$120,'Sizing Factors'!$L:$L,0))</f>
        <v>#N/A</v>
      </c>
      <c r="BF120" s="108" t="e">
        <f>INDEX('Sizing Factors'!$I:$I,MATCH($C$120&amp;$K$124&amp;BK120&amp;$BD$120,'Sizing Factors'!$L:$L,0))</f>
        <v>#N/A</v>
      </c>
      <c r="BG120" s="108" t="e">
        <f>IF(BF120=0,BE120*100&amp;"%",BF120&amp;" ] ÷ "&amp;BE120)</f>
        <v>#N/A</v>
      </c>
      <c r="BH120" s="109" t="e">
        <f>MAX((Z122-BF120)/BE120,0)</f>
        <v>#N/A</v>
      </c>
      <c r="BI120" s="110" t="str">
        <f>IF(K122&gt;10000,"Not applicable for contributing area &gt; 10,000 sf",IF(K122&lt;2000,"Not applicable for contributing area &lt; 2,000 sf",
INDEX('Sizing Factors'!$J:$J,MATCH($C$120&amp;$K$124&amp;$BK$120&amp;BD120,'Sizing Factors'!$L:$L,0))))</f>
        <v>Not applicable for contributing area &lt; 2,000 sf</v>
      </c>
      <c r="BJ120" s="108" t="e">
        <f>INDEX('Sizing Factors'!$K:$K,MATCH($C$120&amp;$K$124&amp;BK120&amp;$BD$120,'Sizing Factors'!$L:$L,0))</f>
        <v>#N/A</v>
      </c>
      <c r="BK120" s="107" t="str">
        <f>IF($K$122&lt;2000,"NA",IF($K$122&lt;5000,"20005000",IF($K$122&lt;=10000,"500010000","x")))</f>
        <v>NA</v>
      </c>
      <c r="BX120" s="2"/>
      <c r="BY120" s="2"/>
    </row>
    <row r="121" spans="1:80" ht="3.75" customHeight="1" x14ac:dyDescent="0.2">
      <c r="A121" s="6"/>
      <c r="B121" s="14"/>
      <c r="C121" s="14"/>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145"/>
      <c r="AI121" s="145"/>
      <c r="AJ121" s="145"/>
      <c r="AK121" s="145"/>
      <c r="AL121" s="145"/>
      <c r="AM121" s="145"/>
      <c r="AN121" s="145"/>
      <c r="AO121" s="145"/>
      <c r="AP121" s="145"/>
      <c r="AQ121" s="145"/>
      <c r="AR121" s="145"/>
      <c r="AS121" s="7"/>
      <c r="AT121" s="7"/>
      <c r="AU121" s="7"/>
      <c r="AV121" s="7"/>
      <c r="AW121" s="7"/>
      <c r="AX121" s="7"/>
      <c r="AY121" s="7"/>
      <c r="AZ121" s="7"/>
      <c r="BA121" s="7"/>
      <c r="BB121" s="8"/>
      <c r="BD121" s="107"/>
      <c r="BE121" s="108"/>
      <c r="BF121" s="108"/>
      <c r="BG121" s="108"/>
      <c r="BH121" s="108"/>
      <c r="BI121" s="108"/>
      <c r="BJ121" s="107"/>
      <c r="BK121" s="107"/>
      <c r="BL121" s="28"/>
      <c r="BM121" s="28"/>
      <c r="BN121" s="28"/>
      <c r="BO121" s="28"/>
      <c r="BP121" s="28"/>
      <c r="BQ121" s="28"/>
      <c r="BR121" s="28"/>
      <c r="BS121" s="28"/>
      <c r="BT121" s="28"/>
      <c r="BU121" s="28"/>
      <c r="BV121" s="28"/>
      <c r="BW121" s="28"/>
    </row>
    <row r="122" spans="1:80" x14ac:dyDescent="0.2">
      <c r="A122" s="21"/>
      <c r="B122" s="23"/>
      <c r="C122" s="23"/>
      <c r="D122" s="22" t="s">
        <v>21</v>
      </c>
      <c r="E122" s="22"/>
      <c r="F122" s="22"/>
      <c r="G122" s="22"/>
      <c r="H122" s="22"/>
      <c r="I122" s="22"/>
      <c r="J122" s="22"/>
      <c r="K122" s="141"/>
      <c r="L122" s="141"/>
      <c r="M122" s="141"/>
      <c r="N122" s="141"/>
      <c r="O122" s="22" t="s">
        <v>6</v>
      </c>
      <c r="P122" s="22"/>
      <c r="Q122" s="1" t="s">
        <v>65</v>
      </c>
      <c r="R122" s="22"/>
      <c r="S122" s="22"/>
      <c r="T122" s="22"/>
      <c r="U122" s="22"/>
      <c r="V122" s="22"/>
      <c r="W122" s="22"/>
      <c r="X122" s="22"/>
      <c r="Y122" s="24" t="str">
        <f>IFERROR(IF(AF122=":","",IF(OR(AH120=BG120,AH120=BG122),"[ ","")),"[")</f>
        <v/>
      </c>
      <c r="Z122" s="141"/>
      <c r="AA122" s="141"/>
      <c r="AB122" s="141"/>
      <c r="AC122" s="141"/>
      <c r="AD122" s="22" t="s">
        <v>50</v>
      </c>
      <c r="AE122" s="22"/>
      <c r="AF122" s="26" t="str">
        <f>IFERROR(
IF(AND(AH120=BG122,BF122&gt;0),"-",
IF(AND(AH120=BG120,BF120&gt;0),"-",
IF(AND(AH120&lt;&gt;BG120,AH120&lt;&gt;BG122),":","-"))),":")</f>
        <v>:</v>
      </c>
      <c r="AG122" s="22"/>
      <c r="AH122" s="146"/>
      <c r="AI122" s="146"/>
      <c r="AJ122" s="146"/>
      <c r="AK122" s="146"/>
      <c r="AL122" s="146"/>
      <c r="AM122" s="146"/>
      <c r="AN122" s="146"/>
      <c r="AO122" s="146"/>
      <c r="AP122" s="146"/>
      <c r="AQ122" s="146"/>
      <c r="AR122" s="146"/>
      <c r="AS122" s="22"/>
      <c r="AT122" s="51" t="str">
        <f>IF(AF122="=","A=","=")</f>
        <v>=</v>
      </c>
      <c r="AU122" s="22"/>
      <c r="AV122" s="142" t="str">
        <f>IFERROR(IF(Standard="Pre-Developed Pasture Standard",MIN(K122,BH120),IF(Standard="Peak Control Standard",MIN(K122,BH122),IF(Standard="Pre-Developed Pasture and Peak Control Standards",MIN(K122,BH120,BH122),""))),"")</f>
        <v/>
      </c>
      <c r="AW122" s="142"/>
      <c r="AX122" s="142"/>
      <c r="AY122" s="142"/>
      <c r="AZ122" s="142"/>
      <c r="BA122" s="22" t="s">
        <v>6</v>
      </c>
      <c r="BB122" s="27"/>
      <c r="BC122" s="28"/>
      <c r="BD122" s="107" t="s">
        <v>77</v>
      </c>
      <c r="BE122" s="108" t="e">
        <f>INDEX('Sizing Factors'!$H:$H,MATCH($C$120&amp;$K$124&amp;BK122&amp;$BD$122,'Sizing Factors'!$L:$L,0))</f>
        <v>#N/A</v>
      </c>
      <c r="BF122" s="108" t="e">
        <f>INDEX('Sizing Factors'!$I:$I,MATCH($C$120&amp;$K$124&amp;BK122&amp;$BD$122,'Sizing Factors'!$L:$L,0))</f>
        <v>#N/A</v>
      </c>
      <c r="BG122" s="108" t="e">
        <f>IF(BF122=0,BE122*100&amp;"%",BF122&amp;" ] ÷ "&amp;BE122)</f>
        <v>#N/A</v>
      </c>
      <c r="BH122" s="109" t="e">
        <f>MAX((Z122-BF122)/BE122,0)</f>
        <v>#N/A</v>
      </c>
      <c r="BI122" s="110" t="str">
        <f>IF(K122&gt;10000,"Not applicable for contributing area &gt; 10,000 sf",
IF(K122&lt;2000,"Not applicable for contributing area &lt; 2,000 sf",
INDEX('Sizing Factors'!$J:$J,MATCH($C$120&amp;$K$124&amp;$BK$122&amp;BD122,'Sizing Factors'!$L:$L,0))))</f>
        <v>Not applicable for contributing area &lt; 2,000 sf</v>
      </c>
      <c r="BJ122" s="108" t="e">
        <f>INDEX('Sizing Factors'!$K:$K,MATCH($C$120&amp;$K$124&amp;BK122&amp;$BD$122,'Sizing Factors'!$L:$L,0))</f>
        <v>#N/A</v>
      </c>
      <c r="BK122" s="107" t="str">
        <f>IF($K$122&lt;2000,"NA",IF($K$122&lt;=6000,"20006000",IF($K$122&lt;=7000,"60007000",IF($K$122&lt;=8500,"70008500",IF($K$122&lt;=10000,"850010000","x")))))</f>
        <v>NA</v>
      </c>
      <c r="BL122" s="28"/>
      <c r="BM122" s="28"/>
      <c r="BN122" s="28"/>
      <c r="BO122" s="28"/>
      <c r="BP122" s="28"/>
      <c r="BQ122" s="28"/>
      <c r="BR122" s="28"/>
      <c r="BS122" s="28"/>
      <c r="BT122" s="28"/>
      <c r="BU122" s="28"/>
      <c r="BV122" s="28"/>
      <c r="BW122" s="28"/>
    </row>
    <row r="123" spans="1:80" ht="3.75" customHeight="1" x14ac:dyDescent="0.2">
      <c r="A123" s="21"/>
      <c r="B123" s="23"/>
      <c r="C123" s="23"/>
      <c r="D123" s="22"/>
      <c r="E123" s="22"/>
      <c r="F123" s="22"/>
      <c r="G123" s="22"/>
      <c r="H123" s="22"/>
      <c r="I123" s="22"/>
      <c r="J123" s="22"/>
      <c r="K123" s="22"/>
      <c r="L123" s="22"/>
      <c r="M123" s="22"/>
      <c r="N123" s="22"/>
      <c r="O123" s="22"/>
      <c r="P123" s="22"/>
      <c r="Q123" s="1"/>
      <c r="R123" s="22"/>
      <c r="S123" s="22"/>
      <c r="T123" s="22"/>
      <c r="U123" s="22"/>
      <c r="V123" s="22"/>
      <c r="W123" s="22"/>
      <c r="X123" s="22"/>
      <c r="Y123" s="22"/>
      <c r="Z123" s="22"/>
      <c r="AA123" s="22"/>
      <c r="AB123" s="22"/>
      <c r="AC123" s="22"/>
      <c r="AD123" s="22"/>
      <c r="AE123" s="22"/>
      <c r="AF123" s="26"/>
      <c r="AG123" s="22"/>
      <c r="AH123" s="48"/>
      <c r="AI123" s="48"/>
      <c r="AJ123" s="48"/>
      <c r="AK123" s="48"/>
      <c r="AL123" s="48"/>
      <c r="AM123" s="48"/>
      <c r="AN123" s="48"/>
      <c r="AO123" s="48"/>
      <c r="AP123" s="48"/>
      <c r="AQ123" s="48"/>
      <c r="AR123" s="48"/>
      <c r="AS123" s="22"/>
      <c r="AT123" s="26"/>
      <c r="AU123" s="22"/>
      <c r="AV123" s="26"/>
      <c r="AW123" s="26"/>
      <c r="AX123" s="26"/>
      <c r="AY123" s="26"/>
      <c r="AZ123" s="26"/>
      <c r="BA123" s="22"/>
      <c r="BB123" s="27"/>
      <c r="BD123" s="107"/>
      <c r="BE123" s="107"/>
      <c r="BF123" s="107"/>
      <c r="BG123" s="107"/>
      <c r="BH123" s="107"/>
      <c r="BI123" s="107"/>
      <c r="BJ123" s="107"/>
      <c r="BK123" s="107"/>
      <c r="BL123" s="28"/>
      <c r="BM123" s="28"/>
      <c r="BN123" s="28"/>
      <c r="BO123" s="28"/>
    </row>
    <row r="124" spans="1:80" ht="12" customHeight="1" x14ac:dyDescent="0.2">
      <c r="A124" s="21"/>
      <c r="B124" s="23"/>
      <c r="C124" s="23"/>
      <c r="D124" s="22" t="s">
        <v>64</v>
      </c>
      <c r="E124" s="22"/>
      <c r="F124" s="22"/>
      <c r="G124" s="22"/>
      <c r="H124" s="22"/>
      <c r="I124" s="22"/>
      <c r="J124" s="22"/>
      <c r="K124" s="159"/>
      <c r="L124" s="159"/>
      <c r="M124" s="159"/>
      <c r="N124" s="159"/>
      <c r="O124" s="22" t="s">
        <v>48</v>
      </c>
      <c r="P124" s="22"/>
      <c r="Q124" s="153" t="str">
        <f>IFERROR(
IF(Standard="Pre-Developed Pasture Standard",
IF(Z122&gt;ROUNDUP(K122*BE120+BF120,0),"Detention pipe can be reduced to "&amp;TEXT(ROUNDUP(K122*BE120+BF120,0),"#,##0")&amp; " ft. ",
IF(Z122&lt;ROUNDUP(K122*BE120+BF120,0),"Detention pipe to fully manage area is "&amp;TEXT(ROUNDUP(K122*BE120+BF120,0),"#,##0")&amp; " ft. ","")),
IF(Standard="Peak Control Standard",
IF(Z122&gt;ROUNDUP(K122*BE122+BF122,0),"Detention pipe can be reduced to "&amp;TEXT(ROUNDUP(K122*BE122+BF122,0),"#,##0")&amp;" ft. ",
IF(Z122&lt;ROUNDUP(K122*BE122+BF122,0),"Detention pipe to fully manage area is "&amp;TEXT(ROUNDUP(K122*BE122+BF122,0),"#,##0")&amp;" ft. ","")),
IF(Standard="Pre-developed Pasture and Peak Control Standards",
IF(Z122&gt;MAX(K122*BE120+BF120,K122*BE122+BF122),"Detention pipe can be reduced to "&amp;TEXT(ROUNDUP(MAX(K122*BE120+BF120,K122*BE122+BF122),0),"#,##0")&amp;" ft. ",
IF(Z122&lt;MAX(K122*BE120+BF120,K122*BE122+BF122),"Detention pipe to fully manage area is "&amp;TEXT(ROUNDUP(MAX(K122*BE120+BF120,K122*BE122+BF122),0),"#,##0")&amp;" ft. ","")),""))),"")</f>
        <v/>
      </c>
      <c r="R124" s="153"/>
      <c r="S124" s="153"/>
      <c r="T124" s="153"/>
      <c r="U124" s="153"/>
      <c r="V124" s="153"/>
      <c r="W124" s="153"/>
      <c r="X124" s="153"/>
      <c r="Y124" s="153"/>
      <c r="Z124" s="153"/>
      <c r="AA124" s="153"/>
      <c r="AB124" s="153"/>
      <c r="AC124" s="153"/>
      <c r="AD124" s="153"/>
      <c r="AE124" s="153"/>
      <c r="AF124" s="153"/>
      <c r="AG124" s="153"/>
      <c r="AH124" s="86"/>
      <c r="AI124" s="86"/>
      <c r="AJ124" s="86"/>
      <c r="AK124" s="86"/>
      <c r="AL124" s="86"/>
      <c r="AM124" s="86"/>
      <c r="AN124" s="86"/>
      <c r="AO124" s="98"/>
      <c r="AP124" s="98"/>
      <c r="AQ124" s="98"/>
      <c r="AR124" s="98"/>
      <c r="AS124" s="99" t="s">
        <v>136</v>
      </c>
      <c r="AT124" s="100" t="s">
        <v>114</v>
      </c>
      <c r="AU124" s="95"/>
      <c r="AV124" s="156" t="str">
        <f>IF(AV122="","",IFERROR(IF(Standard="Pre-Developed Pasture Standard",BJ120,IF(Standard="Peak Control Standard",BJ122,IF(Standard="Pre-Developed Pasture and Peak Control Standards",MIN(BJ120,BJ122),""))),""))</f>
        <v/>
      </c>
      <c r="AW124" s="156"/>
      <c r="AX124" s="156"/>
      <c r="AY124" s="156"/>
      <c r="AZ124" s="156"/>
      <c r="BA124" s="95" t="s">
        <v>48</v>
      </c>
      <c r="BB124" s="27"/>
      <c r="BD124" s="111" t="str">
        <f>C126</f>
        <v>Detention Vault</v>
      </c>
      <c r="BE124" s="107"/>
      <c r="BF124" s="107"/>
      <c r="BG124" s="107"/>
      <c r="BH124" s="107"/>
      <c r="BI124" s="107"/>
      <c r="BJ124" s="107"/>
      <c r="BK124" s="107"/>
      <c r="BL124" s="28"/>
      <c r="BM124" s="28"/>
      <c r="BN124" s="28"/>
      <c r="BO124" s="28"/>
      <c r="BX124" s="28"/>
      <c r="BY124" s="28"/>
    </row>
    <row r="125" spans="1:80" ht="3.75" customHeight="1" x14ac:dyDescent="0.2">
      <c r="A125" s="6"/>
      <c r="B125" s="14"/>
      <c r="C125" s="14"/>
      <c r="D125" s="7"/>
      <c r="E125" s="7"/>
      <c r="F125" s="7"/>
      <c r="G125" s="7"/>
      <c r="H125" s="7"/>
      <c r="I125" s="7"/>
      <c r="J125" s="7"/>
      <c r="K125" s="7"/>
      <c r="L125" s="7"/>
      <c r="M125" s="7"/>
      <c r="N125" s="7"/>
      <c r="O125" s="7"/>
      <c r="P125" s="7"/>
      <c r="Q125" s="153"/>
      <c r="R125" s="153"/>
      <c r="S125" s="153"/>
      <c r="T125" s="153"/>
      <c r="U125" s="153"/>
      <c r="V125" s="153"/>
      <c r="W125" s="153"/>
      <c r="X125" s="153"/>
      <c r="Y125" s="153"/>
      <c r="Z125" s="153"/>
      <c r="AA125" s="153"/>
      <c r="AB125" s="153"/>
      <c r="AC125" s="153"/>
      <c r="AD125" s="153"/>
      <c r="AE125" s="153"/>
      <c r="AF125" s="153"/>
      <c r="AG125" s="153"/>
      <c r="AH125" s="77"/>
      <c r="AI125" s="77"/>
      <c r="AJ125" s="77"/>
      <c r="AK125" s="77"/>
      <c r="AL125" s="77"/>
      <c r="AM125" s="77"/>
      <c r="AN125" s="77"/>
      <c r="AO125" s="77"/>
      <c r="AP125" s="77"/>
      <c r="AQ125" s="77"/>
      <c r="AR125" s="77"/>
      <c r="AS125" s="87"/>
      <c r="AT125" s="85"/>
      <c r="AU125" s="7"/>
      <c r="AV125" s="7"/>
      <c r="AW125" s="7"/>
      <c r="AX125" s="7"/>
      <c r="AY125" s="7"/>
      <c r="AZ125" s="7"/>
      <c r="BA125" s="7"/>
      <c r="BB125" s="8"/>
      <c r="BD125" s="107"/>
      <c r="BE125" s="107"/>
      <c r="BF125" s="107"/>
      <c r="BG125" s="107"/>
      <c r="BH125" s="107"/>
      <c r="BI125" s="107"/>
      <c r="BJ125" s="107"/>
      <c r="BK125" s="107"/>
      <c r="BL125" s="28"/>
      <c r="BM125" s="28"/>
      <c r="BN125" s="28"/>
      <c r="BO125" s="28"/>
    </row>
    <row r="126" spans="1:80" s="28" customFormat="1" ht="12" customHeight="1" x14ac:dyDescent="0.2">
      <c r="A126" s="6"/>
      <c r="B126" s="14"/>
      <c r="C126" s="14" t="s">
        <v>37</v>
      </c>
      <c r="D126" s="7"/>
      <c r="E126" s="7"/>
      <c r="F126" s="7"/>
      <c r="G126" s="7"/>
      <c r="H126" s="7"/>
      <c r="I126" s="7"/>
      <c r="J126" s="7"/>
      <c r="K126" s="7"/>
      <c r="L126" s="7"/>
      <c r="M126" s="7"/>
      <c r="N126" s="7"/>
      <c r="O126" s="7"/>
      <c r="P126" s="7"/>
      <c r="Q126" s="153"/>
      <c r="R126" s="153"/>
      <c r="S126" s="153"/>
      <c r="T126" s="153"/>
      <c r="U126" s="153"/>
      <c r="V126" s="153"/>
      <c r="W126" s="153"/>
      <c r="X126" s="153"/>
      <c r="Y126" s="153"/>
      <c r="Z126" s="153"/>
      <c r="AA126" s="153"/>
      <c r="AB126" s="153"/>
      <c r="AC126" s="153"/>
      <c r="AD126" s="153"/>
      <c r="AE126" s="153"/>
      <c r="AF126" s="153"/>
      <c r="AG126" s="153"/>
      <c r="AH126" s="160" t="str">
        <f>IF(Standard="","Select flow control standard",IF(K128="","Enter contributing area",IF(K130="","Select head above orifice",
IF(Standard="Pre-developed pasture standard",IFERROR(BG128,BI128),
IF(Standard="Peak Control Standard",IFERROR(BG130,BI130),
IFERROR(BG128,BI128))))))</f>
        <v>Select flow control standard</v>
      </c>
      <c r="AI126" s="160"/>
      <c r="AJ126" s="160"/>
      <c r="AK126" s="160"/>
      <c r="AL126" s="160"/>
      <c r="AM126" s="160"/>
      <c r="AN126" s="160"/>
      <c r="AO126" s="160"/>
      <c r="AP126" s="160"/>
      <c r="AQ126" s="160"/>
      <c r="AR126" s="160"/>
      <c r="AS126" s="7"/>
      <c r="AT126" s="7"/>
      <c r="AU126" s="7"/>
      <c r="AV126" s="7"/>
      <c r="AW126" s="7"/>
      <c r="AX126" s="7"/>
      <c r="AY126" s="7"/>
      <c r="AZ126" s="7"/>
      <c r="BA126" s="7"/>
      <c r="BB126" s="8"/>
      <c r="BC126" s="2"/>
      <c r="BD126" s="107" t="s">
        <v>85</v>
      </c>
      <c r="BE126" s="108" t="s">
        <v>79</v>
      </c>
      <c r="BF126" s="108" t="s">
        <v>80</v>
      </c>
      <c r="BG126" s="108" t="s">
        <v>84</v>
      </c>
      <c r="BH126" s="108" t="s">
        <v>16</v>
      </c>
      <c r="BI126" s="108" t="s">
        <v>116</v>
      </c>
      <c r="BJ126" s="107" t="s">
        <v>138</v>
      </c>
      <c r="BK126" s="107" t="s">
        <v>142</v>
      </c>
      <c r="BP126" s="2"/>
      <c r="BQ126" s="2"/>
      <c r="BR126" s="2"/>
      <c r="BS126" s="2"/>
      <c r="BT126" s="2"/>
      <c r="BU126" s="2"/>
      <c r="BV126" s="2"/>
      <c r="BW126" s="2"/>
      <c r="BX126" s="2"/>
      <c r="BY126" s="2"/>
      <c r="BZ126" s="2"/>
      <c r="CA126" s="2"/>
      <c r="CB126" s="2"/>
    </row>
    <row r="127" spans="1:80" ht="3.75" customHeight="1" x14ac:dyDescent="0.2">
      <c r="A127" s="6"/>
      <c r="B127" s="14"/>
      <c r="C127" s="14"/>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160"/>
      <c r="AI127" s="160"/>
      <c r="AJ127" s="160"/>
      <c r="AK127" s="160"/>
      <c r="AL127" s="160"/>
      <c r="AM127" s="160"/>
      <c r="AN127" s="160"/>
      <c r="AO127" s="160"/>
      <c r="AP127" s="160"/>
      <c r="AQ127" s="160"/>
      <c r="AR127" s="160"/>
      <c r="AS127" s="7"/>
      <c r="AT127" s="7"/>
      <c r="AU127" s="7"/>
      <c r="AV127" s="7"/>
      <c r="AW127" s="7"/>
      <c r="AX127" s="7"/>
      <c r="AY127" s="7"/>
      <c r="AZ127" s="7"/>
      <c r="BA127" s="7"/>
      <c r="BB127" s="8"/>
      <c r="BD127" s="107"/>
      <c r="BE127" s="107"/>
      <c r="BF127" s="107"/>
      <c r="BG127" s="107"/>
      <c r="BH127" s="107"/>
      <c r="BI127" s="107"/>
      <c r="BJ127" s="107"/>
      <c r="BK127" s="107"/>
      <c r="BL127" s="28"/>
      <c r="BM127" s="28"/>
      <c r="BN127" s="28"/>
      <c r="BO127" s="28"/>
    </row>
    <row r="128" spans="1:80" ht="12" customHeight="1" x14ac:dyDescent="0.2">
      <c r="A128" s="21"/>
      <c r="B128" s="23"/>
      <c r="C128" s="23"/>
      <c r="D128" s="22" t="s">
        <v>21</v>
      </c>
      <c r="E128" s="22"/>
      <c r="F128" s="22"/>
      <c r="G128" s="22"/>
      <c r="H128" s="22"/>
      <c r="I128" s="22"/>
      <c r="J128" s="22"/>
      <c r="K128" s="141"/>
      <c r="L128" s="141"/>
      <c r="M128" s="141"/>
      <c r="N128" s="141"/>
      <c r="O128" s="22" t="s">
        <v>6</v>
      </c>
      <c r="P128" s="22"/>
      <c r="Q128" s="1" t="s">
        <v>67</v>
      </c>
      <c r="R128" s="22"/>
      <c r="S128" s="22"/>
      <c r="T128" s="22"/>
      <c r="U128" s="22"/>
      <c r="V128" s="22"/>
      <c r="W128" s="22"/>
      <c r="X128" s="22"/>
      <c r="Y128" s="24" t="str">
        <f>IF(AF128=":","","[ ")</f>
        <v/>
      </c>
      <c r="Z128" s="141"/>
      <c r="AA128" s="141"/>
      <c r="AB128" s="141"/>
      <c r="AC128" s="141"/>
      <c r="AD128" s="22" t="s">
        <v>6</v>
      </c>
      <c r="AE128" s="22"/>
      <c r="AF128" s="54" t="str">
        <f>IFERROR(IF(Z128="",":",
IF(AND(AH126=BG130,BE130&gt;0),"-",
IF(AND(AH126=BG128,BE128&gt;0),"-",":"))),":")</f>
        <v>:</v>
      </c>
      <c r="AG128" s="22"/>
      <c r="AH128" s="161"/>
      <c r="AI128" s="161"/>
      <c r="AJ128" s="161"/>
      <c r="AK128" s="161"/>
      <c r="AL128" s="161"/>
      <c r="AM128" s="161"/>
      <c r="AN128" s="161"/>
      <c r="AO128" s="161"/>
      <c r="AP128" s="161"/>
      <c r="AQ128" s="161"/>
      <c r="AR128" s="161"/>
      <c r="AS128" s="22"/>
      <c r="AT128" s="51" t="str">
        <f>IF(AF128="≥","A=","=")</f>
        <v>=</v>
      </c>
      <c r="AU128" s="22"/>
      <c r="AV128" s="142" t="str">
        <f>IFERROR(IF(Standard="Pre-Developed Pasture Standard",MIN(K128,BH128),IF(Standard="Peak Control Standard",MIN(K128,BH130),IF(Standard="Pre-Developed Pasture and Peak Control Standards",MIN(K128,BH128,BH130),""))),"")</f>
        <v/>
      </c>
      <c r="AW128" s="142"/>
      <c r="AX128" s="142"/>
      <c r="AY128" s="142"/>
      <c r="AZ128" s="142"/>
      <c r="BA128" s="22" t="s">
        <v>6</v>
      </c>
      <c r="BB128" s="27"/>
      <c r="BC128" s="28"/>
      <c r="BD128" s="107" t="s">
        <v>8</v>
      </c>
      <c r="BE128" s="108" t="e">
        <f>INDEX('Sizing Factors'!$H:$H,MATCH($C$126&amp;$K$130&amp;$BK$128&amp;$BD$128,'Sizing Factors'!$L:$L,0))</f>
        <v>#N/A</v>
      </c>
      <c r="BF128" s="108" t="e">
        <f>INDEX('Sizing Factors'!$I:$I,MATCH($C$126&amp;$K$130&amp;$BK$128&amp;$BD$128,'Sizing Factors'!$L:$L,0))</f>
        <v>#N/A</v>
      </c>
      <c r="BG128" s="108" t="e">
        <f>IF(BF128=0,BE128*100&amp;"%",BF128&amp;" ] ÷ "&amp;BE128)</f>
        <v>#N/A</v>
      </c>
      <c r="BH128" s="109" t="e">
        <f>MAX((Z128-BF128)/BE128,0)</f>
        <v>#N/A</v>
      </c>
      <c r="BI128" s="110" t="str">
        <f>IF(K128&lt;2000,"Not applicable for contributing area &lt; 2,000 sf",IF(K128&gt;10000,"Not applicable for contributing area &gt; 10,000 sf",
INDEX('Sizing Factors'!$J:$J,MATCH($C$126&amp;$K$130&amp;$BK$128&amp;BD128,'Sizing Factors'!$L:$L,0))))</f>
        <v>Not applicable for contributing area &lt; 2,000 sf</v>
      </c>
      <c r="BJ128" s="108" t="e">
        <f>INDEX('Sizing Factors'!$K:$K,MATCH($C$126&amp;$K$130&amp;$BK$128&amp;$BD$128,'Sizing Factors'!$L:$L,0))</f>
        <v>#N/A</v>
      </c>
      <c r="BK128" s="107" t="str">
        <f>IF($K$128&lt;2000,"NA",IF($K$128&lt;5000,"20005000",IF($K$128&lt;=10000,"500010000","x")))</f>
        <v>NA</v>
      </c>
      <c r="BL128" s="28"/>
      <c r="BM128" s="28"/>
      <c r="BN128" s="28"/>
      <c r="BO128" s="28"/>
    </row>
    <row r="129" spans="1:84" ht="3.75" customHeight="1" x14ac:dyDescent="0.2">
      <c r="A129" s="21"/>
      <c r="B129" s="23"/>
      <c r="C129" s="23"/>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6"/>
      <c r="AG129" s="22"/>
      <c r="AH129" s="15"/>
      <c r="AI129" s="15"/>
      <c r="AJ129" s="15"/>
      <c r="AK129" s="15"/>
      <c r="AL129" s="15"/>
      <c r="AM129" s="15"/>
      <c r="AN129" s="15"/>
      <c r="AO129" s="15"/>
      <c r="AP129" s="15"/>
      <c r="AQ129" s="15"/>
      <c r="AR129" s="15"/>
      <c r="AS129" s="22"/>
      <c r="AT129" s="26"/>
      <c r="AU129" s="22"/>
      <c r="AV129" s="26"/>
      <c r="AW129" s="26"/>
      <c r="AX129" s="26"/>
      <c r="AY129" s="26"/>
      <c r="AZ129" s="26"/>
      <c r="BA129" s="22"/>
      <c r="BB129" s="27"/>
      <c r="BD129" s="107"/>
      <c r="BE129" s="108"/>
      <c r="BF129" s="108"/>
      <c r="BG129" s="108"/>
      <c r="BH129" s="108"/>
      <c r="BI129" s="108"/>
      <c r="BJ129" s="107"/>
      <c r="BK129" s="107"/>
      <c r="BL129" s="28"/>
      <c r="BM129" s="28"/>
      <c r="BN129" s="28"/>
      <c r="BO129" s="28"/>
    </row>
    <row r="130" spans="1:84" x14ac:dyDescent="0.2">
      <c r="A130" s="21"/>
      <c r="B130" s="23"/>
      <c r="C130" s="23"/>
      <c r="D130" s="22" t="s">
        <v>66</v>
      </c>
      <c r="E130" s="22"/>
      <c r="F130" s="22"/>
      <c r="G130" s="22"/>
      <c r="H130" s="22"/>
      <c r="I130" s="22"/>
      <c r="J130" s="22"/>
      <c r="K130" s="159"/>
      <c r="L130" s="159"/>
      <c r="M130" s="159"/>
      <c r="N130" s="159"/>
      <c r="O130" s="22" t="s">
        <v>50</v>
      </c>
      <c r="P130" s="22"/>
      <c r="Q130" s="153" t="str">
        <f>IFERROR(
IF(AND(Standard="Peak Control Standard",Z128&gt;ROUNDUP(IF(BI130="power",K128^BF130*BE130,K128*BE130+BF130),0)),"Detention vault can be reduced to "&amp;TEXT(ROUNDUP(IF(BI130="power",K128^BF130*BE130,K128*BE130+BF130),0),"#,##0")&amp;" sf. ",
IF(AND(Standard="Peak Control Standard",Z128&lt;ROUNDUP(IF(BI130="power",K128^BF130*BE130,K128*BE130+BF130),0)),"Detention vault to fully manage area is "&amp;TEXT(ROUNDUP(IF(BI130="power",K128^BF130*BE130,K128*BE130+BF130),0),"#,##0")&amp;" sf. ",
IF(AND(OR(Standard="Peak Control Standard",Standard="Pre-developed Pasture and Peak Control Standards"),OR(AND(K130=3,Z128&lt;64),AND(K130=4,Z128&lt;62))),"Vault must be at least "&amp;IF(K130=3,64,62)&amp;" sf to meet the Peak Control Standard. ",
IF(AND(Standard="Pre-Developed Pasture Standard",Z128&gt;ROUNDUP(K128*BE128+BF128,0)),"Detention vault can be reduced to "&amp;TEXT(ROUNDUP(K128*BE128+BF128,0),"#,##0")&amp; " sf. ",
IF(AND(Standard="Pre-Developed Pasture Standard",Z128&lt;ROUNDUP(K128*BE128+BF128,0)),"Detention vault to fully manage area is "&amp;TEXT(ROUNDUP(K128*BE128+BF128,0),"#,##0")&amp; " sf. ",
IF(AND(Standard="Pre-developed Pasture and Peak Control Standards",Z128&gt;ROUNDUP(MAX(K128*BE128+BF128,IF(BI130="power",K128^BF130*BE130,K128*BE130+BF130)),0)),"Detention vault can be reduced to "&amp;TEXT(ROUNDUP(MAX(K128*BE128+BF128,IF(BI130="power",K128^BF130*BE130,K128*BE130+BF130)),0),"#,##0")&amp;" sf. ",
IF(AND(Standard="Pre-developed Pasture and Peak Control Standards",Z128&lt;ROUNDUP(MAX(K128*BE128+BF128,IF(BI130="power",K128^BF130*BE130,K128*BE130+BF130)),0)),"Detention vault to fully manage area is "&amp;TEXT(ROUNDUP(MAX(K128*BE128+BF128,IF(BI130="power",K128^BF130*BE130,K128*BE130+BF130)),0),"#,##0")&amp;" sf. ",""))))))),"")</f>
        <v/>
      </c>
      <c r="R130" s="153"/>
      <c r="S130" s="153"/>
      <c r="T130" s="153"/>
      <c r="U130" s="153"/>
      <c r="V130" s="153"/>
      <c r="W130" s="153"/>
      <c r="X130" s="153"/>
      <c r="Y130" s="153"/>
      <c r="Z130" s="153"/>
      <c r="AA130" s="153"/>
      <c r="AB130" s="153"/>
      <c r="AC130" s="153"/>
      <c r="AD130" s="153"/>
      <c r="AE130" s="153"/>
      <c r="AF130" s="153"/>
      <c r="AG130" s="153"/>
      <c r="AH130" s="86"/>
      <c r="AI130" s="86"/>
      <c r="AJ130" s="86"/>
      <c r="AK130" s="86"/>
      <c r="AL130" s="86"/>
      <c r="AM130" s="86"/>
      <c r="AN130" s="86"/>
      <c r="AO130" s="86"/>
      <c r="AP130" s="86"/>
      <c r="AQ130" s="86"/>
      <c r="AR130" s="86"/>
      <c r="AS130" s="99" t="s">
        <v>136</v>
      </c>
      <c r="AT130" s="100" t="s">
        <v>114</v>
      </c>
      <c r="AU130" s="94"/>
      <c r="AV130" s="156" t="str">
        <f>IF(AV128="","",IFERROR(IF(Standard="Pre-Developed Pasture Standard",BJ128,IF(Standard="Peak Control Standard",BJ130,IF(Standard="Pre-Developed Pasture and Peak Control Standards",MIN(BJ128,BJ130),""))),""))</f>
        <v/>
      </c>
      <c r="AW130" s="156"/>
      <c r="AX130" s="156"/>
      <c r="AY130" s="156"/>
      <c r="AZ130" s="156"/>
      <c r="BA130" s="94" t="s">
        <v>48</v>
      </c>
      <c r="BB130" s="27"/>
      <c r="BD130" s="107" t="s">
        <v>77</v>
      </c>
      <c r="BE130" s="108" t="e">
        <f>INDEX('Sizing Factors'!$H:$H,MATCH($C$126&amp;$K$130&amp;$BK$130&amp;$BD$130,'Sizing Factors'!$L:$L,0))</f>
        <v>#N/A</v>
      </c>
      <c r="BF130" s="108" t="e">
        <f>INDEX('Sizing Factors'!$I:$I,MATCH($C$126&amp;$K$130&amp;$BK$130&amp;$BD$130,'Sizing Factors'!$L:$L,0))</f>
        <v>#N/A</v>
      </c>
      <c r="BG130" s="108" t="e">
        <f>IF(BF130=0,BE130*100&amp;"%",BF130&amp;" ] ÷ "&amp;BE130)</f>
        <v>#N/A</v>
      </c>
      <c r="BH130" s="109">
        <f>IFERROR(MAX((Z128-BF130)/BE130,0),0)</f>
        <v>0</v>
      </c>
      <c r="BI130" s="110" t="str">
        <f>IF(K128&lt;2000,"Not applicable for contributing area &lt; 2,000 sf",IF(K128&gt;10000,"Not applicable for contributing area &gt; 10,000 sf",INDEX('Sizing Factors'!$J:$J,MATCH($C$126&amp;$K$130&amp;$BK$130&amp;BD130,'Sizing Factors'!$L:$L,0))))</f>
        <v>Not applicable for contributing area &lt; 2,000 sf</v>
      </c>
      <c r="BJ130" s="108" t="e">
        <f>INDEX('Sizing Factors'!$K:$K,MATCH($C$126&amp;$K$130&amp;$BK$130&amp;$BD$130,'Sizing Factors'!$L:$L,0))</f>
        <v>#N/A</v>
      </c>
      <c r="BK130" s="107" t="str">
        <f>IF($K$128&lt;2000,"NA",IF($K$128&lt;=7500,"20007500",IF($K$128&lt;=8000,"75008000",IF($K$128&lt;=10000,"800010000","x"))))</f>
        <v>NA</v>
      </c>
      <c r="BL130" s="28"/>
      <c r="BM130" s="28"/>
      <c r="BN130" s="28"/>
      <c r="BO130" s="28"/>
    </row>
    <row r="131" spans="1:84" ht="3.75" customHeight="1" x14ac:dyDescent="0.2">
      <c r="A131" s="6"/>
      <c r="B131" s="14"/>
      <c r="C131" s="14"/>
      <c r="D131" s="7"/>
      <c r="E131" s="7"/>
      <c r="F131" s="7"/>
      <c r="G131" s="7"/>
      <c r="H131" s="7"/>
      <c r="I131" s="7"/>
      <c r="J131" s="7"/>
      <c r="K131" s="7"/>
      <c r="L131" s="7"/>
      <c r="M131" s="7"/>
      <c r="N131" s="7"/>
      <c r="O131" s="7"/>
      <c r="P131" s="7"/>
      <c r="Q131" s="153"/>
      <c r="R131" s="153"/>
      <c r="S131" s="153"/>
      <c r="T131" s="153"/>
      <c r="U131" s="153"/>
      <c r="V131" s="153"/>
      <c r="W131" s="153"/>
      <c r="X131" s="153"/>
      <c r="Y131" s="153"/>
      <c r="Z131" s="153"/>
      <c r="AA131" s="153"/>
      <c r="AB131" s="153"/>
      <c r="AC131" s="153"/>
      <c r="AD131" s="153"/>
      <c r="AE131" s="153"/>
      <c r="AF131" s="153"/>
      <c r="AG131" s="153"/>
      <c r="AH131" s="7"/>
      <c r="AI131" s="7"/>
      <c r="AJ131" s="7"/>
      <c r="AK131" s="7"/>
      <c r="AL131" s="7"/>
      <c r="AM131" s="7"/>
      <c r="AN131" s="7"/>
      <c r="AO131" s="7"/>
      <c r="AP131" s="7"/>
      <c r="AQ131" s="7"/>
      <c r="AR131" s="7"/>
      <c r="AS131" s="7"/>
      <c r="AT131" s="7"/>
      <c r="AU131" s="7"/>
      <c r="AV131" s="7"/>
      <c r="AW131" s="7"/>
      <c r="AX131" s="7"/>
      <c r="AY131" s="7"/>
      <c r="AZ131" s="7"/>
      <c r="BA131" s="7"/>
      <c r="BB131" s="8"/>
      <c r="BD131" s="107"/>
      <c r="BE131" s="107"/>
      <c r="BF131" s="107"/>
      <c r="BG131" s="107"/>
      <c r="BH131" s="107"/>
      <c r="BI131" s="107"/>
      <c r="BJ131" s="107"/>
      <c r="BK131" s="107"/>
      <c r="BL131" s="28"/>
      <c r="BM131" s="28"/>
      <c r="BN131" s="28"/>
      <c r="BO131" s="28"/>
    </row>
    <row r="132" spans="1:84" s="28" customFormat="1" ht="12" customHeight="1" x14ac:dyDescent="0.2">
      <c r="A132" s="6"/>
      <c r="B132" s="14"/>
      <c r="C132" s="14" t="s">
        <v>38</v>
      </c>
      <c r="D132" s="7"/>
      <c r="E132" s="7"/>
      <c r="F132" s="7"/>
      <c r="G132" s="7"/>
      <c r="H132" s="7"/>
      <c r="I132" s="7"/>
      <c r="J132" s="7"/>
      <c r="K132" s="7"/>
      <c r="L132" s="7"/>
      <c r="M132" s="7"/>
      <c r="N132" s="7"/>
      <c r="O132" s="7"/>
      <c r="P132" s="7"/>
      <c r="Q132" s="153"/>
      <c r="R132" s="153"/>
      <c r="S132" s="153"/>
      <c r="T132" s="153"/>
      <c r="U132" s="153"/>
      <c r="V132" s="153"/>
      <c r="W132" s="153"/>
      <c r="X132" s="153"/>
      <c r="Y132" s="153"/>
      <c r="Z132" s="153"/>
      <c r="AA132" s="153"/>
      <c r="AB132" s="153"/>
      <c r="AC132" s="153"/>
      <c r="AD132" s="153"/>
      <c r="AE132" s="153"/>
      <c r="AF132" s="153"/>
      <c r="AG132" s="153"/>
      <c r="AH132" s="160" t="str">
        <f>IF(Standard="","Select flow control standard",IF(K134="","Enter contributing area",IF(K136="","Select head above orifice",
IF(K134&gt;10000,BI136,IF(Standard="Pre-developed pasture standard",IFERROR(BG136,BI136),
IF(Standard="Peak Control Standard",IFERROR(BG139,BI139),
IFERROR(IF(BH136&lt;BH139,BG136,BG139),BI136)))))))</f>
        <v>Select flow control standard</v>
      </c>
      <c r="AI132" s="160"/>
      <c r="AJ132" s="160"/>
      <c r="AK132" s="160"/>
      <c r="AL132" s="160"/>
      <c r="AM132" s="160"/>
      <c r="AN132" s="160"/>
      <c r="AO132" s="160"/>
      <c r="AP132" s="160"/>
      <c r="AQ132" s="160"/>
      <c r="AR132" s="160"/>
      <c r="AS132" s="7"/>
      <c r="AT132" s="7"/>
      <c r="AU132" s="7"/>
      <c r="AV132" s="7"/>
      <c r="AW132" s="7"/>
      <c r="AX132" s="7"/>
      <c r="AY132" s="7"/>
      <c r="AZ132" s="7"/>
      <c r="BA132" s="7"/>
      <c r="BB132" s="8"/>
      <c r="BC132" s="2"/>
      <c r="BD132" s="111" t="str">
        <f>C132</f>
        <v>Detention Cistern</v>
      </c>
      <c r="BE132" s="107"/>
      <c r="BF132" s="107"/>
      <c r="BG132" s="107"/>
      <c r="BH132" s="107"/>
      <c r="BI132" s="107"/>
      <c r="BJ132" s="107"/>
      <c r="BK132" s="107"/>
      <c r="BP132" s="2"/>
      <c r="BQ132" s="2"/>
      <c r="BR132" s="2"/>
      <c r="BS132" s="2"/>
      <c r="BT132" s="2"/>
      <c r="BU132" s="2"/>
      <c r="BV132" s="2"/>
      <c r="BW132" s="2"/>
      <c r="BX132" s="2"/>
      <c r="BY132" s="2"/>
    </row>
    <row r="133" spans="1:84" ht="3.75" customHeight="1" x14ac:dyDescent="0.2">
      <c r="A133" s="6"/>
      <c r="B133" s="14"/>
      <c r="C133" s="14"/>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160"/>
      <c r="AI133" s="160"/>
      <c r="AJ133" s="160"/>
      <c r="AK133" s="160"/>
      <c r="AL133" s="160"/>
      <c r="AM133" s="160"/>
      <c r="AN133" s="160"/>
      <c r="AO133" s="160"/>
      <c r="AP133" s="160"/>
      <c r="AQ133" s="160"/>
      <c r="AR133" s="160"/>
      <c r="AS133" s="7"/>
      <c r="AT133" s="7"/>
      <c r="AU133" s="7"/>
      <c r="AV133" s="7"/>
      <c r="AW133" s="7"/>
      <c r="AX133" s="7"/>
      <c r="AY133" s="7"/>
      <c r="AZ133" s="7"/>
      <c r="BA133" s="7"/>
      <c r="BB133" s="8"/>
      <c r="BD133" s="107"/>
      <c r="BE133" s="107"/>
      <c r="BF133" s="107"/>
      <c r="BG133" s="107"/>
      <c r="BH133" s="107"/>
      <c r="BI133" s="107"/>
      <c r="BJ133" s="107"/>
      <c r="BK133" s="107"/>
      <c r="BL133" s="28"/>
      <c r="BM133" s="28"/>
      <c r="BN133" s="28"/>
      <c r="BO133" s="28"/>
      <c r="BZ133" s="28"/>
      <c r="CA133" s="28"/>
      <c r="CB133" s="28"/>
      <c r="CC133" s="28"/>
      <c r="CD133" s="28"/>
      <c r="CE133" s="28"/>
      <c r="CF133" s="28"/>
    </row>
    <row r="134" spans="1:84" x14ac:dyDescent="0.2">
      <c r="A134" s="21"/>
      <c r="B134" s="23"/>
      <c r="C134" s="23"/>
      <c r="D134" s="22" t="s">
        <v>21</v>
      </c>
      <c r="E134" s="22"/>
      <c r="F134" s="22"/>
      <c r="G134" s="22"/>
      <c r="H134" s="22"/>
      <c r="I134" s="22"/>
      <c r="J134" s="22"/>
      <c r="K134" s="141"/>
      <c r="L134" s="141"/>
      <c r="M134" s="141"/>
      <c r="N134" s="141"/>
      <c r="O134" s="22" t="s">
        <v>6</v>
      </c>
      <c r="P134" s="22"/>
      <c r="Q134" s="1" t="s">
        <v>68</v>
      </c>
      <c r="R134" s="22"/>
      <c r="S134" s="22"/>
      <c r="T134" s="22"/>
      <c r="U134" s="22"/>
      <c r="V134" s="22"/>
      <c r="W134" s="22"/>
      <c r="X134" s="22"/>
      <c r="Y134" s="24" t="str">
        <f>IFERROR(
IF(AH132=BG139,"[",
IF(AH132=BG136,IF(BE136=0,"", IF(BF136=0,"","[")))),IF(AF134=":","",":"))</f>
        <v/>
      </c>
      <c r="Z134" s="141"/>
      <c r="AA134" s="141"/>
      <c r="AB134" s="141"/>
      <c r="AC134" s="141"/>
      <c r="AD134" s="22" t="s">
        <v>6</v>
      </c>
      <c r="AE134" s="22"/>
      <c r="AF134" s="81" t="str">
        <f>IFERROR(
IF(AH132=BG139,IF(BI139="constant","-","÷"),
IF(AH132=BG136,IF(BE136=0,"≥", IF(BF136=0,"÷","÷")))),":")</f>
        <v>:</v>
      </c>
      <c r="AG134" s="22"/>
      <c r="AH134" s="161"/>
      <c r="AI134" s="161"/>
      <c r="AJ134" s="161"/>
      <c r="AK134" s="161"/>
      <c r="AL134" s="161"/>
      <c r="AM134" s="161"/>
      <c r="AN134" s="161"/>
      <c r="AO134" s="161"/>
      <c r="AP134" s="161"/>
      <c r="AQ134" s="161"/>
      <c r="AR134" s="161"/>
      <c r="AS134" s="22"/>
      <c r="AT134" s="81" t="str">
        <f>IF(AF134="≥","A=","=")</f>
        <v>=</v>
      </c>
      <c r="AU134" s="22"/>
      <c r="AV134" s="142" t="str">
        <f>IFERROR(IF(Standard="Pre-Developed Pasture Standard",MIN(K134,BH136),IF(Standard="Peak Control Standard",MIN(K134,BH139),IF(Standard="Pre-Developed Pasture and Peak Control Standards",MIN(K134,BH136,BH139),""))),"")</f>
        <v/>
      </c>
      <c r="AW134" s="142"/>
      <c r="AX134" s="142"/>
      <c r="AY134" s="142"/>
      <c r="AZ134" s="142"/>
      <c r="BA134" s="22" t="s">
        <v>6</v>
      </c>
      <c r="BB134" s="27"/>
      <c r="BD134" s="107" t="s">
        <v>85</v>
      </c>
      <c r="BE134" s="108" t="s">
        <v>79</v>
      </c>
      <c r="BF134" s="108" t="s">
        <v>102</v>
      </c>
      <c r="BG134" s="108" t="s">
        <v>84</v>
      </c>
      <c r="BH134" s="108" t="s">
        <v>16</v>
      </c>
      <c r="BI134" s="108" t="s">
        <v>116</v>
      </c>
      <c r="BJ134" s="107" t="s">
        <v>138</v>
      </c>
      <c r="BK134" s="107" t="s">
        <v>142</v>
      </c>
      <c r="BL134" s="28"/>
      <c r="BM134" s="28"/>
      <c r="BN134" s="28"/>
      <c r="BO134" s="28"/>
      <c r="BZ134" s="28"/>
      <c r="CA134" s="28"/>
      <c r="CB134" s="28"/>
      <c r="CC134" s="28"/>
      <c r="CD134" s="28"/>
      <c r="CE134" s="28"/>
      <c r="CF134" s="28"/>
    </row>
    <row r="135" spans="1:84" ht="3.75" customHeight="1" x14ac:dyDescent="0.2">
      <c r="A135" s="21"/>
      <c r="B135" s="23"/>
      <c r="C135" s="23"/>
      <c r="D135" s="2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6"/>
      <c r="AG135" s="22"/>
      <c r="AH135" s="48"/>
      <c r="AI135" s="48"/>
      <c r="AJ135" s="48"/>
      <c r="AK135" s="48"/>
      <c r="AL135" s="48"/>
      <c r="AM135" s="48"/>
      <c r="AN135" s="48"/>
      <c r="AO135" s="48"/>
      <c r="AP135" s="48"/>
      <c r="AQ135" s="48"/>
      <c r="AR135" s="48"/>
      <c r="AS135" s="22"/>
      <c r="AT135" s="26"/>
      <c r="AU135" s="22"/>
      <c r="AV135" s="26"/>
      <c r="AW135" s="26"/>
      <c r="AX135" s="26"/>
      <c r="AY135" s="26"/>
      <c r="AZ135" s="26"/>
      <c r="BA135" s="22"/>
      <c r="BB135" s="27"/>
      <c r="BD135" s="107"/>
      <c r="BE135" s="107"/>
      <c r="BF135" s="107"/>
      <c r="BG135" s="107"/>
      <c r="BH135" s="107"/>
      <c r="BI135" s="107"/>
      <c r="BJ135" s="107"/>
      <c r="BK135" s="107"/>
      <c r="BL135" s="28"/>
      <c r="BM135" s="28"/>
      <c r="BN135" s="28"/>
      <c r="BO135" s="28"/>
      <c r="BZ135" s="28"/>
      <c r="CA135" s="28"/>
      <c r="CB135" s="28"/>
      <c r="CC135" s="28"/>
      <c r="CD135" s="28"/>
      <c r="CE135" s="28"/>
      <c r="CF135" s="28"/>
    </row>
    <row r="136" spans="1:84" ht="12" customHeight="1" x14ac:dyDescent="0.2">
      <c r="A136" s="21"/>
      <c r="B136" s="23"/>
      <c r="C136" s="23"/>
      <c r="D136" s="22" t="s">
        <v>66</v>
      </c>
      <c r="E136" s="22"/>
      <c r="F136" s="22"/>
      <c r="G136" s="22"/>
      <c r="H136" s="22"/>
      <c r="I136" s="22"/>
      <c r="J136" s="22"/>
      <c r="K136" s="159"/>
      <c r="L136" s="159"/>
      <c r="M136" s="159"/>
      <c r="N136" s="159"/>
      <c r="O136" s="22" t="s">
        <v>50</v>
      </c>
      <c r="P136" s="22"/>
      <c r="Q136" s="153" t="str">
        <f>IF(OR(K134="",K136=""),"",
IFERROR(
IF(Standard="Pre-Developed Pasture Standard",
IF(Z134&lt;ROUNDUP(IF(BF136=0,K134*BE136,IF(BE136=0,BF136,BE136*K134^BF136)),0),"Detention cistern to fully manage area is " &amp; ROUNDUP(IF(OR(BE136=0,BF136=0),K134*BE136+BF136,BE136*K134^BF136),0)&amp;" sf.",
IF(Z134&gt;ROUNDUP(IF(BF136=0,K134*BE136,IF(BE136=0,BF136,BE136*K134^BF136)),0),"Detention cistern can be reduced to " &amp; ROUNDUP(IF(OR(BE136=0,BF136=0),K134*BE136+BF136,BE136*K134^BF136),0)&amp;" sf.","")),
IF(Standard="Peak Control Standard",
IF(Z134&lt;ROUNDUP(IF(BI139="constant",K134*BE139+BF139,BE139*K134^BF139),0),"Detention cistern to fully manage area is "&amp; ROUNDUP(IF(BI139="constant",K134*BE139+BF139,BE139*K134^BF139),0)&amp;" sf.",
IF(Z134&gt;ROUNDUP(IF(BI139="constant",K134*BE139+BF139,BE139*K134^BF139),0),"Detention cistern can be reduced to "&amp; ROUNDUP(IF(BI139="constant",K134*BE139+BF139,BE139*K134^BF139),0)&amp;" sf.","")),
IF(Standard="Pre-developed Pasture and Peak Control Standards",
IF(Z134&lt;MAX(ROUNDUP(IF(BF136=0,K134*BE136,IF(BE136=0,BF136,BE136*K134^BF136)),0),ROUNDUP(IF(BI139="constant",K134*BE139+BF139,BE139*K134^BF139),0)),"Detention cistern to fully manage area is " &amp; MAX(ROUNDUP(IF(BI139="constant",K134*BE139+BF139,BE139*K134^BF139),0),ROUNDUP(IF(OR(BE136=0,BF136=0),K134*BE136+BF136,BE136*K134^BF136),0))&amp;" sf.",
IF(Z134&gt;MAX(ROUNDUP(IF(BF136=0,K134*BE136,IF(BE136=0,BF136,BE136*K134^BF136)),0),ROUNDUP(IF(BI139="constant",K134*BE139+BF139,BE139*K134^BF139),0)),"Detention cistern can be reduced to " &amp; MAX(ROUNDUP(IF(BI139="constant",K134*BE139+BF139,BE139*K134^BF139),0),ROUNDUP(IF(OR(BE136=0,BF136=0),K134*BE136+BF136,BE136*K134^BF136),0))&amp;" sf.","")))
)),""))</f>
        <v/>
      </c>
      <c r="R136" s="153"/>
      <c r="S136" s="153"/>
      <c r="T136" s="153"/>
      <c r="U136" s="153"/>
      <c r="V136" s="153"/>
      <c r="W136" s="153"/>
      <c r="X136" s="153"/>
      <c r="Y136" s="153"/>
      <c r="Z136" s="153"/>
      <c r="AA136" s="153"/>
      <c r="AB136" s="153"/>
      <c r="AC136" s="153"/>
      <c r="AD136" s="153"/>
      <c r="AE136" s="153"/>
      <c r="AF136" s="153"/>
      <c r="AG136" s="153"/>
      <c r="AH136" s="86"/>
      <c r="AI136" s="86"/>
      <c r="AJ136" s="86"/>
      <c r="AK136" s="86"/>
      <c r="AL136" s="86"/>
      <c r="AM136" s="86"/>
      <c r="AN136" s="86"/>
      <c r="AO136" s="86"/>
      <c r="AP136" s="86"/>
      <c r="AQ136" s="86"/>
      <c r="AR136" s="98"/>
      <c r="AS136" s="99" t="s">
        <v>136</v>
      </c>
      <c r="AT136" s="100" t="s">
        <v>114</v>
      </c>
      <c r="AU136" s="94"/>
      <c r="AV136" s="156" t="str">
        <f>IFERROR(IF(Standard="Pre-Developed Pasture Standard",BJ136,IF(Standard="Peak Control Standard",BJ139,IF(Standard="Pre-Developed Pasture and Peak Control Standards",MIN(BJ136,BJ139),""))),"")</f>
        <v/>
      </c>
      <c r="AW136" s="156"/>
      <c r="AX136" s="156"/>
      <c r="AY136" s="156"/>
      <c r="AZ136" s="156"/>
      <c r="BA136" s="94" t="s">
        <v>48</v>
      </c>
      <c r="BB136" s="27"/>
      <c r="BD136" s="107" t="s">
        <v>8</v>
      </c>
      <c r="BE136" s="108" t="e">
        <f>INDEX('Sizing Factors'!$H:$H,MATCH($C$132&amp;$K$136&amp;$BK$136&amp;$BD$136,'Sizing Factors'!$L:$L,0))</f>
        <v>#N/A</v>
      </c>
      <c r="BF136" s="108" t="e">
        <f>INDEX('Sizing Factors'!$I:$I,MATCH($C$132&amp;$K$136&amp;$BK$136&amp;$BD$136,'Sizing Factors'!$L:$L,0))</f>
        <v>#N/A</v>
      </c>
      <c r="BG136" s="108" t="e">
        <f>IF(BF136=0,BE136*100&amp;"%",IF(BE136=0,BF136&amp;" sf",BE136&amp;" ] ^ (1 / "&amp;BF136&amp;")"))</f>
        <v>#N/A</v>
      </c>
      <c r="BH136" s="109" t="e">
        <f>IF(BE136=0,IF(Z134&gt;=BF136,K134,0),
IF(BF136=0, Z134/BE136,
(Z134/BE136)^(1/BF136)))</f>
        <v>#N/A</v>
      </c>
      <c r="BI136" s="110" t="e">
        <f>IF(K134&gt;10000,"Not applicable for contributing area &gt; 10,000 sf",INDEX('Sizing Factors'!$J:$J,MATCH($C$132&amp;$K$136&amp;$BK$136&amp;BD136,'Sizing Factors'!$L:$L,0)))</f>
        <v>#N/A</v>
      </c>
      <c r="BJ136" s="108" t="e">
        <f>INDEX('Sizing Factors'!$K:$K,MATCH($C$132&amp;$K$136&amp;$BK$136&amp;$BD$136,'Sizing Factors'!$L:$L,0))</f>
        <v>#N/A</v>
      </c>
      <c r="BK136" s="107" t="str">
        <f>IF($K$134&lt;=3500,"03500",IF($K$134&lt;=5000,"35005000",IF($K$134&lt;=6000,"50006000",IF($K$134&lt;=10000,"600010000","x"))))</f>
        <v>03500</v>
      </c>
      <c r="BL136" s="28"/>
      <c r="BM136" s="28"/>
      <c r="BN136" s="28"/>
      <c r="BO136" s="28"/>
      <c r="BZ136" s="28"/>
      <c r="CA136" s="28"/>
      <c r="CB136" s="28"/>
      <c r="CC136" s="28"/>
      <c r="CD136" s="28"/>
      <c r="CE136" s="28"/>
      <c r="CF136" s="28"/>
    </row>
    <row r="137" spans="1:84" ht="3.75" customHeight="1" x14ac:dyDescent="0.2">
      <c r="A137" s="6"/>
      <c r="B137" s="14"/>
      <c r="C137" s="14"/>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91"/>
      <c r="AS137" s="91"/>
      <c r="AT137" s="91"/>
      <c r="AU137" s="91"/>
      <c r="AV137" s="91"/>
      <c r="AW137" s="91"/>
      <c r="AX137" s="91"/>
      <c r="AY137" s="91"/>
      <c r="AZ137" s="91"/>
      <c r="BA137" s="91"/>
      <c r="BB137" s="8"/>
      <c r="BD137" s="112"/>
      <c r="BE137" s="112"/>
      <c r="BF137" s="112"/>
      <c r="BG137" s="112"/>
      <c r="BH137" s="112"/>
      <c r="BI137" s="112"/>
      <c r="BJ137" s="107"/>
      <c r="BK137" s="107"/>
      <c r="BL137" s="28"/>
      <c r="BM137" s="28"/>
      <c r="BN137" s="28"/>
      <c r="BO137" s="28"/>
      <c r="BZ137" s="28"/>
      <c r="CA137" s="28"/>
      <c r="CB137" s="28"/>
      <c r="CC137" s="28"/>
      <c r="CD137" s="28"/>
      <c r="CE137" s="28"/>
      <c r="CF137" s="28"/>
    </row>
    <row r="138" spans="1:84" ht="3.75" customHeight="1" x14ac:dyDescent="0.2">
      <c r="A138" s="3"/>
      <c r="B138" s="29"/>
      <c r="C138" s="29"/>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101"/>
      <c r="AS138" s="101"/>
      <c r="AT138" s="101"/>
      <c r="AU138" s="101"/>
      <c r="AV138" s="101"/>
      <c r="AW138" s="101"/>
      <c r="AX138" s="101"/>
      <c r="AY138" s="101"/>
      <c r="AZ138" s="101"/>
      <c r="BA138" s="101"/>
      <c r="BB138" s="5"/>
      <c r="BD138" s="107"/>
      <c r="BE138" s="107"/>
      <c r="BF138" s="107"/>
      <c r="BG138" s="107"/>
      <c r="BH138" s="107"/>
      <c r="BI138" s="107"/>
      <c r="BJ138" s="107"/>
      <c r="BK138" s="107"/>
      <c r="BL138" s="28"/>
      <c r="BM138" s="28"/>
      <c r="BN138" s="28"/>
      <c r="BO138" s="28"/>
      <c r="BZ138" s="28"/>
      <c r="CA138" s="28"/>
      <c r="CB138" s="28"/>
      <c r="CC138" s="28"/>
      <c r="CD138" s="28"/>
      <c r="CE138" s="28"/>
      <c r="CF138" s="28"/>
    </row>
    <row r="139" spans="1:84" x14ac:dyDescent="0.2">
      <c r="A139" s="6"/>
      <c r="B139" s="14"/>
      <c r="C139" s="14"/>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14"/>
      <c r="AF139" s="7"/>
      <c r="AG139" s="7"/>
      <c r="AH139" s="15"/>
      <c r="AI139" s="7"/>
      <c r="AJ139" s="7"/>
      <c r="AK139" s="7"/>
      <c r="AL139" s="7"/>
      <c r="AM139" s="7"/>
      <c r="AN139" s="7"/>
      <c r="AO139" s="7"/>
      <c r="AP139" s="7"/>
      <c r="AQ139" s="7"/>
      <c r="AR139" s="91"/>
      <c r="AS139" s="91"/>
      <c r="AT139" s="102" t="s">
        <v>120</v>
      </c>
      <c r="AU139" s="140">
        <f>IFERROR(SUM(AV114,AV122,AV128,AV134),"")</f>
        <v>0</v>
      </c>
      <c r="AV139" s="140"/>
      <c r="AW139" s="140"/>
      <c r="AX139" s="140"/>
      <c r="AY139" s="140"/>
      <c r="AZ139" s="140"/>
      <c r="BA139" s="103" t="s">
        <v>6</v>
      </c>
      <c r="BB139" s="8"/>
      <c r="BD139" s="107" t="s">
        <v>77</v>
      </c>
      <c r="BE139" s="108" t="e">
        <f>INDEX('Sizing Factors'!$H:$H,MATCH($C$132&amp;$K$136&amp;$BK$139&amp;$BD$139,'Sizing Factors'!$L:$L,0))</f>
        <v>#N/A</v>
      </c>
      <c r="BF139" s="108" t="e">
        <f>INDEX('Sizing Factors'!$I:$I,MATCH($C$132&amp;$K$136&amp;$BK$139&amp;$BD$139,'Sizing Factors'!$L:$L,0))</f>
        <v>#N/A</v>
      </c>
      <c r="BG139" s="108" t="e">
        <f>IF(BI139="constant",BF139 &amp;" ] ÷ "&amp;BE139,
BE139&amp;" ] ^ (1 / "&amp;BF139&amp;")")</f>
        <v>#N/A</v>
      </c>
      <c r="BH139" s="109" t="e">
        <f>IF(BI139="constant",(Z134-BF139)/BE139,(Z134/BE139)^(1/BF139))</f>
        <v>#N/A</v>
      </c>
      <c r="BI139" s="110" t="e">
        <f>IF(K134&gt;10000,"Not applicable for contributing area &gt; 10,000 sf",INDEX('Sizing Factors'!$J:$J,MATCH($C$132&amp;$K$136&amp;$BK$139&amp;BD139,'Sizing Factors'!$L:$L,0)))</f>
        <v>#N/A</v>
      </c>
      <c r="BJ139" s="108" t="e">
        <f>INDEX('Sizing Factors'!$K:$K,MATCH($C$132&amp;$K$136&amp;$BK$139&amp;$BD$139,'Sizing Factors'!$L:$L,0))</f>
        <v>#N/A</v>
      </c>
      <c r="BK139" s="107" t="str">
        <f>IF($K$134&lt;=3500,"03500",IF($K$134&lt;=5000,"35005000",IF($K$134&lt;=9999,"50009999",IF($K$134&lt;=10000,"999910000","x"))))</f>
        <v>03500</v>
      </c>
      <c r="BL139" s="28"/>
      <c r="BM139" s="28"/>
      <c r="BN139" s="28"/>
      <c r="BO139" s="28"/>
      <c r="BZ139" s="28"/>
      <c r="CA139" s="28"/>
      <c r="CB139" s="28"/>
      <c r="CC139" s="28"/>
      <c r="CD139" s="28"/>
      <c r="CE139" s="28"/>
      <c r="CF139" s="28"/>
    </row>
    <row r="140" spans="1:84" ht="3.75" customHeight="1" x14ac:dyDescent="0.2">
      <c r="A140" s="10"/>
      <c r="B140" s="18"/>
      <c r="C140" s="18"/>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04"/>
      <c r="AS140" s="104"/>
      <c r="AT140" s="104"/>
      <c r="AU140" s="104"/>
      <c r="AV140" s="104"/>
      <c r="AW140" s="104"/>
      <c r="AX140" s="104"/>
      <c r="AY140" s="104"/>
      <c r="AZ140" s="104"/>
      <c r="BA140" s="104"/>
      <c r="BB140" s="12"/>
      <c r="BD140" s="28"/>
      <c r="BE140" s="28"/>
      <c r="BF140" s="28"/>
      <c r="BG140" s="28"/>
      <c r="BH140" s="28"/>
    </row>
    <row r="141" spans="1:84" ht="3.75" customHeight="1" x14ac:dyDescent="0.2">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105"/>
      <c r="AS141" s="105"/>
      <c r="AT141" s="105"/>
      <c r="AU141" s="105"/>
      <c r="AV141" s="105"/>
      <c r="AW141" s="105"/>
      <c r="AX141" s="105"/>
      <c r="AY141" s="105"/>
      <c r="AZ141" s="105"/>
      <c r="BA141" s="105"/>
      <c r="BB141" s="79"/>
      <c r="BD141" s="28"/>
      <c r="BE141" s="28"/>
      <c r="BF141" s="28"/>
      <c r="BG141" s="28"/>
      <c r="BH141" s="28"/>
    </row>
    <row r="142" spans="1:84" x14ac:dyDescent="0.2">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105" t="s">
        <v>133</v>
      </c>
      <c r="AF142" s="67"/>
      <c r="AG142" s="67"/>
      <c r="AH142" s="80"/>
      <c r="AI142" s="80"/>
      <c r="AJ142" s="80"/>
      <c r="AK142" s="80"/>
      <c r="AL142" s="80"/>
      <c r="AM142" s="80"/>
      <c r="AN142" s="80"/>
      <c r="AO142" s="80"/>
      <c r="AP142" s="80"/>
      <c r="AQ142" s="80"/>
      <c r="AR142" s="105"/>
      <c r="AS142" s="105"/>
      <c r="AT142" s="105"/>
      <c r="AU142" s="174">
        <f>AE10</f>
        <v>0</v>
      </c>
      <c r="AV142" s="174"/>
      <c r="AW142" s="174"/>
      <c r="AX142" s="174"/>
      <c r="AY142" s="174"/>
      <c r="AZ142" s="174"/>
      <c r="BA142" s="105" t="s">
        <v>6</v>
      </c>
      <c r="BB142" s="68"/>
      <c r="BC142" s="53"/>
      <c r="BD142" s="28"/>
      <c r="BE142" s="28"/>
      <c r="BF142" s="28"/>
      <c r="BG142" s="28"/>
      <c r="BH142" s="28"/>
    </row>
    <row r="143" spans="1:84" ht="3.75" customHeight="1" x14ac:dyDescent="0.2">
      <c r="A143" s="66"/>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105"/>
      <c r="AS143" s="105"/>
      <c r="AT143" s="105"/>
      <c r="AU143" s="105"/>
      <c r="AV143" s="105"/>
      <c r="AW143" s="105"/>
      <c r="AX143" s="105"/>
      <c r="AY143" s="105"/>
      <c r="AZ143" s="105"/>
      <c r="BA143" s="105"/>
      <c r="BB143" s="68"/>
    </row>
    <row r="144" spans="1:84" x14ac:dyDescent="0.2">
      <c r="A144" s="66"/>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t="s">
        <v>39</v>
      </c>
      <c r="AF144" s="67"/>
      <c r="AG144" s="67"/>
      <c r="AH144" s="67"/>
      <c r="AI144" s="67"/>
      <c r="AJ144" s="67"/>
      <c r="AK144" s="67"/>
      <c r="AL144" s="67"/>
      <c r="AM144" s="67"/>
      <c r="AN144" s="67"/>
      <c r="AO144" s="67"/>
      <c r="AP144" s="67"/>
      <c r="AQ144" s="67"/>
      <c r="AR144" s="105"/>
      <c r="AS144" s="105"/>
      <c r="AT144" s="105"/>
      <c r="AU144" s="174">
        <f>IFERROR(SUM(AU106,AU139),"")</f>
        <v>0</v>
      </c>
      <c r="AV144" s="174"/>
      <c r="AW144" s="174"/>
      <c r="AX144" s="174"/>
      <c r="AY144" s="174"/>
      <c r="AZ144" s="174"/>
      <c r="BA144" s="106" t="s">
        <v>6</v>
      </c>
      <c r="BB144" s="68"/>
    </row>
    <row r="145" spans="1:54" ht="3.75" customHeight="1" x14ac:dyDescent="0.2">
      <c r="A145" s="66"/>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105"/>
      <c r="AS145" s="105"/>
      <c r="AT145" s="105"/>
      <c r="AU145" s="105"/>
      <c r="AV145" s="105"/>
      <c r="AW145" s="105"/>
      <c r="AX145" s="105"/>
      <c r="AY145" s="105"/>
      <c r="AZ145" s="105"/>
      <c r="BA145" s="105"/>
      <c r="BB145" s="68"/>
    </row>
    <row r="146" spans="1:54" ht="24" customHeight="1" x14ac:dyDescent="0.2">
      <c r="A146" s="66"/>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106" t="s">
        <v>151</v>
      </c>
      <c r="AF146" s="67"/>
      <c r="AG146" s="67"/>
      <c r="AH146" s="67"/>
      <c r="AI146" s="67"/>
      <c r="AJ146" s="67"/>
      <c r="AK146" s="67"/>
      <c r="AL146" s="67"/>
      <c r="AM146" s="67"/>
      <c r="AN146" s="67"/>
      <c r="AO146" s="67"/>
      <c r="AP146" s="67"/>
      <c r="AQ146" s="67"/>
      <c r="AR146" s="105"/>
      <c r="AS146" s="105"/>
      <c r="AT146" s="152" t="str">
        <f>IF(AND(AE10&lt;=SUM(AU106,AU139),AE10&lt;=10000,AE10&gt;0),"Yes",IF(AND(AE8="Yes", (AE10-AU144)&lt;=2000,AU139=0,AE10&gt;0),"Yes (if criteria in footnote #2 are met)","No"))</f>
        <v>No</v>
      </c>
      <c r="AU146" s="152"/>
      <c r="AV146" s="152"/>
      <c r="AW146" s="152"/>
      <c r="AX146" s="152"/>
      <c r="AY146" s="152"/>
      <c r="AZ146" s="152"/>
      <c r="BA146" s="152"/>
      <c r="BB146" s="68"/>
    </row>
    <row r="147" spans="1:54" ht="3" customHeight="1" x14ac:dyDescent="0.2">
      <c r="A147" s="69"/>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c r="AO147" s="70"/>
      <c r="AP147" s="70"/>
      <c r="AQ147" s="70"/>
      <c r="AR147" s="70"/>
      <c r="AS147" s="70"/>
      <c r="AT147" s="70"/>
      <c r="AU147" s="70"/>
      <c r="AV147" s="70"/>
      <c r="AW147" s="70"/>
      <c r="AX147" s="70"/>
      <c r="AY147" s="70"/>
      <c r="AZ147" s="70"/>
      <c r="BA147" s="70"/>
      <c r="BB147" s="71"/>
    </row>
    <row r="148" spans="1:54" x14ac:dyDescent="0.2">
      <c r="A148" s="3" t="s">
        <v>40</v>
      </c>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5"/>
    </row>
    <row r="149" spans="1:54" x14ac:dyDescent="0.2">
      <c r="A149" s="6"/>
      <c r="B149" s="91" t="s">
        <v>129</v>
      </c>
      <c r="C149" s="91"/>
      <c r="D149" s="91"/>
      <c r="E149" s="91"/>
      <c r="F149" s="91"/>
      <c r="G149" s="91"/>
      <c r="H149" s="91"/>
      <c r="I149" s="91"/>
      <c r="J149" s="91"/>
      <c r="K149" s="91"/>
      <c r="L149" s="91"/>
      <c r="M149" s="91"/>
      <c r="N149" s="91"/>
      <c r="O149" s="91"/>
      <c r="P149" s="91"/>
      <c r="Q149" s="91"/>
      <c r="R149" s="91"/>
      <c r="S149" s="91"/>
      <c r="T149" s="91"/>
      <c r="U149" s="91"/>
      <c r="V149" s="91"/>
      <c r="W149" s="91"/>
      <c r="X149" s="91"/>
      <c r="Y149" s="91"/>
      <c r="Z149" s="91"/>
      <c r="AA149" s="91"/>
      <c r="AB149" s="91"/>
      <c r="AC149" s="91"/>
      <c r="AD149" s="91"/>
      <c r="AE149" s="91"/>
      <c r="AF149" s="91"/>
      <c r="AG149" s="91"/>
      <c r="AH149" s="91"/>
      <c r="AI149" s="91"/>
      <c r="AJ149" s="91"/>
      <c r="AK149" s="91"/>
      <c r="AL149" s="91"/>
      <c r="AM149" s="91"/>
      <c r="AN149" s="91"/>
      <c r="AO149" s="91"/>
      <c r="AP149" s="91"/>
      <c r="AQ149" s="91"/>
      <c r="AR149" s="91"/>
      <c r="AS149" s="91"/>
      <c r="AT149" s="91"/>
      <c r="AU149" s="91"/>
      <c r="AV149" s="91"/>
      <c r="AW149" s="91"/>
      <c r="AX149" s="91"/>
      <c r="AY149" s="91"/>
      <c r="AZ149" s="91"/>
      <c r="BA149" s="91"/>
      <c r="BB149" s="8"/>
    </row>
    <row r="150" spans="1:54" x14ac:dyDescent="0.2">
      <c r="A150" s="6"/>
      <c r="B150" s="172" t="s">
        <v>154</v>
      </c>
      <c r="C150" s="172"/>
      <c r="D150" s="172"/>
      <c r="E150" s="172"/>
      <c r="F150" s="172"/>
      <c r="G150" s="172"/>
      <c r="H150" s="172"/>
      <c r="I150" s="172"/>
      <c r="J150" s="172"/>
      <c r="K150" s="172"/>
      <c r="L150" s="172"/>
      <c r="M150" s="172"/>
      <c r="N150" s="172"/>
      <c r="O150" s="172"/>
      <c r="P150" s="172"/>
      <c r="Q150" s="172"/>
      <c r="R150" s="172"/>
      <c r="S150" s="172"/>
      <c r="T150" s="172"/>
      <c r="U150" s="172"/>
      <c r="V150" s="172"/>
      <c r="W150" s="172"/>
      <c r="X150" s="172"/>
      <c r="Y150" s="172"/>
      <c r="Z150" s="172"/>
      <c r="AA150" s="172"/>
      <c r="AB150" s="172"/>
      <c r="AC150" s="172"/>
      <c r="AD150" s="172"/>
      <c r="AE150" s="172"/>
      <c r="AF150" s="172"/>
      <c r="AG150" s="172"/>
      <c r="AH150" s="172"/>
      <c r="AI150" s="172"/>
      <c r="AJ150" s="172"/>
      <c r="AK150" s="172"/>
      <c r="AL150" s="172"/>
      <c r="AM150" s="172"/>
      <c r="AN150" s="172"/>
      <c r="AO150" s="172"/>
      <c r="AP150" s="172"/>
      <c r="AQ150" s="172"/>
      <c r="AR150" s="172"/>
      <c r="AS150" s="172"/>
      <c r="AT150" s="172"/>
      <c r="AU150" s="172"/>
      <c r="AV150" s="172"/>
      <c r="AW150" s="172"/>
      <c r="AX150" s="172"/>
      <c r="AY150" s="172"/>
      <c r="AZ150" s="172"/>
      <c r="BA150" s="172"/>
      <c r="BB150" s="8"/>
    </row>
    <row r="151" spans="1:54" x14ac:dyDescent="0.2">
      <c r="A151" s="6"/>
      <c r="B151" s="172"/>
      <c r="C151" s="172"/>
      <c r="D151" s="172"/>
      <c r="E151" s="172"/>
      <c r="F151" s="172"/>
      <c r="G151" s="172"/>
      <c r="H151" s="172"/>
      <c r="I151" s="172"/>
      <c r="J151" s="172"/>
      <c r="K151" s="172"/>
      <c r="L151" s="172"/>
      <c r="M151" s="172"/>
      <c r="N151" s="172"/>
      <c r="O151" s="172"/>
      <c r="P151" s="172"/>
      <c r="Q151" s="172"/>
      <c r="R151" s="172"/>
      <c r="S151" s="172"/>
      <c r="T151" s="172"/>
      <c r="U151" s="172"/>
      <c r="V151" s="172"/>
      <c r="W151" s="172"/>
      <c r="X151" s="172"/>
      <c r="Y151" s="172"/>
      <c r="Z151" s="172"/>
      <c r="AA151" s="172"/>
      <c r="AB151" s="172"/>
      <c r="AC151" s="172"/>
      <c r="AD151" s="172"/>
      <c r="AE151" s="172"/>
      <c r="AF151" s="172"/>
      <c r="AG151" s="172"/>
      <c r="AH151" s="172"/>
      <c r="AI151" s="172"/>
      <c r="AJ151" s="172"/>
      <c r="AK151" s="172"/>
      <c r="AL151" s="172"/>
      <c r="AM151" s="172"/>
      <c r="AN151" s="172"/>
      <c r="AO151" s="172"/>
      <c r="AP151" s="172"/>
      <c r="AQ151" s="172"/>
      <c r="AR151" s="172"/>
      <c r="AS151" s="172"/>
      <c r="AT151" s="172"/>
      <c r="AU151" s="172"/>
      <c r="AV151" s="172"/>
      <c r="AW151" s="172"/>
      <c r="AX151" s="172"/>
      <c r="AY151" s="172"/>
      <c r="AZ151" s="172"/>
      <c r="BA151" s="172"/>
      <c r="BB151" s="8"/>
    </row>
    <row r="152" spans="1:54" x14ac:dyDescent="0.2">
      <c r="A152" s="6"/>
      <c r="B152" s="172"/>
      <c r="C152" s="172"/>
      <c r="D152" s="172"/>
      <c r="E152" s="172"/>
      <c r="F152" s="172"/>
      <c r="G152" s="172"/>
      <c r="H152" s="172"/>
      <c r="I152" s="172"/>
      <c r="J152" s="172"/>
      <c r="K152" s="172"/>
      <c r="L152" s="172"/>
      <c r="M152" s="172"/>
      <c r="N152" s="172"/>
      <c r="O152" s="172"/>
      <c r="P152" s="172"/>
      <c r="Q152" s="172"/>
      <c r="R152" s="172"/>
      <c r="S152" s="172"/>
      <c r="T152" s="172"/>
      <c r="U152" s="172"/>
      <c r="V152" s="172"/>
      <c r="W152" s="172"/>
      <c r="X152" s="172"/>
      <c r="Y152" s="172"/>
      <c r="Z152" s="172"/>
      <c r="AA152" s="172"/>
      <c r="AB152" s="172"/>
      <c r="AC152" s="172"/>
      <c r="AD152" s="172"/>
      <c r="AE152" s="172"/>
      <c r="AF152" s="172"/>
      <c r="AG152" s="172"/>
      <c r="AH152" s="172"/>
      <c r="AI152" s="172"/>
      <c r="AJ152" s="172"/>
      <c r="AK152" s="172"/>
      <c r="AL152" s="172"/>
      <c r="AM152" s="172"/>
      <c r="AN152" s="172"/>
      <c r="AO152" s="172"/>
      <c r="AP152" s="172"/>
      <c r="AQ152" s="172"/>
      <c r="AR152" s="172"/>
      <c r="AS152" s="172"/>
      <c r="AT152" s="172"/>
      <c r="AU152" s="172"/>
      <c r="AV152" s="172"/>
      <c r="AW152" s="172"/>
      <c r="AX152" s="172"/>
      <c r="AY152" s="172"/>
      <c r="AZ152" s="172"/>
      <c r="BA152" s="172"/>
      <c r="BB152" s="8"/>
    </row>
    <row r="153" spans="1:54" ht="3.75" customHeight="1" x14ac:dyDescent="0.2">
      <c r="A153" s="6"/>
      <c r="B153" s="78"/>
      <c r="C153" s="7"/>
      <c r="D153" s="7"/>
      <c r="E153" s="7"/>
      <c r="F153" s="7"/>
      <c r="G153" s="7"/>
      <c r="H153" s="7"/>
      <c r="I153" s="7"/>
      <c r="J153" s="7"/>
      <c r="K153" s="7"/>
      <c r="L153" s="7"/>
      <c r="M153" s="7"/>
      <c r="N153" s="7"/>
      <c r="O153" s="7"/>
      <c r="P153" s="7"/>
      <c r="Q153" s="7"/>
      <c r="R153" s="7"/>
      <c r="S153" s="78"/>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7"/>
      <c r="AX153" s="7"/>
      <c r="AY153" s="7"/>
      <c r="AZ153" s="7"/>
      <c r="BA153" s="7"/>
      <c r="BB153" s="8"/>
    </row>
    <row r="154" spans="1:54" x14ac:dyDescent="0.2">
      <c r="A154" s="6"/>
      <c r="B154" s="91" t="s">
        <v>130</v>
      </c>
      <c r="C154" s="91"/>
      <c r="D154" s="91"/>
      <c r="E154" s="91"/>
      <c r="F154" s="91"/>
      <c r="G154" s="91"/>
      <c r="H154" s="91"/>
      <c r="I154" s="91"/>
      <c r="J154" s="91"/>
      <c r="K154" s="91"/>
      <c r="L154" s="91"/>
      <c r="M154" s="91"/>
      <c r="N154" s="91"/>
      <c r="O154" s="91"/>
      <c r="P154" s="91"/>
      <c r="Q154" s="91"/>
      <c r="R154" s="91"/>
      <c r="S154" s="91" t="s">
        <v>131</v>
      </c>
      <c r="T154" s="91"/>
      <c r="U154" s="91"/>
      <c r="V154" s="91"/>
      <c r="W154" s="91"/>
      <c r="X154" s="91"/>
      <c r="Y154" s="91"/>
      <c r="Z154" s="91"/>
      <c r="AA154" s="91"/>
      <c r="AB154" s="91"/>
      <c r="AC154" s="91"/>
      <c r="AD154" s="91"/>
      <c r="AE154" s="91"/>
      <c r="AF154" s="91"/>
      <c r="AG154" s="91"/>
      <c r="AH154" s="91"/>
      <c r="AI154" s="91"/>
      <c r="AJ154" s="91"/>
      <c r="AK154" s="91"/>
      <c r="AL154" s="91"/>
      <c r="AM154" s="91"/>
      <c r="AN154" s="91"/>
      <c r="AO154" s="91"/>
      <c r="AP154" s="91"/>
      <c r="AQ154" s="91"/>
      <c r="AR154" s="91"/>
      <c r="AS154" s="91"/>
      <c r="AT154" s="91"/>
      <c r="AU154" s="91"/>
      <c r="AV154" s="91"/>
      <c r="AW154" s="91"/>
      <c r="AX154" s="91"/>
      <c r="AY154" s="91"/>
      <c r="AZ154" s="91"/>
      <c r="BA154" s="91"/>
      <c r="BB154" s="8"/>
    </row>
    <row r="155" spans="1:54" x14ac:dyDescent="0.2">
      <c r="A155" s="6"/>
      <c r="B155" s="7" t="s">
        <v>41</v>
      </c>
      <c r="C155" s="7"/>
      <c r="D155" s="7"/>
      <c r="E155" s="7"/>
      <c r="F155" s="7"/>
      <c r="G155" s="7"/>
      <c r="H155" s="7"/>
      <c r="I155" s="7"/>
      <c r="J155" s="7"/>
      <c r="K155" s="7"/>
      <c r="L155" s="7"/>
      <c r="M155" s="7"/>
      <c r="N155" s="7" t="s">
        <v>42</v>
      </c>
      <c r="O155" s="7"/>
      <c r="P155" s="7"/>
      <c r="Q155" s="7"/>
      <c r="R155" s="7"/>
      <c r="S155" s="7"/>
      <c r="T155" s="7"/>
      <c r="U155" s="7"/>
      <c r="V155" s="7"/>
      <c r="W155" s="7"/>
      <c r="X155" s="7"/>
      <c r="Y155" s="7"/>
      <c r="Z155" s="7"/>
      <c r="AA155" s="7"/>
      <c r="AB155" s="7"/>
      <c r="AC155" s="7" t="s">
        <v>43</v>
      </c>
      <c r="AD155" s="7"/>
      <c r="AE155" s="7"/>
      <c r="AF155" s="7"/>
      <c r="AG155" s="7"/>
      <c r="AH155" s="7"/>
      <c r="AI155" s="7"/>
      <c r="AJ155" s="7"/>
      <c r="AK155" s="7"/>
      <c r="AL155" s="7"/>
      <c r="AM155" s="7"/>
      <c r="AN155" s="7"/>
      <c r="AO155" s="7"/>
      <c r="AP155" s="7" t="s">
        <v>44</v>
      </c>
      <c r="AQ155" s="7"/>
      <c r="AR155" s="7"/>
      <c r="AS155" s="7"/>
      <c r="AT155" s="7"/>
      <c r="AU155" s="7"/>
      <c r="AV155" s="7"/>
      <c r="AW155" s="7"/>
      <c r="AX155" s="7"/>
      <c r="AY155" s="7"/>
      <c r="AZ155" s="7"/>
      <c r="BA155" s="7"/>
      <c r="BB155" s="8"/>
    </row>
    <row r="156" spans="1:54" x14ac:dyDescent="0.2">
      <c r="A156" s="6"/>
      <c r="B156" s="7" t="s">
        <v>54</v>
      </c>
      <c r="C156" s="7"/>
      <c r="D156" s="7"/>
      <c r="E156" s="7"/>
      <c r="F156" s="7"/>
      <c r="G156" s="7"/>
      <c r="H156" s="7"/>
      <c r="I156" s="7"/>
      <c r="J156" s="7"/>
      <c r="K156" s="7"/>
      <c r="L156" s="7"/>
      <c r="M156" s="7"/>
      <c r="N156" s="7" t="s">
        <v>69</v>
      </c>
      <c r="O156" s="7"/>
      <c r="P156" s="7"/>
      <c r="Q156" s="7"/>
      <c r="R156" s="7"/>
      <c r="S156" s="7"/>
      <c r="T156" s="7"/>
      <c r="U156" s="7"/>
      <c r="V156" s="7"/>
      <c r="W156" s="7"/>
      <c r="X156" s="7"/>
      <c r="Y156" s="7"/>
      <c r="Z156" s="7"/>
      <c r="AA156" s="7"/>
      <c r="AB156" s="7"/>
      <c r="AC156" s="7" t="s">
        <v>109</v>
      </c>
      <c r="AD156" s="7"/>
      <c r="AE156" s="7"/>
      <c r="AF156" s="7"/>
      <c r="AG156" s="7"/>
      <c r="AH156" s="7"/>
      <c r="AI156" s="7"/>
      <c r="AJ156" s="7"/>
      <c r="AK156" s="7"/>
      <c r="AL156" s="7"/>
      <c r="AM156" s="7"/>
      <c r="AN156" s="7"/>
      <c r="AO156" s="7"/>
      <c r="AP156" s="2"/>
      <c r="AQ156" s="7"/>
      <c r="AR156" s="7"/>
      <c r="AS156" s="7"/>
      <c r="AT156" s="7"/>
      <c r="AU156" s="7"/>
      <c r="AV156" s="7"/>
      <c r="AW156" s="7"/>
      <c r="AX156" s="7"/>
      <c r="AY156" s="7"/>
      <c r="AZ156" s="7"/>
      <c r="BA156" s="7"/>
      <c r="BB156" s="8"/>
    </row>
    <row r="157" spans="1:54" ht="3.75" customHeight="1" x14ac:dyDescent="0.2">
      <c r="A157" s="10"/>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2"/>
    </row>
  </sheetData>
  <sheetProtection algorithmName="SHA-512" hashValue="g+ZZHSI5x1LgtriGJx1c0RBt/KXvRC40P4RdnWFN2iHD9pD9a8/4rlthE4tpgoL1WuXJ56jotQOi5n8J/oE2KQ==" saltValue="JfyHveRpq7TjUoQwB336qQ==" spinCount="100000" sheet="1" selectLockedCells="1"/>
  <dataConsolidate/>
  <mergeCells count="121">
    <mergeCell ref="B4:BA5"/>
    <mergeCell ref="AU142:AZ142"/>
    <mergeCell ref="Z128:AC128"/>
    <mergeCell ref="K122:N122"/>
    <mergeCell ref="Z122:AC122"/>
    <mergeCell ref="K134:N134"/>
    <mergeCell ref="Z134:AC134"/>
    <mergeCell ref="K44:N44"/>
    <mergeCell ref="K46:N46"/>
    <mergeCell ref="K50:N50"/>
    <mergeCell ref="K48:N48"/>
    <mergeCell ref="K56:N56"/>
    <mergeCell ref="K54:N54"/>
    <mergeCell ref="K58:N58"/>
    <mergeCell ref="Z89:AC89"/>
    <mergeCell ref="K70:N70"/>
    <mergeCell ref="K62:N62"/>
    <mergeCell ref="K66:N66"/>
    <mergeCell ref="K64:N64"/>
    <mergeCell ref="AH112:AR114"/>
    <mergeCell ref="AV122:AZ122"/>
    <mergeCell ref="AV114:AZ114"/>
    <mergeCell ref="AH126:AR128"/>
    <mergeCell ref="AV124:AZ124"/>
    <mergeCell ref="AV130:AZ130"/>
    <mergeCell ref="AV62:AZ62"/>
    <mergeCell ref="K74:N74"/>
    <mergeCell ref="K72:N72"/>
    <mergeCell ref="Z95:AC95"/>
    <mergeCell ref="Z70:AC70"/>
    <mergeCell ref="K128:N128"/>
    <mergeCell ref="K124:N124"/>
    <mergeCell ref="Q116:BA118"/>
    <mergeCell ref="Q124:AG126"/>
    <mergeCell ref="Q130:AG132"/>
    <mergeCell ref="K114:N114"/>
    <mergeCell ref="Z114:AC114"/>
    <mergeCell ref="Q72:AD74"/>
    <mergeCell ref="K130:N130"/>
    <mergeCell ref="B150:BA152"/>
    <mergeCell ref="AH95:AR95"/>
    <mergeCell ref="AH89:AR89"/>
    <mergeCell ref="AV89:AZ89"/>
    <mergeCell ref="AV91:AZ91"/>
    <mergeCell ref="AV95:AZ95"/>
    <mergeCell ref="AV74:AZ74"/>
    <mergeCell ref="AH74:AR74"/>
    <mergeCell ref="AU144:AZ144"/>
    <mergeCell ref="Z91:AC91"/>
    <mergeCell ref="AH91:AR91"/>
    <mergeCell ref="AV78:AZ78"/>
    <mergeCell ref="K136:N136"/>
    <mergeCell ref="A1:BB1"/>
    <mergeCell ref="Z18:AC18"/>
    <mergeCell ref="N18:Q18"/>
    <mergeCell ref="N20:Q20"/>
    <mergeCell ref="L18:M18"/>
    <mergeCell ref="L20:M20"/>
    <mergeCell ref="AV54:AZ54"/>
    <mergeCell ref="Z54:AC54"/>
    <mergeCell ref="AH52:AR54"/>
    <mergeCell ref="AV28:AZ28"/>
    <mergeCell ref="Z32:AC32"/>
    <mergeCell ref="AH32:AR32"/>
    <mergeCell ref="AV32:AZ32"/>
    <mergeCell ref="A2:G2"/>
    <mergeCell ref="H2:AU2"/>
    <mergeCell ref="C27:BA27"/>
    <mergeCell ref="AE6:BA6"/>
    <mergeCell ref="AE8:AL8"/>
    <mergeCell ref="AE10:AL10"/>
    <mergeCell ref="C33:BA33"/>
    <mergeCell ref="AH18:AT18"/>
    <mergeCell ref="AH20:AT20"/>
    <mergeCell ref="AH26:AT26"/>
    <mergeCell ref="AH24:AT24"/>
    <mergeCell ref="AT146:BA146"/>
    <mergeCell ref="Q136:AG136"/>
    <mergeCell ref="AH14:AR14"/>
    <mergeCell ref="AV14:BA14"/>
    <mergeCell ref="Z56:AC56"/>
    <mergeCell ref="AH56:AZ58"/>
    <mergeCell ref="AH108:AR108"/>
    <mergeCell ref="AV108:BA108"/>
    <mergeCell ref="AH97:AR97"/>
    <mergeCell ref="AV97:BA97"/>
    <mergeCell ref="AH80:AR80"/>
    <mergeCell ref="AV80:BA80"/>
    <mergeCell ref="R86:U86"/>
    <mergeCell ref="AV70:AZ70"/>
    <mergeCell ref="AV136:AZ136"/>
    <mergeCell ref="D86:Q87"/>
    <mergeCell ref="D103:AS103"/>
    <mergeCell ref="Z20:AC20"/>
    <mergeCell ref="AU106:AZ106"/>
    <mergeCell ref="AV134:AZ134"/>
    <mergeCell ref="K116:N116"/>
    <mergeCell ref="AH120:AR122"/>
    <mergeCell ref="AH132:AR134"/>
    <mergeCell ref="AV128:AZ128"/>
    <mergeCell ref="AU139:AZ139"/>
    <mergeCell ref="Z36:AC36"/>
    <mergeCell ref="AV36:AZ36"/>
    <mergeCell ref="Z24:AC24"/>
    <mergeCell ref="AH36:AR36"/>
    <mergeCell ref="AE12:AL12"/>
    <mergeCell ref="AH41:AR44"/>
    <mergeCell ref="AN7:BA13"/>
    <mergeCell ref="T14:AD14"/>
    <mergeCell ref="AH38:AR38"/>
    <mergeCell ref="Z58:AC58"/>
    <mergeCell ref="AH60:AR62"/>
    <mergeCell ref="AH28:AR28"/>
    <mergeCell ref="Q46:AZ46"/>
    <mergeCell ref="Q64:BA64"/>
    <mergeCell ref="AH68:AR70"/>
    <mergeCell ref="AV38:BA38"/>
    <mergeCell ref="AV44:AZ44"/>
    <mergeCell ref="Z26:AC26"/>
    <mergeCell ref="Z44:AC44"/>
    <mergeCell ref="Z62:AC62"/>
  </mergeCells>
  <conditionalFormatting sqref="AE10">
    <cfRule type="cellIs" dxfId="0" priority="2" operator="greaterThan">
      <formula>10000</formula>
    </cfRule>
  </conditionalFormatting>
  <dataValidations count="11">
    <dataValidation type="list" allowBlank="1" showInputMessage="1" showErrorMessage="1" sqref="AE8" xr:uid="{00000000-0002-0000-0000-000000000000}">
      <formula1>YesNo</formula1>
    </dataValidation>
    <dataValidation type="list" allowBlank="1" showInputMessage="1" showErrorMessage="1" sqref="AE6" xr:uid="{00000000-0002-0000-0000-000002000000}">
      <formula1>FCStandard</formula1>
    </dataValidation>
    <dataValidation type="list" allowBlank="1" showInputMessage="1" showErrorMessage="1" sqref="K50:N50" xr:uid="{00000000-0002-0000-0000-000003000000}">
      <formula1>Sideslopes</formula1>
    </dataValidation>
    <dataValidation type="list" allowBlank="1" showInputMessage="1" showErrorMessage="1" sqref="K46:N46" xr:uid="{00000000-0002-0000-0000-000004000000}">
      <formula1>IF($K$50="Vertical",PondingVert,Ponding)</formula1>
    </dataValidation>
    <dataValidation type="list" allowBlank="1" showInputMessage="1" showErrorMessage="1" sqref="K48:N48 K74:N74 K116:N116" xr:uid="{00000000-0002-0000-0000-000005000000}">
      <formula1>InfRate</formula1>
    </dataValidation>
    <dataValidation type="list" allowBlank="1" showInputMessage="1" showErrorMessage="1" sqref="K58:N58 K66:N66" xr:uid="{00000000-0002-0000-0000-000006000000}">
      <formula1>InfRateLarge</formula1>
    </dataValidation>
    <dataValidation type="list" allowBlank="1" showInputMessage="1" showErrorMessage="1" sqref="K56:N56" xr:uid="{00000000-0002-0000-0000-000007000000}">
      <formula1>InfTrenchDepth</formula1>
    </dataValidation>
    <dataValidation type="list" allowBlank="1" showInputMessage="1" showErrorMessage="1" sqref="K64:N64" xr:uid="{00000000-0002-0000-0000-000008000000}">
      <formula1>DrywellDepth</formula1>
    </dataValidation>
    <dataValidation type="list" allowBlank="1" showInputMessage="1" showErrorMessage="1" sqref="K72:N72" xr:uid="{00000000-0002-0000-0000-000009000000}">
      <formula1>PondingVert</formula1>
    </dataValidation>
    <dataValidation type="list" allowBlank="1" showInputMessage="1" showErrorMessage="1" sqref="K124:N124" xr:uid="{00000000-0002-0000-0000-00000B000000}">
      <formula1>PipeDiameter</formula1>
    </dataValidation>
    <dataValidation type="list" allowBlank="1" showInputMessage="1" showErrorMessage="1" sqref="K130:N130 K136:N136" xr:uid="{00000000-0002-0000-0000-00000C000000}">
      <formula1>VaultDepth</formula1>
    </dataValidation>
  </dataValidations>
  <pageMargins left="0.7" right="0.7" top="0.75" bottom="0.75" header="0.3" footer="0.3"/>
  <pageSetup paperSize="17"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945C017-168A-4243-9F94-319BECDDF294}">
          <x14:formula1>
            <xm:f>Lists!$K$2:$K$3</xm:f>
          </x14:formula1>
          <xm:sqref>R86:U86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6"/>
  <sheetViews>
    <sheetView workbookViewId="0">
      <selection activeCell="K4" sqref="K4"/>
    </sheetView>
  </sheetViews>
  <sheetFormatPr defaultRowHeight="15" x14ac:dyDescent="0.25"/>
  <cols>
    <col min="3" max="3" width="52.140625" bestFit="1" customWidth="1"/>
  </cols>
  <sheetData>
    <row r="1" spans="1:11" x14ac:dyDescent="0.25">
      <c r="A1" t="s">
        <v>3</v>
      </c>
      <c r="B1" t="s">
        <v>0</v>
      </c>
      <c r="C1" t="s">
        <v>9</v>
      </c>
      <c r="D1" t="s">
        <v>60</v>
      </c>
      <c r="E1" t="s">
        <v>22</v>
      </c>
      <c r="F1" t="s">
        <v>83</v>
      </c>
      <c r="G1" t="s">
        <v>89</v>
      </c>
      <c r="H1" t="s">
        <v>94</v>
      </c>
      <c r="I1" t="s">
        <v>103</v>
      </c>
      <c r="J1" t="s">
        <v>105</v>
      </c>
      <c r="K1" t="s">
        <v>141</v>
      </c>
    </row>
    <row r="2" spans="1:11" x14ac:dyDescent="0.25">
      <c r="A2" t="s">
        <v>5</v>
      </c>
      <c r="B2" t="s">
        <v>7</v>
      </c>
      <c r="C2" t="s">
        <v>8</v>
      </c>
      <c r="D2" t="s">
        <v>61</v>
      </c>
      <c r="E2">
        <v>2</v>
      </c>
      <c r="F2">
        <v>0.15</v>
      </c>
      <c r="G2">
        <v>1.5</v>
      </c>
      <c r="H2">
        <v>4</v>
      </c>
      <c r="I2">
        <v>24</v>
      </c>
      <c r="J2">
        <v>3</v>
      </c>
      <c r="K2" s="34" t="s">
        <v>5</v>
      </c>
    </row>
    <row r="3" spans="1:11" x14ac:dyDescent="0.25">
      <c r="A3" t="s">
        <v>4</v>
      </c>
      <c r="C3" t="s">
        <v>77</v>
      </c>
      <c r="D3" t="s">
        <v>62</v>
      </c>
      <c r="E3">
        <v>6</v>
      </c>
      <c r="F3">
        <v>0.3</v>
      </c>
      <c r="G3">
        <v>3</v>
      </c>
      <c r="H3">
        <v>6</v>
      </c>
      <c r="I3">
        <v>36</v>
      </c>
      <c r="J3">
        <v>4</v>
      </c>
      <c r="K3" s="34" t="s">
        <v>4</v>
      </c>
    </row>
    <row r="4" spans="1:11" x14ac:dyDescent="0.25">
      <c r="C4" t="s">
        <v>125</v>
      </c>
      <c r="E4">
        <v>12</v>
      </c>
      <c r="F4">
        <v>0.6</v>
      </c>
    </row>
    <row r="5" spans="1:11" x14ac:dyDescent="0.25">
      <c r="F5">
        <v>1</v>
      </c>
    </row>
    <row r="6" spans="1:11" x14ac:dyDescent="0.25">
      <c r="F6">
        <v>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32"/>
  <sheetViews>
    <sheetView zoomScale="80" zoomScaleNormal="80" workbookViewId="0"/>
  </sheetViews>
  <sheetFormatPr defaultColWidth="9.140625" defaultRowHeight="15" x14ac:dyDescent="0.25"/>
  <cols>
    <col min="1" max="1" width="35.140625" style="116" customWidth="1"/>
    <col min="2" max="2" width="23.42578125" style="116" customWidth="1"/>
    <col min="3" max="3" width="23.7109375" style="116" customWidth="1"/>
    <col min="4" max="4" width="19" style="116" customWidth="1"/>
    <col min="5" max="5" width="20.42578125" style="120" bestFit="1" customWidth="1"/>
    <col min="6" max="6" width="20.42578125" style="120" customWidth="1"/>
    <col min="7" max="7" width="32" style="116" bestFit="1" customWidth="1"/>
    <col min="8" max="9" width="13.5703125" style="131" customWidth="1"/>
    <col min="10" max="11" width="15.85546875" style="116" customWidth="1"/>
    <col min="12" max="12" width="89.140625" style="116" customWidth="1"/>
    <col min="13" max="13" width="16.5703125" style="116" customWidth="1"/>
    <col min="14" max="16384" width="9.140625" style="116"/>
  </cols>
  <sheetData>
    <row r="1" spans="1:13" x14ac:dyDescent="0.25">
      <c r="A1" s="118" t="s">
        <v>155</v>
      </c>
      <c r="B1" s="119"/>
      <c r="C1" s="119"/>
      <c r="D1" s="119"/>
      <c r="E1" s="121"/>
      <c r="F1" s="121"/>
      <c r="G1" s="119"/>
      <c r="H1" s="125"/>
      <c r="I1" s="125"/>
      <c r="J1" s="119"/>
      <c r="K1" s="119"/>
      <c r="L1" s="119"/>
    </row>
    <row r="2" spans="1:13" ht="45" x14ac:dyDescent="0.25">
      <c r="A2" s="39" t="s">
        <v>74</v>
      </c>
      <c r="B2" s="39" t="s">
        <v>60</v>
      </c>
      <c r="C2" s="39" t="s">
        <v>91</v>
      </c>
      <c r="D2" s="39" t="s">
        <v>75</v>
      </c>
      <c r="E2" s="49" t="s">
        <v>117</v>
      </c>
      <c r="F2" s="49" t="s">
        <v>118</v>
      </c>
      <c r="G2" s="39" t="s">
        <v>85</v>
      </c>
      <c r="H2" s="39" t="s">
        <v>79</v>
      </c>
      <c r="I2" s="39" t="s">
        <v>80</v>
      </c>
      <c r="J2" s="39" t="s">
        <v>82</v>
      </c>
      <c r="K2" s="39"/>
      <c r="L2" s="39" t="s">
        <v>86</v>
      </c>
    </row>
    <row r="3" spans="1:13" x14ac:dyDescent="0.25">
      <c r="A3" s="33" t="s">
        <v>121</v>
      </c>
      <c r="B3" s="33" t="s">
        <v>62</v>
      </c>
      <c r="C3" s="31">
        <v>2</v>
      </c>
      <c r="D3" s="31">
        <v>0.15</v>
      </c>
      <c r="E3" s="30">
        <v>0</v>
      </c>
      <c r="F3" s="30">
        <v>2000</v>
      </c>
      <c r="G3" s="30" t="s">
        <v>8</v>
      </c>
      <c r="H3" s="126">
        <v>0.22900000000000001</v>
      </c>
      <c r="I3" s="127">
        <v>0</v>
      </c>
      <c r="L3" s="116" t="str">
        <f>A3&amp;B3&amp;C3&amp;D3&amp;E3&amp;F3&amp;G3</f>
        <v>Bioretention without Underdrain2.5H:1V20.1502000Pre-developed Pasture Standard</v>
      </c>
      <c r="M3" s="116" t="s">
        <v>88</v>
      </c>
    </row>
    <row r="4" spans="1:13" x14ac:dyDescent="0.25">
      <c r="A4" s="33" t="s">
        <v>121</v>
      </c>
      <c r="B4" s="33" t="s">
        <v>62</v>
      </c>
      <c r="C4" s="31">
        <v>2</v>
      </c>
      <c r="D4" s="31">
        <v>0.15</v>
      </c>
      <c r="E4" s="30">
        <v>2000</v>
      </c>
      <c r="F4" s="30">
        <v>10000</v>
      </c>
      <c r="G4" s="30" t="s">
        <v>8</v>
      </c>
      <c r="H4" s="126">
        <v>0.16</v>
      </c>
      <c r="I4" s="127">
        <v>139.6</v>
      </c>
      <c r="L4" s="116" t="str">
        <f t="shared" ref="L4:L92" si="0">A4&amp;B4&amp;C4&amp;D4&amp;E4&amp;F4&amp;G4</f>
        <v>Bioretention without Underdrain2.5H:1V20.15200010000Pre-developed Pasture Standard</v>
      </c>
      <c r="M4" s="116" t="s">
        <v>88</v>
      </c>
    </row>
    <row r="5" spans="1:13" x14ac:dyDescent="0.25">
      <c r="A5" s="33" t="s">
        <v>121</v>
      </c>
      <c r="B5" s="33" t="s">
        <v>62</v>
      </c>
      <c r="C5" s="31">
        <v>2</v>
      </c>
      <c r="D5" s="31">
        <v>0.3</v>
      </c>
      <c r="E5" s="30">
        <v>0</v>
      </c>
      <c r="F5" s="30">
        <v>2000</v>
      </c>
      <c r="G5" s="30" t="s">
        <v>8</v>
      </c>
      <c r="H5" s="126">
        <v>0.184</v>
      </c>
      <c r="I5" s="127">
        <v>0</v>
      </c>
      <c r="L5" s="116" t="str">
        <f t="shared" si="0"/>
        <v>Bioretention without Underdrain2.5H:1V20.302000Pre-developed Pasture Standard</v>
      </c>
      <c r="M5" s="116" t="s">
        <v>88</v>
      </c>
    </row>
    <row r="6" spans="1:13" x14ac:dyDescent="0.25">
      <c r="A6" s="33" t="s">
        <v>121</v>
      </c>
      <c r="B6" s="33" t="s">
        <v>62</v>
      </c>
      <c r="C6" s="31">
        <v>2</v>
      </c>
      <c r="D6" s="31">
        <v>0.3</v>
      </c>
      <c r="E6" s="30">
        <v>2000</v>
      </c>
      <c r="F6" s="30">
        <v>10000</v>
      </c>
      <c r="G6" s="30" t="s">
        <v>8</v>
      </c>
      <c r="H6" s="126">
        <v>0.13189999999999999</v>
      </c>
      <c r="I6" s="127">
        <v>106</v>
      </c>
      <c r="L6" s="116" t="str">
        <f t="shared" si="0"/>
        <v>Bioretention without Underdrain2.5H:1V20.3200010000Pre-developed Pasture Standard</v>
      </c>
      <c r="M6" s="116" t="s">
        <v>88</v>
      </c>
    </row>
    <row r="7" spans="1:13" x14ac:dyDescent="0.25">
      <c r="A7" s="33" t="s">
        <v>121</v>
      </c>
      <c r="B7" s="33" t="s">
        <v>62</v>
      </c>
      <c r="C7" s="31">
        <v>2</v>
      </c>
      <c r="D7" s="31">
        <v>0.6</v>
      </c>
      <c r="E7" s="30">
        <v>0</v>
      </c>
      <c r="F7" s="30">
        <v>2000</v>
      </c>
      <c r="G7" s="30" t="s">
        <v>8</v>
      </c>
      <c r="H7" s="126">
        <v>9.5000000000000001E-2</v>
      </c>
      <c r="I7" s="127">
        <v>0</v>
      </c>
      <c r="L7" s="116" t="str">
        <f t="shared" si="0"/>
        <v>Bioretention without Underdrain2.5H:1V20.602000Pre-developed Pasture Standard</v>
      </c>
      <c r="M7" s="116" t="s">
        <v>88</v>
      </c>
    </row>
    <row r="8" spans="1:13" x14ac:dyDescent="0.25">
      <c r="A8" s="33" t="s">
        <v>121</v>
      </c>
      <c r="B8" s="33" t="s">
        <v>62</v>
      </c>
      <c r="C8" s="31">
        <v>2</v>
      </c>
      <c r="D8" s="31">
        <v>0.6</v>
      </c>
      <c r="E8" s="30">
        <v>2000</v>
      </c>
      <c r="F8" s="30">
        <v>10000</v>
      </c>
      <c r="G8" s="30" t="s">
        <v>8</v>
      </c>
      <c r="H8" s="126">
        <v>7.5600000000000001E-2</v>
      </c>
      <c r="I8" s="127">
        <v>38.799999999999997</v>
      </c>
      <c r="L8" s="116" t="str">
        <f t="shared" si="0"/>
        <v>Bioretention without Underdrain2.5H:1V20.6200010000Pre-developed Pasture Standard</v>
      </c>
      <c r="M8" s="116" t="s">
        <v>88</v>
      </c>
    </row>
    <row r="9" spans="1:13" x14ac:dyDescent="0.25">
      <c r="A9" s="33" t="s">
        <v>121</v>
      </c>
      <c r="B9" s="33" t="s">
        <v>62</v>
      </c>
      <c r="C9" s="31">
        <v>2</v>
      </c>
      <c r="D9" s="31">
        <v>1</v>
      </c>
      <c r="E9" s="30">
        <v>0</v>
      </c>
      <c r="F9" s="30">
        <v>2000</v>
      </c>
      <c r="G9" s="30" t="s">
        <v>8</v>
      </c>
      <c r="H9" s="126">
        <v>8.3000000000000004E-2</v>
      </c>
      <c r="I9" s="127">
        <v>0</v>
      </c>
      <c r="L9" s="116" t="str">
        <f t="shared" si="0"/>
        <v>Bioretention without Underdrain2.5H:1V2102000Pre-developed Pasture Standard</v>
      </c>
      <c r="M9" s="116" t="s">
        <v>88</v>
      </c>
    </row>
    <row r="10" spans="1:13" x14ac:dyDescent="0.25">
      <c r="A10" s="33" t="s">
        <v>121</v>
      </c>
      <c r="B10" s="33" t="s">
        <v>62</v>
      </c>
      <c r="C10" s="31">
        <v>2</v>
      </c>
      <c r="D10" s="31">
        <v>1</v>
      </c>
      <c r="E10" s="30">
        <v>2000</v>
      </c>
      <c r="F10" s="30">
        <v>10000</v>
      </c>
      <c r="G10" s="30" t="s">
        <v>8</v>
      </c>
      <c r="H10" s="126">
        <v>6.5000000000000002E-2</v>
      </c>
      <c r="I10" s="127">
        <v>34.700000000000003</v>
      </c>
      <c r="L10" s="116" t="str">
        <f t="shared" si="0"/>
        <v>Bioretention without Underdrain2.5H:1V21200010000Pre-developed Pasture Standard</v>
      </c>
      <c r="M10" s="116" t="s">
        <v>88</v>
      </c>
    </row>
    <row r="11" spans="1:13" x14ac:dyDescent="0.25">
      <c r="A11" s="33" t="s">
        <v>121</v>
      </c>
      <c r="B11" s="33" t="s">
        <v>62</v>
      </c>
      <c r="C11" s="31">
        <v>2</v>
      </c>
      <c r="D11" s="32">
        <v>2.5</v>
      </c>
      <c r="E11" s="30">
        <v>0</v>
      </c>
      <c r="F11" s="30">
        <v>2000</v>
      </c>
      <c r="G11" s="30" t="s">
        <v>8</v>
      </c>
      <c r="H11" s="126">
        <v>3.5999999999999997E-2</v>
      </c>
      <c r="I11" s="127">
        <v>0</v>
      </c>
      <c r="L11" s="116" t="str">
        <f t="shared" si="0"/>
        <v>Bioretention without Underdrain2.5H:1V22.502000Pre-developed Pasture Standard</v>
      </c>
      <c r="M11" s="116" t="s">
        <v>88</v>
      </c>
    </row>
    <row r="12" spans="1:13" x14ac:dyDescent="0.25">
      <c r="A12" s="35" t="s">
        <v>121</v>
      </c>
      <c r="B12" s="35" t="s">
        <v>62</v>
      </c>
      <c r="C12" s="38">
        <v>2</v>
      </c>
      <c r="D12" s="36">
        <v>2.5</v>
      </c>
      <c r="E12" s="37">
        <v>2000</v>
      </c>
      <c r="F12" s="37">
        <v>10000</v>
      </c>
      <c r="G12" s="37" t="s">
        <v>8</v>
      </c>
      <c r="H12" s="128">
        <v>2.5100000000000001E-2</v>
      </c>
      <c r="I12" s="129">
        <v>19.7</v>
      </c>
      <c r="J12" s="119"/>
      <c r="K12" s="119"/>
      <c r="L12" s="119" t="str">
        <f t="shared" si="0"/>
        <v>Bioretention without Underdrain2.5H:1V22.5200010000Pre-developed Pasture Standard</v>
      </c>
      <c r="M12" s="116" t="s">
        <v>88</v>
      </c>
    </row>
    <row r="13" spans="1:13" x14ac:dyDescent="0.25">
      <c r="A13" s="33" t="s">
        <v>121</v>
      </c>
      <c r="B13" s="33" t="s">
        <v>62</v>
      </c>
      <c r="C13" s="31">
        <v>2</v>
      </c>
      <c r="D13" s="31">
        <v>0.15</v>
      </c>
      <c r="E13" s="30"/>
      <c r="F13" s="30"/>
      <c r="G13" s="30" t="s">
        <v>77</v>
      </c>
      <c r="H13" s="130" t="s">
        <v>76</v>
      </c>
      <c r="J13" s="116" t="s">
        <v>115</v>
      </c>
      <c r="L13" s="116" t="str">
        <f t="shared" si="0"/>
        <v>Bioretention without Underdrain2.5H:1V20.15Peak Control Standard</v>
      </c>
      <c r="M13" s="116" t="s">
        <v>88</v>
      </c>
    </row>
    <row r="14" spans="1:13" x14ac:dyDescent="0.25">
      <c r="A14" s="33" t="s">
        <v>121</v>
      </c>
      <c r="B14" s="33" t="s">
        <v>62</v>
      </c>
      <c r="C14" s="31">
        <v>2</v>
      </c>
      <c r="D14" s="31">
        <v>0.3</v>
      </c>
      <c r="E14" s="30"/>
      <c r="F14" s="30"/>
      <c r="G14" s="30" t="s">
        <v>77</v>
      </c>
      <c r="H14" s="130" t="s">
        <v>76</v>
      </c>
      <c r="J14" s="116" t="s">
        <v>115</v>
      </c>
      <c r="L14" s="116" t="str">
        <f t="shared" si="0"/>
        <v>Bioretention without Underdrain2.5H:1V20.3Peak Control Standard</v>
      </c>
      <c r="M14" s="116" t="s">
        <v>88</v>
      </c>
    </row>
    <row r="15" spans="1:13" x14ac:dyDescent="0.25">
      <c r="A15" s="33" t="s">
        <v>121</v>
      </c>
      <c r="B15" s="33" t="s">
        <v>62</v>
      </c>
      <c r="C15" s="31">
        <v>2</v>
      </c>
      <c r="D15" s="31">
        <v>0.6</v>
      </c>
      <c r="E15" s="30"/>
      <c r="F15" s="30"/>
      <c r="G15" s="30" t="s">
        <v>77</v>
      </c>
      <c r="H15" s="130" t="s">
        <v>76</v>
      </c>
      <c r="J15" s="116" t="s">
        <v>115</v>
      </c>
      <c r="L15" s="116" t="str">
        <f t="shared" si="0"/>
        <v>Bioretention without Underdrain2.5H:1V20.6Peak Control Standard</v>
      </c>
      <c r="M15" s="116" t="s">
        <v>88</v>
      </c>
    </row>
    <row r="16" spans="1:13" x14ac:dyDescent="0.25">
      <c r="A16" s="33" t="s">
        <v>121</v>
      </c>
      <c r="B16" s="33" t="s">
        <v>62</v>
      </c>
      <c r="C16" s="31">
        <v>2</v>
      </c>
      <c r="D16" s="31">
        <v>1</v>
      </c>
      <c r="E16" s="30"/>
      <c r="F16" s="30"/>
      <c r="G16" s="30" t="s">
        <v>77</v>
      </c>
      <c r="H16" s="130" t="s">
        <v>76</v>
      </c>
      <c r="J16" s="116" t="s">
        <v>115</v>
      </c>
      <c r="L16" s="116" t="str">
        <f t="shared" si="0"/>
        <v>Bioretention without Underdrain2.5H:1V21Peak Control Standard</v>
      </c>
      <c r="M16" s="116" t="s">
        <v>88</v>
      </c>
    </row>
    <row r="17" spans="1:13" x14ac:dyDescent="0.25">
      <c r="A17" s="35" t="s">
        <v>121</v>
      </c>
      <c r="B17" s="35" t="s">
        <v>62</v>
      </c>
      <c r="C17" s="38">
        <v>2</v>
      </c>
      <c r="D17" s="36">
        <v>2.5</v>
      </c>
      <c r="E17" s="37"/>
      <c r="F17" s="37"/>
      <c r="G17" s="37" t="s">
        <v>77</v>
      </c>
      <c r="H17" s="132" t="s">
        <v>76</v>
      </c>
      <c r="I17" s="125"/>
      <c r="J17" s="119" t="s">
        <v>115</v>
      </c>
      <c r="K17" s="119"/>
      <c r="L17" s="119" t="str">
        <f t="shared" si="0"/>
        <v>Bioretention without Underdrain2.5H:1V22.5Peak Control Standard</v>
      </c>
      <c r="M17" s="116" t="s">
        <v>88</v>
      </c>
    </row>
    <row r="18" spans="1:13" x14ac:dyDescent="0.25">
      <c r="A18" s="33" t="s">
        <v>121</v>
      </c>
      <c r="B18" s="33" t="s">
        <v>62</v>
      </c>
      <c r="C18" s="31">
        <v>2</v>
      </c>
      <c r="D18" s="31">
        <v>0.15</v>
      </c>
      <c r="E18" s="30"/>
      <c r="F18" s="30"/>
      <c r="G18" s="30" t="s">
        <v>78</v>
      </c>
      <c r="H18" s="131">
        <v>8.7999999999999995E-2</v>
      </c>
      <c r="I18" s="131">
        <v>0</v>
      </c>
      <c r="L18" s="116" t="str">
        <f t="shared" si="0"/>
        <v>Bioretention without Underdrain2.5H:1V20.15Water Quality Treatment</v>
      </c>
      <c r="M18" s="116" t="s">
        <v>88</v>
      </c>
    </row>
    <row r="19" spans="1:13" x14ac:dyDescent="0.25">
      <c r="A19" s="33" t="s">
        <v>121</v>
      </c>
      <c r="B19" s="33" t="s">
        <v>62</v>
      </c>
      <c r="C19" s="31">
        <v>2</v>
      </c>
      <c r="D19" s="31">
        <v>0.3</v>
      </c>
      <c r="E19" s="30"/>
      <c r="F19" s="30"/>
      <c r="G19" s="30" t="s">
        <v>78</v>
      </c>
      <c r="H19" s="131">
        <v>6.9000000000000006E-2</v>
      </c>
      <c r="I19" s="131">
        <v>0</v>
      </c>
      <c r="L19" s="116" t="str">
        <f t="shared" si="0"/>
        <v>Bioretention without Underdrain2.5H:1V20.3Water Quality Treatment</v>
      </c>
      <c r="M19" s="116" t="s">
        <v>88</v>
      </c>
    </row>
    <row r="20" spans="1:13" x14ac:dyDescent="0.25">
      <c r="A20" s="33" t="s">
        <v>121</v>
      </c>
      <c r="B20" s="33" t="s">
        <v>62</v>
      </c>
      <c r="C20" s="31">
        <v>2</v>
      </c>
      <c r="D20" s="31">
        <v>0.6</v>
      </c>
      <c r="E20" s="30"/>
      <c r="F20" s="30"/>
      <c r="G20" s="30" t="s">
        <v>78</v>
      </c>
      <c r="H20" s="131">
        <v>3.1E-2</v>
      </c>
      <c r="I20" s="131">
        <v>0</v>
      </c>
      <c r="L20" s="116" t="str">
        <f t="shared" si="0"/>
        <v>Bioretention without Underdrain2.5H:1V20.6Water Quality Treatment</v>
      </c>
      <c r="M20" s="116" t="s">
        <v>88</v>
      </c>
    </row>
    <row r="21" spans="1:13" x14ac:dyDescent="0.25">
      <c r="A21" s="33" t="s">
        <v>121</v>
      </c>
      <c r="B21" s="33" t="s">
        <v>62</v>
      </c>
      <c r="C21" s="31">
        <v>2</v>
      </c>
      <c r="D21" s="31">
        <v>1</v>
      </c>
      <c r="E21" s="30"/>
      <c r="F21" s="30"/>
      <c r="G21" s="30" t="s">
        <v>78</v>
      </c>
      <c r="H21" s="131">
        <v>2.7E-2</v>
      </c>
      <c r="I21" s="131">
        <v>0</v>
      </c>
      <c r="L21" s="116" t="str">
        <f t="shared" si="0"/>
        <v>Bioretention without Underdrain2.5H:1V21Water Quality Treatment</v>
      </c>
      <c r="M21" s="116" t="s">
        <v>88</v>
      </c>
    </row>
    <row r="22" spans="1:13" x14ac:dyDescent="0.25">
      <c r="A22" s="35" t="s">
        <v>121</v>
      </c>
      <c r="B22" s="35" t="s">
        <v>62</v>
      </c>
      <c r="C22" s="38">
        <v>2</v>
      </c>
      <c r="D22" s="36">
        <v>2.5</v>
      </c>
      <c r="E22" s="37"/>
      <c r="F22" s="37"/>
      <c r="G22" s="37" t="s">
        <v>78</v>
      </c>
      <c r="H22" s="125">
        <v>1.2999999999999999E-2</v>
      </c>
      <c r="I22" s="125">
        <v>0</v>
      </c>
      <c r="J22" s="119"/>
      <c r="K22" s="119"/>
      <c r="L22" s="119" t="str">
        <f t="shared" si="0"/>
        <v>Bioretention without Underdrain2.5H:1V22.5Water Quality Treatment</v>
      </c>
      <c r="M22" s="116" t="s">
        <v>88</v>
      </c>
    </row>
    <row r="23" spans="1:13" x14ac:dyDescent="0.25">
      <c r="A23" s="33" t="s">
        <v>121</v>
      </c>
      <c r="B23" s="33" t="s">
        <v>62</v>
      </c>
      <c r="C23" s="33">
        <v>6</v>
      </c>
      <c r="D23" s="31">
        <v>0.15</v>
      </c>
      <c r="E23" s="30">
        <v>0</v>
      </c>
      <c r="F23" s="30">
        <v>2000</v>
      </c>
      <c r="G23" s="30" t="s">
        <v>8</v>
      </c>
      <c r="H23" s="133" t="s">
        <v>76</v>
      </c>
      <c r="J23" s="116" t="s">
        <v>81</v>
      </c>
      <c r="L23" s="116" t="str">
        <f t="shared" si="0"/>
        <v>Bioretention without Underdrain2.5H:1V60.1502000Pre-developed Pasture Standard</v>
      </c>
      <c r="M23" s="116" t="s">
        <v>88</v>
      </c>
    </row>
    <row r="24" spans="1:13" x14ac:dyDescent="0.25">
      <c r="A24" s="33" t="s">
        <v>121</v>
      </c>
      <c r="B24" s="33" t="s">
        <v>62</v>
      </c>
      <c r="C24" s="33">
        <v>6</v>
      </c>
      <c r="D24" s="31">
        <v>0.15</v>
      </c>
      <c r="E24" s="30">
        <v>2000</v>
      </c>
      <c r="F24" s="30">
        <v>10000</v>
      </c>
      <c r="G24" s="30" t="s">
        <v>8</v>
      </c>
      <c r="H24" s="133" t="s">
        <v>76</v>
      </c>
      <c r="J24" s="116" t="s">
        <v>81</v>
      </c>
      <c r="L24" s="116" t="str">
        <f t="shared" si="0"/>
        <v>Bioretention without Underdrain2.5H:1V60.15200010000Pre-developed Pasture Standard</v>
      </c>
      <c r="M24" s="116" t="s">
        <v>88</v>
      </c>
    </row>
    <row r="25" spans="1:13" x14ac:dyDescent="0.25">
      <c r="A25" s="33" t="s">
        <v>121</v>
      </c>
      <c r="B25" s="33" t="s">
        <v>62</v>
      </c>
      <c r="C25" s="33">
        <v>6</v>
      </c>
      <c r="D25" s="31">
        <v>0.3</v>
      </c>
      <c r="E25" s="30">
        <v>0</v>
      </c>
      <c r="F25" s="30">
        <v>2000</v>
      </c>
      <c r="G25" s="30" t="s">
        <v>8</v>
      </c>
      <c r="H25" s="131">
        <v>0.104</v>
      </c>
      <c r="I25" s="131">
        <v>0</v>
      </c>
      <c r="L25" s="116" t="str">
        <f t="shared" si="0"/>
        <v>Bioretention without Underdrain2.5H:1V60.302000Pre-developed Pasture Standard</v>
      </c>
      <c r="M25" s="116" t="s">
        <v>88</v>
      </c>
    </row>
    <row r="26" spans="1:13" x14ac:dyDescent="0.25">
      <c r="A26" s="33" t="s">
        <v>121</v>
      </c>
      <c r="B26" s="33" t="s">
        <v>62</v>
      </c>
      <c r="C26" s="33">
        <v>6</v>
      </c>
      <c r="D26" s="31">
        <v>0.3</v>
      </c>
      <c r="E26" s="30">
        <v>2000</v>
      </c>
      <c r="F26" s="30">
        <v>10000</v>
      </c>
      <c r="G26" s="30" t="s">
        <v>8</v>
      </c>
      <c r="H26" s="131">
        <v>8.3000000000000004E-2</v>
      </c>
      <c r="I26" s="131">
        <v>38.700000000000003</v>
      </c>
      <c r="L26" s="116" t="str">
        <f t="shared" si="0"/>
        <v>Bioretention without Underdrain2.5H:1V60.3200010000Pre-developed Pasture Standard</v>
      </c>
      <c r="M26" s="116" t="s">
        <v>88</v>
      </c>
    </row>
    <row r="27" spans="1:13" x14ac:dyDescent="0.25">
      <c r="A27" s="33" t="s">
        <v>121</v>
      </c>
      <c r="B27" s="33" t="s">
        <v>62</v>
      </c>
      <c r="C27" s="33">
        <v>6</v>
      </c>
      <c r="D27" s="31">
        <v>0.6</v>
      </c>
      <c r="E27" s="30">
        <v>0</v>
      </c>
      <c r="F27" s="30">
        <v>2000</v>
      </c>
      <c r="G27" s="30" t="s">
        <v>8</v>
      </c>
      <c r="H27" s="131">
        <v>6.2E-2</v>
      </c>
      <c r="I27" s="131">
        <v>0</v>
      </c>
      <c r="L27" s="116" t="str">
        <f t="shared" si="0"/>
        <v>Bioretention without Underdrain2.5H:1V60.602000Pre-developed Pasture Standard</v>
      </c>
      <c r="M27" s="116" t="s">
        <v>88</v>
      </c>
    </row>
    <row r="28" spans="1:13" x14ac:dyDescent="0.25">
      <c r="A28" s="33" t="s">
        <v>121</v>
      </c>
      <c r="B28" s="33" t="s">
        <v>62</v>
      </c>
      <c r="C28" s="33">
        <v>6</v>
      </c>
      <c r="D28" s="31">
        <v>0.6</v>
      </c>
      <c r="E28" s="30">
        <v>2000</v>
      </c>
      <c r="F28" s="30">
        <v>10000</v>
      </c>
      <c r="G28" s="30" t="s">
        <v>8</v>
      </c>
      <c r="H28" s="131">
        <v>5.6000000000000001E-2</v>
      </c>
      <c r="I28" s="131">
        <v>10.199999999999999</v>
      </c>
      <c r="L28" s="116" t="str">
        <f t="shared" si="0"/>
        <v>Bioretention without Underdrain2.5H:1V60.6200010000Pre-developed Pasture Standard</v>
      </c>
      <c r="M28" s="116" t="s">
        <v>88</v>
      </c>
    </row>
    <row r="29" spans="1:13" x14ac:dyDescent="0.25">
      <c r="A29" s="33" t="s">
        <v>121</v>
      </c>
      <c r="B29" s="33" t="s">
        <v>62</v>
      </c>
      <c r="C29" s="33">
        <v>6</v>
      </c>
      <c r="D29" s="31">
        <v>1</v>
      </c>
      <c r="E29" s="30">
        <v>0</v>
      </c>
      <c r="F29" s="30">
        <v>2000</v>
      </c>
      <c r="G29" s="30" t="s">
        <v>8</v>
      </c>
      <c r="H29" s="131">
        <v>5.2999999999999999E-2</v>
      </c>
      <c r="I29" s="131">
        <v>0</v>
      </c>
      <c r="L29" s="116" t="str">
        <f t="shared" si="0"/>
        <v>Bioretention without Underdrain2.5H:1V6102000Pre-developed Pasture Standard</v>
      </c>
      <c r="M29" s="116" t="s">
        <v>88</v>
      </c>
    </row>
    <row r="30" spans="1:13" x14ac:dyDescent="0.25">
      <c r="A30" s="33" t="s">
        <v>121</v>
      </c>
      <c r="B30" s="33" t="s">
        <v>62</v>
      </c>
      <c r="C30" s="33">
        <v>6</v>
      </c>
      <c r="D30" s="31">
        <v>1</v>
      </c>
      <c r="E30" s="30">
        <v>2000</v>
      </c>
      <c r="F30" s="30">
        <v>10000</v>
      </c>
      <c r="G30" s="30" t="s">
        <v>8</v>
      </c>
      <c r="H30" s="131">
        <v>4.8000000000000001E-2</v>
      </c>
      <c r="I30" s="131">
        <v>8.8000000000000007</v>
      </c>
      <c r="L30" s="116" t="str">
        <f t="shared" si="0"/>
        <v>Bioretention without Underdrain2.5H:1V61200010000Pre-developed Pasture Standard</v>
      </c>
      <c r="M30" s="116" t="s">
        <v>88</v>
      </c>
    </row>
    <row r="31" spans="1:13" x14ac:dyDescent="0.25">
      <c r="A31" s="33" t="s">
        <v>121</v>
      </c>
      <c r="B31" s="33" t="s">
        <v>62</v>
      </c>
      <c r="C31" s="33">
        <v>6</v>
      </c>
      <c r="D31" s="32">
        <v>2.5</v>
      </c>
      <c r="E31" s="30">
        <v>0</v>
      </c>
      <c r="F31" s="30">
        <v>2000</v>
      </c>
      <c r="G31" s="30" t="s">
        <v>8</v>
      </c>
      <c r="H31" s="131">
        <v>2.1000000000000001E-2</v>
      </c>
      <c r="I31" s="131">
        <v>0</v>
      </c>
      <c r="L31" s="116" t="str">
        <f t="shared" si="0"/>
        <v>Bioretention without Underdrain2.5H:1V62.502000Pre-developed Pasture Standard</v>
      </c>
      <c r="M31" s="116" t="s">
        <v>88</v>
      </c>
    </row>
    <row r="32" spans="1:13" x14ac:dyDescent="0.25">
      <c r="A32" s="35" t="s">
        <v>121</v>
      </c>
      <c r="B32" s="35" t="s">
        <v>62</v>
      </c>
      <c r="C32" s="35">
        <v>6</v>
      </c>
      <c r="D32" s="36">
        <v>2.5</v>
      </c>
      <c r="E32" s="37">
        <v>2000</v>
      </c>
      <c r="F32" s="37">
        <v>10000</v>
      </c>
      <c r="G32" s="37" t="s">
        <v>8</v>
      </c>
      <c r="H32" s="125">
        <v>1.77E-2</v>
      </c>
      <c r="I32" s="125">
        <v>3.5</v>
      </c>
      <c r="J32" s="119"/>
      <c r="K32" s="119"/>
      <c r="L32" s="119" t="str">
        <f t="shared" si="0"/>
        <v>Bioretention without Underdrain2.5H:1V62.5200010000Pre-developed Pasture Standard</v>
      </c>
      <c r="M32" s="116" t="s">
        <v>88</v>
      </c>
    </row>
    <row r="33" spans="1:13" x14ac:dyDescent="0.25">
      <c r="A33" s="33" t="s">
        <v>121</v>
      </c>
      <c r="B33" s="33" t="s">
        <v>62</v>
      </c>
      <c r="C33" s="33">
        <v>6</v>
      </c>
      <c r="D33" s="31">
        <v>0.15</v>
      </c>
      <c r="E33" s="30"/>
      <c r="F33" s="30"/>
      <c r="G33" s="30" t="s">
        <v>77</v>
      </c>
      <c r="H33" s="133" t="s">
        <v>76</v>
      </c>
      <c r="J33" s="116" t="s">
        <v>81</v>
      </c>
      <c r="L33" s="116" t="str">
        <f t="shared" si="0"/>
        <v>Bioretention without Underdrain2.5H:1V60.15Peak Control Standard</v>
      </c>
      <c r="M33" s="116" t="s">
        <v>88</v>
      </c>
    </row>
    <row r="34" spans="1:13" x14ac:dyDescent="0.25">
      <c r="A34" s="33" t="s">
        <v>121</v>
      </c>
      <c r="B34" s="33" t="s">
        <v>62</v>
      </c>
      <c r="C34" s="33">
        <v>6</v>
      </c>
      <c r="D34" s="31">
        <v>0.3</v>
      </c>
      <c r="E34" s="30"/>
      <c r="F34" s="30"/>
      <c r="G34" s="30" t="s">
        <v>77</v>
      </c>
      <c r="H34" s="131">
        <v>0.14000000000000001</v>
      </c>
      <c r="I34" s="131">
        <v>0</v>
      </c>
      <c r="L34" s="116" t="str">
        <f t="shared" si="0"/>
        <v>Bioretention without Underdrain2.5H:1V60.3Peak Control Standard</v>
      </c>
      <c r="M34" s="116" t="s">
        <v>88</v>
      </c>
    </row>
    <row r="35" spans="1:13" x14ac:dyDescent="0.25">
      <c r="A35" s="33" t="s">
        <v>121</v>
      </c>
      <c r="B35" s="33" t="s">
        <v>62</v>
      </c>
      <c r="C35" s="33">
        <v>6</v>
      </c>
      <c r="D35" s="31">
        <v>0.6</v>
      </c>
      <c r="E35" s="30"/>
      <c r="F35" s="30"/>
      <c r="G35" s="30" t="s">
        <v>77</v>
      </c>
      <c r="H35" s="131">
        <v>9.6000000000000002E-2</v>
      </c>
      <c r="I35" s="131">
        <v>0</v>
      </c>
      <c r="L35" s="116" t="str">
        <f t="shared" si="0"/>
        <v>Bioretention without Underdrain2.5H:1V60.6Peak Control Standard</v>
      </c>
      <c r="M35" s="116" t="s">
        <v>88</v>
      </c>
    </row>
    <row r="36" spans="1:13" x14ac:dyDescent="0.25">
      <c r="A36" s="33" t="s">
        <v>121</v>
      </c>
      <c r="B36" s="33" t="s">
        <v>62</v>
      </c>
      <c r="C36" s="33">
        <v>6</v>
      </c>
      <c r="D36" s="31">
        <v>1</v>
      </c>
      <c r="E36" s="30"/>
      <c r="F36" s="30"/>
      <c r="G36" s="30" t="s">
        <v>77</v>
      </c>
      <c r="H36" s="131">
        <v>8.5999999999999993E-2</v>
      </c>
      <c r="I36" s="131">
        <v>0</v>
      </c>
      <c r="L36" s="116" t="str">
        <f t="shared" si="0"/>
        <v>Bioretention without Underdrain2.5H:1V61Peak Control Standard</v>
      </c>
      <c r="M36" s="116" t="s">
        <v>88</v>
      </c>
    </row>
    <row r="37" spans="1:13" x14ac:dyDescent="0.25">
      <c r="A37" s="35" t="s">
        <v>121</v>
      </c>
      <c r="B37" s="35" t="s">
        <v>62</v>
      </c>
      <c r="C37" s="35">
        <v>6</v>
      </c>
      <c r="D37" s="36">
        <v>2.5</v>
      </c>
      <c r="E37" s="37"/>
      <c r="F37" s="37"/>
      <c r="G37" s="37" t="s">
        <v>77</v>
      </c>
      <c r="H37" s="125">
        <v>4.7E-2</v>
      </c>
      <c r="I37" s="125">
        <v>0</v>
      </c>
      <c r="J37" s="119"/>
      <c r="K37" s="119"/>
      <c r="L37" s="119" t="str">
        <f t="shared" si="0"/>
        <v>Bioretention without Underdrain2.5H:1V62.5Peak Control Standard</v>
      </c>
      <c r="M37" s="116" t="s">
        <v>88</v>
      </c>
    </row>
    <row r="38" spans="1:13" x14ac:dyDescent="0.25">
      <c r="A38" s="33" t="s">
        <v>121</v>
      </c>
      <c r="B38" s="33" t="s">
        <v>62</v>
      </c>
      <c r="C38" s="33">
        <v>6</v>
      </c>
      <c r="D38" s="31">
        <v>0.15</v>
      </c>
      <c r="E38" s="30">
        <v>0</v>
      </c>
      <c r="F38" s="30">
        <v>2000</v>
      </c>
      <c r="G38" s="30" t="s">
        <v>78</v>
      </c>
      <c r="H38" s="133" t="s">
        <v>76</v>
      </c>
      <c r="J38" s="116" t="s">
        <v>81</v>
      </c>
      <c r="L38" s="116" t="str">
        <f t="shared" si="0"/>
        <v>Bioretention without Underdrain2.5H:1V60.1502000Water Quality Treatment</v>
      </c>
      <c r="M38" s="116" t="s">
        <v>88</v>
      </c>
    </row>
    <row r="39" spans="1:13" x14ac:dyDescent="0.25">
      <c r="A39" s="33" t="s">
        <v>121</v>
      </c>
      <c r="B39" s="33" t="s">
        <v>62</v>
      </c>
      <c r="C39" s="33">
        <v>6</v>
      </c>
      <c r="D39" s="31">
        <v>0.15</v>
      </c>
      <c r="E39" s="30">
        <v>2000</v>
      </c>
      <c r="F39" s="30">
        <v>10000</v>
      </c>
      <c r="G39" s="30" t="s">
        <v>78</v>
      </c>
      <c r="H39" s="133" t="s">
        <v>76</v>
      </c>
      <c r="J39" s="116" t="s">
        <v>81</v>
      </c>
      <c r="L39" s="116" t="str">
        <f t="shared" si="0"/>
        <v>Bioretention without Underdrain2.5H:1V60.15200010000Water Quality Treatment</v>
      </c>
    </row>
    <row r="40" spans="1:13" x14ac:dyDescent="0.25">
      <c r="A40" s="33" t="s">
        <v>121</v>
      </c>
      <c r="B40" s="33" t="s">
        <v>62</v>
      </c>
      <c r="C40" s="33">
        <v>6</v>
      </c>
      <c r="D40" s="31">
        <v>0.3</v>
      </c>
      <c r="E40" s="30">
        <v>0</v>
      </c>
      <c r="F40" s="30">
        <v>2000</v>
      </c>
      <c r="G40" s="30" t="s">
        <v>78</v>
      </c>
      <c r="H40" s="131">
        <v>1.4999999999999999E-2</v>
      </c>
      <c r="I40" s="131">
        <v>0</v>
      </c>
      <c r="L40" s="116" t="str">
        <f t="shared" si="0"/>
        <v>Bioretention without Underdrain2.5H:1V60.302000Water Quality Treatment</v>
      </c>
      <c r="M40" s="116" t="s">
        <v>88</v>
      </c>
    </row>
    <row r="41" spans="1:13" x14ac:dyDescent="0.25">
      <c r="A41" s="33" t="s">
        <v>121</v>
      </c>
      <c r="B41" s="33" t="s">
        <v>62</v>
      </c>
      <c r="C41" s="33">
        <v>6</v>
      </c>
      <c r="D41" s="31">
        <v>0.3</v>
      </c>
      <c r="E41" s="30">
        <v>2000</v>
      </c>
      <c r="F41" s="30">
        <v>10000</v>
      </c>
      <c r="G41" s="30" t="s">
        <v>78</v>
      </c>
      <c r="H41" s="131">
        <v>4.3099999999999999E-2</v>
      </c>
      <c r="I41" s="131">
        <v>-62.9</v>
      </c>
      <c r="L41" s="116" t="str">
        <f t="shared" si="0"/>
        <v>Bioretention without Underdrain2.5H:1V60.3200010000Water Quality Treatment</v>
      </c>
    </row>
    <row r="42" spans="1:13" x14ac:dyDescent="0.25">
      <c r="A42" s="33" t="s">
        <v>121</v>
      </c>
      <c r="B42" s="33" t="s">
        <v>62</v>
      </c>
      <c r="C42" s="33">
        <v>6</v>
      </c>
      <c r="D42" s="31">
        <v>0.6</v>
      </c>
      <c r="E42" s="30">
        <v>0</v>
      </c>
      <c r="F42" s="30">
        <v>2000</v>
      </c>
      <c r="G42" s="30" t="s">
        <v>78</v>
      </c>
      <c r="H42" s="131">
        <v>7.0000000000000001E-3</v>
      </c>
      <c r="I42" s="131">
        <v>0</v>
      </c>
      <c r="L42" s="116" t="str">
        <f t="shared" si="0"/>
        <v>Bioretention without Underdrain2.5H:1V60.602000Water Quality Treatment</v>
      </c>
      <c r="M42" s="116" t="s">
        <v>88</v>
      </c>
    </row>
    <row r="43" spans="1:13" x14ac:dyDescent="0.25">
      <c r="A43" s="33" t="s">
        <v>121</v>
      </c>
      <c r="B43" s="33" t="s">
        <v>62</v>
      </c>
      <c r="C43" s="33">
        <v>6</v>
      </c>
      <c r="D43" s="31">
        <v>0.6</v>
      </c>
      <c r="E43" s="30">
        <v>2000</v>
      </c>
      <c r="F43" s="30">
        <v>10000</v>
      </c>
      <c r="G43" s="30" t="s">
        <v>78</v>
      </c>
      <c r="H43" s="131">
        <v>2.5899999999999999E-2</v>
      </c>
      <c r="I43" s="131">
        <v>-43.7</v>
      </c>
      <c r="L43" s="116" t="str">
        <f t="shared" si="0"/>
        <v>Bioretention without Underdrain2.5H:1V60.6200010000Water Quality Treatment</v>
      </c>
    </row>
    <row r="44" spans="1:13" x14ac:dyDescent="0.25">
      <c r="A44" s="33" t="s">
        <v>121</v>
      </c>
      <c r="B44" s="33" t="s">
        <v>62</v>
      </c>
      <c r="C44" s="33">
        <v>6</v>
      </c>
      <c r="D44" s="31">
        <v>1</v>
      </c>
      <c r="E44" s="30">
        <v>0</v>
      </c>
      <c r="F44" s="30">
        <v>2000</v>
      </c>
      <c r="G44" s="30" t="s">
        <v>78</v>
      </c>
      <c r="H44" s="131">
        <v>7.0000000000000001E-3</v>
      </c>
      <c r="I44" s="131">
        <v>0</v>
      </c>
      <c r="L44" s="116" t="str">
        <f t="shared" si="0"/>
        <v>Bioretention without Underdrain2.5H:1V6102000Water Quality Treatment</v>
      </c>
      <c r="M44" s="116" t="s">
        <v>88</v>
      </c>
    </row>
    <row r="45" spans="1:13" x14ac:dyDescent="0.25">
      <c r="A45" s="33" t="s">
        <v>121</v>
      </c>
      <c r="B45" s="33" t="s">
        <v>62</v>
      </c>
      <c r="C45" s="33">
        <v>6</v>
      </c>
      <c r="D45" s="31">
        <v>1</v>
      </c>
      <c r="E45" s="30">
        <v>2000</v>
      </c>
      <c r="F45" s="30">
        <v>10000</v>
      </c>
      <c r="G45" s="30" t="s">
        <v>78</v>
      </c>
      <c r="H45" s="131">
        <v>2.24E-2</v>
      </c>
      <c r="I45" s="131">
        <v>-36.5</v>
      </c>
      <c r="L45" s="116" t="str">
        <f t="shared" si="0"/>
        <v>Bioretention without Underdrain2.5H:1V61200010000Water Quality Treatment</v>
      </c>
    </row>
    <row r="46" spans="1:13" x14ac:dyDescent="0.25">
      <c r="A46" s="33" t="s">
        <v>121</v>
      </c>
      <c r="B46" s="33" t="s">
        <v>62</v>
      </c>
      <c r="C46" s="33">
        <v>6</v>
      </c>
      <c r="D46" s="31">
        <v>2.5</v>
      </c>
      <c r="E46" s="30">
        <v>0</v>
      </c>
      <c r="F46" s="30">
        <v>2000</v>
      </c>
      <c r="G46" s="30" t="s">
        <v>78</v>
      </c>
      <c r="H46" s="131">
        <v>5.0000000000000001E-3</v>
      </c>
      <c r="I46" s="131">
        <v>0</v>
      </c>
      <c r="L46" s="116" t="str">
        <f t="shared" si="0"/>
        <v>Bioretention without Underdrain2.5H:1V62.502000Water Quality Treatment</v>
      </c>
    </row>
    <row r="47" spans="1:13" x14ac:dyDescent="0.25">
      <c r="A47" s="35" t="s">
        <v>121</v>
      </c>
      <c r="B47" s="35" t="s">
        <v>62</v>
      </c>
      <c r="C47" s="35">
        <v>6</v>
      </c>
      <c r="D47" s="36">
        <v>2.5</v>
      </c>
      <c r="E47" s="37">
        <v>2000</v>
      </c>
      <c r="F47" s="37">
        <v>10000</v>
      </c>
      <c r="G47" s="37" t="s">
        <v>78</v>
      </c>
      <c r="H47" s="125">
        <v>9.1999999999999998E-3</v>
      </c>
      <c r="I47" s="125">
        <v>-9.6999999999999993</v>
      </c>
      <c r="J47" s="119"/>
      <c r="K47" s="119"/>
      <c r="L47" s="119" t="str">
        <f t="shared" si="0"/>
        <v>Bioretention without Underdrain2.5H:1V62.5200010000Water Quality Treatment</v>
      </c>
      <c r="M47" s="116" t="s">
        <v>88</v>
      </c>
    </row>
    <row r="48" spans="1:13" x14ac:dyDescent="0.25">
      <c r="A48" s="33" t="s">
        <v>121</v>
      </c>
      <c r="B48" s="33" t="s">
        <v>62</v>
      </c>
      <c r="C48" s="33">
        <v>12</v>
      </c>
      <c r="D48" s="31">
        <v>0.15</v>
      </c>
      <c r="E48" s="30">
        <v>0</v>
      </c>
      <c r="F48" s="30">
        <v>2000</v>
      </c>
      <c r="G48" s="30" t="s">
        <v>8</v>
      </c>
      <c r="H48" s="133" t="s">
        <v>76</v>
      </c>
      <c r="J48" s="116" t="s">
        <v>81</v>
      </c>
      <c r="L48" s="116" t="str">
        <f t="shared" si="0"/>
        <v>Bioretention without Underdrain2.5H:1V120.1502000Pre-developed Pasture Standard</v>
      </c>
      <c r="M48" s="116" t="s">
        <v>88</v>
      </c>
    </row>
    <row r="49" spans="1:13" x14ac:dyDescent="0.25">
      <c r="A49" s="33" t="s">
        <v>121</v>
      </c>
      <c r="B49" s="33" t="s">
        <v>62</v>
      </c>
      <c r="C49" s="33">
        <v>12</v>
      </c>
      <c r="D49" s="31">
        <v>0.15</v>
      </c>
      <c r="E49" s="30">
        <v>2000</v>
      </c>
      <c r="F49" s="30">
        <v>10000</v>
      </c>
      <c r="G49" s="30" t="s">
        <v>8</v>
      </c>
      <c r="H49" s="133" t="s">
        <v>76</v>
      </c>
      <c r="J49" s="116" t="s">
        <v>81</v>
      </c>
      <c r="L49" s="116" t="str">
        <f t="shared" si="0"/>
        <v>Bioretention without Underdrain2.5H:1V120.15200010000Pre-developed Pasture Standard</v>
      </c>
      <c r="M49" s="116" t="s">
        <v>88</v>
      </c>
    </row>
    <row r="50" spans="1:13" x14ac:dyDescent="0.25">
      <c r="A50" s="33" t="s">
        <v>121</v>
      </c>
      <c r="B50" s="33" t="s">
        <v>62</v>
      </c>
      <c r="C50" s="33">
        <v>12</v>
      </c>
      <c r="D50" s="31">
        <v>0.3</v>
      </c>
      <c r="E50" s="30">
        <v>0</v>
      </c>
      <c r="F50" s="30">
        <v>2000</v>
      </c>
      <c r="G50" s="30" t="s">
        <v>8</v>
      </c>
      <c r="H50" s="133" t="s">
        <v>76</v>
      </c>
      <c r="J50" s="116" t="s">
        <v>81</v>
      </c>
      <c r="L50" s="116" t="str">
        <f t="shared" si="0"/>
        <v>Bioretention without Underdrain2.5H:1V120.302000Pre-developed Pasture Standard</v>
      </c>
      <c r="M50" s="116" t="s">
        <v>88</v>
      </c>
    </row>
    <row r="51" spans="1:13" x14ac:dyDescent="0.25">
      <c r="A51" s="33" t="s">
        <v>121</v>
      </c>
      <c r="B51" s="33" t="s">
        <v>62</v>
      </c>
      <c r="C51" s="33">
        <v>12</v>
      </c>
      <c r="D51" s="31">
        <v>0.3</v>
      </c>
      <c r="E51" s="30">
        <v>2000</v>
      </c>
      <c r="F51" s="30">
        <v>10000</v>
      </c>
      <c r="G51" s="30" t="s">
        <v>8</v>
      </c>
      <c r="H51" s="133" t="s">
        <v>76</v>
      </c>
      <c r="J51" s="116" t="s">
        <v>81</v>
      </c>
      <c r="L51" s="116" t="str">
        <f t="shared" si="0"/>
        <v>Bioretention without Underdrain2.5H:1V120.3200010000Pre-developed Pasture Standard</v>
      </c>
      <c r="M51" s="116" t="s">
        <v>88</v>
      </c>
    </row>
    <row r="52" spans="1:13" x14ac:dyDescent="0.25">
      <c r="A52" s="33" t="s">
        <v>121</v>
      </c>
      <c r="B52" s="33" t="s">
        <v>62</v>
      </c>
      <c r="C52" s="33">
        <v>12</v>
      </c>
      <c r="D52" s="31">
        <v>0.6</v>
      </c>
      <c r="E52" s="30">
        <v>0</v>
      </c>
      <c r="F52" s="30">
        <v>2000</v>
      </c>
      <c r="G52" s="30" t="s">
        <v>8</v>
      </c>
      <c r="H52" s="131">
        <v>3.3000000000000002E-2</v>
      </c>
      <c r="I52" s="131">
        <v>0</v>
      </c>
      <c r="L52" s="116" t="str">
        <f t="shared" si="0"/>
        <v>Bioretention without Underdrain2.5H:1V120.602000Pre-developed Pasture Standard</v>
      </c>
      <c r="M52" s="116" t="s">
        <v>88</v>
      </c>
    </row>
    <row r="53" spans="1:13" x14ac:dyDescent="0.25">
      <c r="A53" s="33" t="s">
        <v>121</v>
      </c>
      <c r="B53" s="33" t="s">
        <v>62</v>
      </c>
      <c r="C53" s="33">
        <v>12</v>
      </c>
      <c r="D53" s="31">
        <v>0.6</v>
      </c>
      <c r="E53" s="30">
        <v>2000</v>
      </c>
      <c r="F53" s="30">
        <v>10000</v>
      </c>
      <c r="G53" s="30" t="s">
        <v>8</v>
      </c>
      <c r="H53" s="131">
        <v>3.95E-2</v>
      </c>
      <c r="I53" s="131">
        <v>-16.100000000000001</v>
      </c>
      <c r="L53" s="116" t="str">
        <f t="shared" si="0"/>
        <v>Bioretention without Underdrain2.5H:1V120.6200010000Pre-developed Pasture Standard</v>
      </c>
      <c r="M53" s="116" t="s">
        <v>88</v>
      </c>
    </row>
    <row r="54" spans="1:13" x14ac:dyDescent="0.25">
      <c r="A54" s="33" t="s">
        <v>121</v>
      </c>
      <c r="B54" s="33" t="s">
        <v>62</v>
      </c>
      <c r="C54" s="33">
        <v>12</v>
      </c>
      <c r="D54" s="31">
        <v>1</v>
      </c>
      <c r="E54" s="30">
        <v>0</v>
      </c>
      <c r="F54" s="30">
        <v>2000</v>
      </c>
      <c r="G54" s="30" t="s">
        <v>8</v>
      </c>
      <c r="H54" s="131">
        <v>2.8000000000000001E-2</v>
      </c>
      <c r="I54" s="131">
        <v>0</v>
      </c>
      <c r="L54" s="116" t="str">
        <f t="shared" si="0"/>
        <v>Bioretention without Underdrain2.5H:1V12102000Pre-developed Pasture Standard</v>
      </c>
      <c r="M54" s="116" t="s">
        <v>88</v>
      </c>
    </row>
    <row r="55" spans="1:13" x14ac:dyDescent="0.25">
      <c r="A55" s="33" t="s">
        <v>121</v>
      </c>
      <c r="B55" s="33" t="s">
        <v>62</v>
      </c>
      <c r="C55" s="33">
        <v>12</v>
      </c>
      <c r="D55" s="31">
        <v>1</v>
      </c>
      <c r="E55" s="30">
        <v>2000</v>
      </c>
      <c r="F55" s="30">
        <v>10000</v>
      </c>
      <c r="G55" s="30" t="s">
        <v>8</v>
      </c>
      <c r="H55" s="131">
        <v>3.3500000000000002E-2</v>
      </c>
      <c r="I55" s="131">
        <v>-13.3</v>
      </c>
      <c r="L55" s="116" t="str">
        <f t="shared" si="0"/>
        <v>Bioretention without Underdrain2.5H:1V121200010000Pre-developed Pasture Standard</v>
      </c>
      <c r="M55" s="116" t="s">
        <v>88</v>
      </c>
    </row>
    <row r="56" spans="1:13" x14ac:dyDescent="0.25">
      <c r="A56" s="33" t="s">
        <v>121</v>
      </c>
      <c r="B56" s="33" t="s">
        <v>62</v>
      </c>
      <c r="C56" s="33">
        <v>12</v>
      </c>
      <c r="D56" s="32">
        <v>2.5</v>
      </c>
      <c r="E56" s="30">
        <v>0</v>
      </c>
      <c r="F56" s="30">
        <v>2000</v>
      </c>
      <c r="G56" s="30" t="s">
        <v>8</v>
      </c>
      <c r="H56" s="131">
        <v>0.01</v>
      </c>
      <c r="I56" s="131">
        <v>0</v>
      </c>
      <c r="L56" s="116" t="str">
        <f t="shared" si="0"/>
        <v>Bioretention without Underdrain2.5H:1V122.502000Pre-developed Pasture Standard</v>
      </c>
      <c r="M56" s="116" t="s">
        <v>88</v>
      </c>
    </row>
    <row r="57" spans="1:13" x14ac:dyDescent="0.25">
      <c r="A57" s="35" t="s">
        <v>121</v>
      </c>
      <c r="B57" s="35" t="s">
        <v>62</v>
      </c>
      <c r="C57" s="35">
        <v>12</v>
      </c>
      <c r="D57" s="36">
        <v>2.5</v>
      </c>
      <c r="E57" s="37">
        <v>2000</v>
      </c>
      <c r="F57" s="37">
        <v>10000</v>
      </c>
      <c r="G57" s="37" t="s">
        <v>8</v>
      </c>
      <c r="H57" s="125">
        <v>1.0999999999999999E-2</v>
      </c>
      <c r="I57" s="125">
        <v>-3</v>
      </c>
      <c r="J57" s="119"/>
      <c r="K57" s="119"/>
      <c r="L57" s="119" t="str">
        <f t="shared" si="0"/>
        <v>Bioretention without Underdrain2.5H:1V122.5200010000Pre-developed Pasture Standard</v>
      </c>
      <c r="M57" s="116" t="s">
        <v>88</v>
      </c>
    </row>
    <row r="58" spans="1:13" x14ac:dyDescent="0.25">
      <c r="A58" s="33" t="s">
        <v>121</v>
      </c>
      <c r="B58" s="33" t="s">
        <v>62</v>
      </c>
      <c r="C58" s="33">
        <v>12</v>
      </c>
      <c r="D58" s="31">
        <v>0.15</v>
      </c>
      <c r="G58" s="30" t="s">
        <v>77</v>
      </c>
      <c r="H58" s="133" t="s">
        <v>76</v>
      </c>
      <c r="J58" s="116" t="s">
        <v>81</v>
      </c>
      <c r="L58" s="116" t="str">
        <f t="shared" si="0"/>
        <v>Bioretention without Underdrain2.5H:1V120.15Peak Control Standard</v>
      </c>
      <c r="M58" s="116" t="s">
        <v>88</v>
      </c>
    </row>
    <row r="59" spans="1:13" x14ac:dyDescent="0.25">
      <c r="A59" s="33" t="s">
        <v>121</v>
      </c>
      <c r="B59" s="33" t="s">
        <v>62</v>
      </c>
      <c r="C59" s="33">
        <v>12</v>
      </c>
      <c r="D59" s="31">
        <v>0.3</v>
      </c>
      <c r="G59" s="30" t="s">
        <v>77</v>
      </c>
      <c r="H59" s="133" t="s">
        <v>76</v>
      </c>
      <c r="J59" s="116" t="s">
        <v>81</v>
      </c>
      <c r="L59" s="116" t="str">
        <f t="shared" si="0"/>
        <v>Bioretention without Underdrain2.5H:1V120.3Peak Control Standard</v>
      </c>
      <c r="M59" s="116" t="s">
        <v>88</v>
      </c>
    </row>
    <row r="60" spans="1:13" x14ac:dyDescent="0.25">
      <c r="A60" s="33" t="s">
        <v>121</v>
      </c>
      <c r="B60" s="33" t="s">
        <v>62</v>
      </c>
      <c r="C60" s="33">
        <v>12</v>
      </c>
      <c r="D60" s="31">
        <v>0.6</v>
      </c>
      <c r="G60" s="30" t="s">
        <v>77</v>
      </c>
      <c r="H60" s="131">
        <v>7.0000000000000007E-2</v>
      </c>
      <c r="I60" s="131">
        <v>0</v>
      </c>
      <c r="L60" s="116" t="str">
        <f t="shared" si="0"/>
        <v>Bioretention without Underdrain2.5H:1V120.6Peak Control Standard</v>
      </c>
      <c r="M60" s="116" t="s">
        <v>88</v>
      </c>
    </row>
    <row r="61" spans="1:13" x14ac:dyDescent="0.25">
      <c r="A61" s="33" t="s">
        <v>121</v>
      </c>
      <c r="B61" s="33" t="s">
        <v>62</v>
      </c>
      <c r="C61" s="33">
        <v>12</v>
      </c>
      <c r="D61" s="31">
        <v>1</v>
      </c>
      <c r="G61" s="30" t="s">
        <v>77</v>
      </c>
      <c r="H61" s="131">
        <v>6.0999999999999999E-2</v>
      </c>
      <c r="I61" s="131">
        <v>0</v>
      </c>
      <c r="L61" s="116" t="str">
        <f t="shared" si="0"/>
        <v>Bioretention without Underdrain2.5H:1V121Peak Control Standard</v>
      </c>
      <c r="M61" s="116" t="s">
        <v>88</v>
      </c>
    </row>
    <row r="62" spans="1:13" x14ac:dyDescent="0.25">
      <c r="A62" s="35" t="s">
        <v>121</v>
      </c>
      <c r="B62" s="35" t="s">
        <v>62</v>
      </c>
      <c r="C62" s="35">
        <v>12</v>
      </c>
      <c r="D62" s="36">
        <v>2.5</v>
      </c>
      <c r="E62" s="121"/>
      <c r="F62" s="121"/>
      <c r="G62" s="37" t="s">
        <v>77</v>
      </c>
      <c r="H62" s="125">
        <v>2.8000000000000001E-2</v>
      </c>
      <c r="I62" s="125">
        <v>0</v>
      </c>
      <c r="J62" s="119"/>
      <c r="K62" s="119"/>
      <c r="L62" s="119" t="str">
        <f t="shared" si="0"/>
        <v>Bioretention without Underdrain2.5H:1V122.5Peak Control Standard</v>
      </c>
      <c r="M62" s="116" t="s">
        <v>88</v>
      </c>
    </row>
    <row r="63" spans="1:13" x14ac:dyDescent="0.25">
      <c r="A63" s="33" t="s">
        <v>121</v>
      </c>
      <c r="B63" s="33" t="s">
        <v>62</v>
      </c>
      <c r="C63" s="33">
        <v>12</v>
      </c>
      <c r="D63" s="31">
        <v>0.15</v>
      </c>
      <c r="G63" s="30" t="s">
        <v>78</v>
      </c>
      <c r="H63" s="133" t="s">
        <v>76</v>
      </c>
      <c r="J63" s="116" t="s">
        <v>81</v>
      </c>
      <c r="L63" s="116" t="str">
        <f t="shared" si="0"/>
        <v>Bioretention without Underdrain2.5H:1V120.15Water Quality Treatment</v>
      </c>
      <c r="M63" s="116" t="s">
        <v>88</v>
      </c>
    </row>
    <row r="64" spans="1:13" x14ac:dyDescent="0.25">
      <c r="A64" s="33" t="s">
        <v>121</v>
      </c>
      <c r="B64" s="33" t="s">
        <v>62</v>
      </c>
      <c r="C64" s="33">
        <v>12</v>
      </c>
      <c r="D64" s="31">
        <v>0.3</v>
      </c>
      <c r="G64" s="30" t="s">
        <v>78</v>
      </c>
      <c r="H64" s="133" t="s">
        <v>76</v>
      </c>
      <c r="J64" s="116" t="s">
        <v>81</v>
      </c>
      <c r="L64" s="116" t="str">
        <f t="shared" si="0"/>
        <v>Bioretention without Underdrain2.5H:1V120.3Water Quality Treatment</v>
      </c>
      <c r="M64" s="116" t="s">
        <v>88</v>
      </c>
    </row>
    <row r="65" spans="1:13" x14ac:dyDescent="0.25">
      <c r="A65" s="33" t="s">
        <v>121</v>
      </c>
      <c r="B65" s="33" t="s">
        <v>62</v>
      </c>
      <c r="C65" s="33">
        <v>12</v>
      </c>
      <c r="D65" s="31">
        <v>0.6</v>
      </c>
      <c r="G65" s="30" t="s">
        <v>78</v>
      </c>
      <c r="H65" s="131">
        <v>1.0999999999999999E-2</v>
      </c>
      <c r="I65" s="131">
        <v>0</v>
      </c>
      <c r="L65" s="116" t="str">
        <f t="shared" si="0"/>
        <v>Bioretention without Underdrain2.5H:1V120.6Water Quality Treatment</v>
      </c>
      <c r="M65" s="116" t="s">
        <v>88</v>
      </c>
    </row>
    <row r="66" spans="1:13" x14ac:dyDescent="0.25">
      <c r="A66" s="33" t="s">
        <v>121</v>
      </c>
      <c r="B66" s="33" t="s">
        <v>62</v>
      </c>
      <c r="C66" s="33">
        <v>12</v>
      </c>
      <c r="D66" s="31">
        <v>1</v>
      </c>
      <c r="G66" s="30" t="s">
        <v>78</v>
      </c>
      <c r="H66" s="131">
        <v>0.01</v>
      </c>
      <c r="I66" s="131">
        <v>0</v>
      </c>
      <c r="L66" s="116" t="str">
        <f t="shared" si="0"/>
        <v>Bioretention without Underdrain2.5H:1V121Water Quality Treatment</v>
      </c>
      <c r="M66" s="116" t="s">
        <v>88</v>
      </c>
    </row>
    <row r="67" spans="1:13" x14ac:dyDescent="0.25">
      <c r="A67" s="35" t="s">
        <v>121</v>
      </c>
      <c r="B67" s="35" t="s">
        <v>62</v>
      </c>
      <c r="C67" s="35">
        <v>12</v>
      </c>
      <c r="D67" s="36">
        <v>2.5</v>
      </c>
      <c r="E67" s="121"/>
      <c r="F67" s="121"/>
      <c r="G67" s="37" t="s">
        <v>78</v>
      </c>
      <c r="H67" s="125">
        <v>4.0000000000000001E-3</v>
      </c>
      <c r="I67" s="125">
        <v>0</v>
      </c>
      <c r="J67" s="119"/>
      <c r="K67" s="119"/>
      <c r="L67" s="119" t="str">
        <f t="shared" si="0"/>
        <v>Bioretention without Underdrain2.5H:1V122.5Water Quality Treatment</v>
      </c>
      <c r="M67" s="116" t="s">
        <v>88</v>
      </c>
    </row>
    <row r="68" spans="1:13" x14ac:dyDescent="0.25">
      <c r="A68" s="33" t="s">
        <v>121</v>
      </c>
      <c r="B68" s="33" t="s">
        <v>61</v>
      </c>
      <c r="C68" s="33">
        <v>2</v>
      </c>
      <c r="D68" s="31">
        <v>0.15</v>
      </c>
      <c r="E68" s="30">
        <v>0</v>
      </c>
      <c r="F68" s="30">
        <v>2000</v>
      </c>
      <c r="G68" s="30" t="s">
        <v>8</v>
      </c>
      <c r="H68" s="131" t="s">
        <v>76</v>
      </c>
      <c r="J68" s="116" t="s">
        <v>110</v>
      </c>
      <c r="L68" s="116" t="str">
        <f t="shared" ref="L68:L87" si="1">A68&amp;B68&amp;C68&amp;D68&amp;E68&amp;F68&amp;G68</f>
        <v>Bioretention without UnderdrainVertical20.1502000Pre-developed Pasture Standard</v>
      </c>
      <c r="M68" s="116" t="s">
        <v>88</v>
      </c>
    </row>
    <row r="69" spans="1:13" x14ac:dyDescent="0.25">
      <c r="A69" s="116" t="s">
        <v>121</v>
      </c>
      <c r="B69" s="116" t="s">
        <v>61</v>
      </c>
      <c r="C69" s="116">
        <v>2</v>
      </c>
      <c r="D69" s="31">
        <v>0.15</v>
      </c>
      <c r="E69" s="30">
        <v>2000</v>
      </c>
      <c r="F69" s="30">
        <v>10000</v>
      </c>
      <c r="G69" s="30" t="s">
        <v>8</v>
      </c>
      <c r="H69" s="131" t="s">
        <v>76</v>
      </c>
      <c r="J69" s="116" t="s">
        <v>110</v>
      </c>
      <c r="L69" s="116" t="str">
        <f t="shared" si="1"/>
        <v>Bioretention without UnderdrainVertical20.15200010000Pre-developed Pasture Standard</v>
      </c>
      <c r="M69" s="116" t="s">
        <v>88</v>
      </c>
    </row>
    <row r="70" spans="1:13" x14ac:dyDescent="0.25">
      <c r="A70" s="116" t="s">
        <v>121</v>
      </c>
      <c r="B70" s="116" t="s">
        <v>61</v>
      </c>
      <c r="C70" s="116">
        <v>2</v>
      </c>
      <c r="D70" s="31">
        <v>0.3</v>
      </c>
      <c r="E70" s="30">
        <v>0</v>
      </c>
      <c r="F70" s="30">
        <v>2000</v>
      </c>
      <c r="G70" s="30" t="s">
        <v>8</v>
      </c>
      <c r="H70" s="131" t="s">
        <v>76</v>
      </c>
      <c r="J70" s="116" t="s">
        <v>110</v>
      </c>
      <c r="L70" s="116" t="str">
        <f t="shared" si="1"/>
        <v>Bioretention without UnderdrainVertical20.302000Pre-developed Pasture Standard</v>
      </c>
      <c r="M70" s="116" t="s">
        <v>88</v>
      </c>
    </row>
    <row r="71" spans="1:13" x14ac:dyDescent="0.25">
      <c r="A71" s="116" t="s">
        <v>121</v>
      </c>
      <c r="B71" s="116" t="s">
        <v>61</v>
      </c>
      <c r="C71" s="116">
        <v>2</v>
      </c>
      <c r="D71" s="31">
        <v>0.3</v>
      </c>
      <c r="E71" s="30">
        <v>2000</v>
      </c>
      <c r="F71" s="30">
        <v>10000</v>
      </c>
      <c r="G71" s="30" t="s">
        <v>8</v>
      </c>
      <c r="H71" s="131" t="s">
        <v>76</v>
      </c>
      <c r="J71" s="116" t="s">
        <v>110</v>
      </c>
      <c r="L71" s="116" t="str">
        <f t="shared" si="1"/>
        <v>Bioretention without UnderdrainVertical20.3200010000Pre-developed Pasture Standard</v>
      </c>
      <c r="M71" s="116" t="s">
        <v>88</v>
      </c>
    </row>
    <row r="72" spans="1:13" x14ac:dyDescent="0.25">
      <c r="A72" s="116" t="s">
        <v>121</v>
      </c>
      <c r="B72" s="116" t="s">
        <v>61</v>
      </c>
      <c r="C72" s="116">
        <v>2</v>
      </c>
      <c r="D72" s="31">
        <v>0.6</v>
      </c>
      <c r="E72" s="30">
        <v>0</v>
      </c>
      <c r="F72" s="30">
        <v>2000</v>
      </c>
      <c r="G72" s="30" t="s">
        <v>8</v>
      </c>
      <c r="H72" s="131" t="s">
        <v>76</v>
      </c>
      <c r="J72" s="116" t="s">
        <v>110</v>
      </c>
      <c r="L72" s="116" t="str">
        <f t="shared" si="1"/>
        <v>Bioretention without UnderdrainVertical20.602000Pre-developed Pasture Standard</v>
      </c>
      <c r="M72" s="116" t="s">
        <v>88</v>
      </c>
    </row>
    <row r="73" spans="1:13" x14ac:dyDescent="0.25">
      <c r="A73" s="116" t="s">
        <v>121</v>
      </c>
      <c r="B73" s="116" t="s">
        <v>61</v>
      </c>
      <c r="C73" s="116">
        <v>2</v>
      </c>
      <c r="D73" s="31">
        <v>0.6</v>
      </c>
      <c r="E73" s="30">
        <v>2000</v>
      </c>
      <c r="F73" s="30">
        <v>10000</v>
      </c>
      <c r="G73" s="30" t="s">
        <v>8</v>
      </c>
      <c r="H73" s="131" t="s">
        <v>76</v>
      </c>
      <c r="J73" s="116" t="s">
        <v>110</v>
      </c>
      <c r="L73" s="116" t="str">
        <f t="shared" si="1"/>
        <v>Bioretention without UnderdrainVertical20.6200010000Pre-developed Pasture Standard</v>
      </c>
      <c r="M73" s="116" t="s">
        <v>88</v>
      </c>
    </row>
    <row r="74" spans="1:13" x14ac:dyDescent="0.25">
      <c r="A74" s="116" t="s">
        <v>121</v>
      </c>
      <c r="B74" s="116" t="s">
        <v>61</v>
      </c>
      <c r="C74" s="116">
        <v>2</v>
      </c>
      <c r="D74" s="31">
        <v>1</v>
      </c>
      <c r="E74" s="30">
        <v>0</v>
      </c>
      <c r="F74" s="30">
        <v>2000</v>
      </c>
      <c r="G74" s="30" t="s">
        <v>8</v>
      </c>
      <c r="H74" s="131" t="s">
        <v>76</v>
      </c>
      <c r="J74" s="116" t="s">
        <v>110</v>
      </c>
      <c r="L74" s="116" t="str">
        <f t="shared" si="1"/>
        <v>Bioretention without UnderdrainVertical2102000Pre-developed Pasture Standard</v>
      </c>
      <c r="M74" s="116" t="s">
        <v>88</v>
      </c>
    </row>
    <row r="75" spans="1:13" x14ac:dyDescent="0.25">
      <c r="A75" s="116" t="s">
        <v>121</v>
      </c>
      <c r="B75" s="116" t="s">
        <v>61</v>
      </c>
      <c r="C75" s="116">
        <v>2</v>
      </c>
      <c r="D75" s="31">
        <v>1</v>
      </c>
      <c r="E75" s="30">
        <v>2000</v>
      </c>
      <c r="F75" s="30">
        <v>10000</v>
      </c>
      <c r="G75" s="30" t="s">
        <v>8</v>
      </c>
      <c r="H75" s="131" t="s">
        <v>76</v>
      </c>
      <c r="J75" s="116" t="s">
        <v>110</v>
      </c>
      <c r="L75" s="116" t="str">
        <f t="shared" si="1"/>
        <v>Bioretention without UnderdrainVertical21200010000Pre-developed Pasture Standard</v>
      </c>
      <c r="M75" s="116" t="s">
        <v>88</v>
      </c>
    </row>
    <row r="76" spans="1:13" x14ac:dyDescent="0.25">
      <c r="A76" s="116" t="s">
        <v>121</v>
      </c>
      <c r="B76" s="116" t="s">
        <v>61</v>
      </c>
      <c r="C76" s="116">
        <v>2</v>
      </c>
      <c r="D76" s="31">
        <v>2.5</v>
      </c>
      <c r="E76" s="30">
        <v>0</v>
      </c>
      <c r="F76" s="30">
        <v>2000</v>
      </c>
      <c r="G76" s="30" t="s">
        <v>8</v>
      </c>
      <c r="H76" s="131" t="s">
        <v>76</v>
      </c>
      <c r="J76" s="116" t="s">
        <v>110</v>
      </c>
      <c r="L76" s="116" t="str">
        <f t="shared" si="1"/>
        <v>Bioretention without UnderdrainVertical22.502000Pre-developed Pasture Standard</v>
      </c>
      <c r="M76" s="116" t="s">
        <v>88</v>
      </c>
    </row>
    <row r="77" spans="1:13" x14ac:dyDescent="0.25">
      <c r="A77" s="119" t="s">
        <v>121</v>
      </c>
      <c r="B77" s="119" t="s">
        <v>61</v>
      </c>
      <c r="C77" s="119">
        <v>2</v>
      </c>
      <c r="D77" s="38">
        <v>2.5</v>
      </c>
      <c r="E77" s="37">
        <v>2000</v>
      </c>
      <c r="F77" s="37">
        <v>10000</v>
      </c>
      <c r="G77" s="37" t="s">
        <v>8</v>
      </c>
      <c r="H77" s="125" t="s">
        <v>76</v>
      </c>
      <c r="I77" s="125"/>
      <c r="J77" s="119" t="s">
        <v>110</v>
      </c>
      <c r="K77" s="119"/>
      <c r="L77" s="119" t="str">
        <f t="shared" si="1"/>
        <v>Bioretention without UnderdrainVertical22.5200010000Pre-developed Pasture Standard</v>
      </c>
      <c r="M77" s="116" t="s">
        <v>88</v>
      </c>
    </row>
    <row r="78" spans="1:13" x14ac:dyDescent="0.25">
      <c r="A78" s="116" t="s">
        <v>121</v>
      </c>
      <c r="B78" s="116" t="s">
        <v>61</v>
      </c>
      <c r="C78" s="116">
        <v>2</v>
      </c>
      <c r="D78" s="31">
        <v>0.15</v>
      </c>
      <c r="G78" s="30" t="s">
        <v>77</v>
      </c>
      <c r="H78" s="131" t="s">
        <v>76</v>
      </c>
      <c r="J78" s="116" t="s">
        <v>110</v>
      </c>
      <c r="L78" s="116" t="str">
        <f t="shared" si="1"/>
        <v>Bioretention without UnderdrainVertical20.15Peak Control Standard</v>
      </c>
      <c r="M78" s="116" t="s">
        <v>88</v>
      </c>
    </row>
    <row r="79" spans="1:13" x14ac:dyDescent="0.25">
      <c r="A79" s="116" t="s">
        <v>121</v>
      </c>
      <c r="B79" s="116" t="s">
        <v>61</v>
      </c>
      <c r="C79" s="116">
        <v>2</v>
      </c>
      <c r="D79" s="31">
        <v>0.3</v>
      </c>
      <c r="G79" s="30" t="s">
        <v>77</v>
      </c>
      <c r="H79" s="131" t="s">
        <v>76</v>
      </c>
      <c r="J79" s="116" t="s">
        <v>110</v>
      </c>
      <c r="L79" s="116" t="str">
        <f t="shared" si="1"/>
        <v>Bioretention without UnderdrainVertical20.3Peak Control Standard</v>
      </c>
      <c r="M79" s="116" t="s">
        <v>88</v>
      </c>
    </row>
    <row r="80" spans="1:13" x14ac:dyDescent="0.25">
      <c r="A80" s="116" t="s">
        <v>121</v>
      </c>
      <c r="B80" s="116" t="s">
        <v>61</v>
      </c>
      <c r="C80" s="116">
        <v>2</v>
      </c>
      <c r="D80" s="31">
        <v>0.6</v>
      </c>
      <c r="G80" s="30" t="s">
        <v>77</v>
      </c>
      <c r="H80" s="131" t="s">
        <v>76</v>
      </c>
      <c r="J80" s="116" t="s">
        <v>110</v>
      </c>
      <c r="L80" s="116" t="str">
        <f t="shared" si="1"/>
        <v>Bioretention without UnderdrainVertical20.6Peak Control Standard</v>
      </c>
      <c r="M80" s="116" t="s">
        <v>88</v>
      </c>
    </row>
    <row r="81" spans="1:13" x14ac:dyDescent="0.25">
      <c r="A81" s="116" t="s">
        <v>121</v>
      </c>
      <c r="B81" s="116" t="s">
        <v>61</v>
      </c>
      <c r="C81" s="116">
        <v>2</v>
      </c>
      <c r="D81" s="31">
        <v>1</v>
      </c>
      <c r="G81" s="30" t="s">
        <v>77</v>
      </c>
      <c r="H81" s="131" t="s">
        <v>76</v>
      </c>
      <c r="J81" s="116" t="s">
        <v>110</v>
      </c>
      <c r="L81" s="116" t="str">
        <f t="shared" si="1"/>
        <v>Bioretention without UnderdrainVertical21Peak Control Standard</v>
      </c>
      <c r="M81" s="116" t="s">
        <v>88</v>
      </c>
    </row>
    <row r="82" spans="1:13" x14ac:dyDescent="0.25">
      <c r="A82" s="119" t="s">
        <v>121</v>
      </c>
      <c r="B82" s="119" t="s">
        <v>61</v>
      </c>
      <c r="C82" s="119">
        <v>2</v>
      </c>
      <c r="D82" s="38">
        <v>2.5</v>
      </c>
      <c r="E82" s="121"/>
      <c r="F82" s="121"/>
      <c r="G82" s="37" t="s">
        <v>77</v>
      </c>
      <c r="H82" s="125" t="s">
        <v>76</v>
      </c>
      <c r="I82" s="125"/>
      <c r="J82" s="119" t="s">
        <v>110</v>
      </c>
      <c r="K82" s="119"/>
      <c r="L82" s="119" t="str">
        <f t="shared" si="1"/>
        <v>Bioretention without UnderdrainVertical22.5Peak Control Standard</v>
      </c>
      <c r="M82" s="116" t="s">
        <v>88</v>
      </c>
    </row>
    <row r="83" spans="1:13" x14ac:dyDescent="0.25">
      <c r="A83" s="116" t="s">
        <v>121</v>
      </c>
      <c r="B83" s="116" t="s">
        <v>61</v>
      </c>
      <c r="C83" s="116">
        <v>2</v>
      </c>
      <c r="D83" s="31">
        <v>0.15</v>
      </c>
      <c r="G83" s="30" t="s">
        <v>78</v>
      </c>
      <c r="H83" s="131" t="s">
        <v>76</v>
      </c>
      <c r="J83" s="116" t="s">
        <v>110</v>
      </c>
      <c r="L83" s="116" t="str">
        <f t="shared" si="1"/>
        <v>Bioretention without UnderdrainVertical20.15Water Quality Treatment</v>
      </c>
      <c r="M83" s="116" t="s">
        <v>88</v>
      </c>
    </row>
    <row r="84" spans="1:13" x14ac:dyDescent="0.25">
      <c r="A84" s="116" t="s">
        <v>121</v>
      </c>
      <c r="B84" s="116" t="s">
        <v>61</v>
      </c>
      <c r="C84" s="116">
        <v>2</v>
      </c>
      <c r="D84" s="31">
        <v>0.3</v>
      </c>
      <c r="G84" s="30" t="s">
        <v>78</v>
      </c>
      <c r="H84" s="131" t="s">
        <v>76</v>
      </c>
      <c r="J84" s="116" t="s">
        <v>110</v>
      </c>
      <c r="L84" s="116" t="str">
        <f t="shared" si="1"/>
        <v>Bioretention without UnderdrainVertical20.3Water Quality Treatment</v>
      </c>
      <c r="M84" s="116" t="s">
        <v>88</v>
      </c>
    </row>
    <row r="85" spans="1:13" x14ac:dyDescent="0.25">
      <c r="A85" s="116" t="s">
        <v>121</v>
      </c>
      <c r="B85" s="116" t="s">
        <v>61</v>
      </c>
      <c r="C85" s="116">
        <v>2</v>
      </c>
      <c r="D85" s="31">
        <v>0.6</v>
      </c>
      <c r="G85" s="30" t="s">
        <v>78</v>
      </c>
      <c r="H85" s="131" t="s">
        <v>76</v>
      </c>
      <c r="J85" s="116" t="s">
        <v>110</v>
      </c>
      <c r="L85" s="116" t="str">
        <f t="shared" si="1"/>
        <v>Bioretention without UnderdrainVertical20.6Water Quality Treatment</v>
      </c>
      <c r="M85" s="116" t="s">
        <v>88</v>
      </c>
    </row>
    <row r="86" spans="1:13" x14ac:dyDescent="0.25">
      <c r="A86" s="116" t="s">
        <v>121</v>
      </c>
      <c r="B86" s="116" t="s">
        <v>61</v>
      </c>
      <c r="C86" s="116">
        <v>2</v>
      </c>
      <c r="D86" s="31">
        <v>1</v>
      </c>
      <c r="G86" s="30" t="s">
        <v>78</v>
      </c>
      <c r="H86" s="131" t="s">
        <v>76</v>
      </c>
      <c r="J86" s="116" t="s">
        <v>110</v>
      </c>
      <c r="L86" s="116" t="str">
        <f t="shared" si="1"/>
        <v>Bioretention without UnderdrainVertical21Water Quality Treatment</v>
      </c>
      <c r="M86" s="116" t="s">
        <v>88</v>
      </c>
    </row>
    <row r="87" spans="1:13" x14ac:dyDescent="0.25">
      <c r="A87" s="119" t="s">
        <v>121</v>
      </c>
      <c r="B87" s="119" t="s">
        <v>61</v>
      </c>
      <c r="C87" s="119">
        <v>2</v>
      </c>
      <c r="D87" s="38">
        <v>2.5</v>
      </c>
      <c r="E87" s="121"/>
      <c r="F87" s="121"/>
      <c r="G87" s="37" t="s">
        <v>78</v>
      </c>
      <c r="H87" s="125" t="s">
        <v>76</v>
      </c>
      <c r="I87" s="125"/>
      <c r="J87" s="119" t="s">
        <v>110</v>
      </c>
      <c r="K87" s="119"/>
      <c r="L87" s="119" t="str">
        <f t="shared" si="1"/>
        <v>Bioretention without UnderdrainVertical22.5Water Quality Treatment</v>
      </c>
      <c r="M87" s="116" t="s">
        <v>88</v>
      </c>
    </row>
    <row r="88" spans="1:13" x14ac:dyDescent="0.25">
      <c r="A88" s="33" t="s">
        <v>121</v>
      </c>
      <c r="B88" s="33" t="s">
        <v>61</v>
      </c>
      <c r="C88" s="33">
        <v>6</v>
      </c>
      <c r="D88" s="31">
        <v>0.15</v>
      </c>
      <c r="E88" s="30">
        <v>0</v>
      </c>
      <c r="F88" s="30">
        <v>2000</v>
      </c>
      <c r="G88" s="30" t="s">
        <v>8</v>
      </c>
      <c r="H88" s="131" t="s">
        <v>76</v>
      </c>
      <c r="J88" s="116" t="s">
        <v>81</v>
      </c>
      <c r="L88" s="116" t="str">
        <f t="shared" si="0"/>
        <v>Bioretention without UnderdrainVertical60.1502000Pre-developed Pasture Standard</v>
      </c>
      <c r="M88" s="116" t="s">
        <v>88</v>
      </c>
    </row>
    <row r="89" spans="1:13" x14ac:dyDescent="0.25">
      <c r="A89" s="116" t="s">
        <v>121</v>
      </c>
      <c r="B89" s="116" t="s">
        <v>61</v>
      </c>
      <c r="C89" s="116">
        <v>6</v>
      </c>
      <c r="D89" s="31">
        <v>0.15</v>
      </c>
      <c r="E89" s="30">
        <v>2000</v>
      </c>
      <c r="F89" s="30">
        <v>10000</v>
      </c>
      <c r="G89" s="30" t="s">
        <v>8</v>
      </c>
      <c r="H89" s="131" t="s">
        <v>76</v>
      </c>
      <c r="J89" s="116" t="s">
        <v>81</v>
      </c>
      <c r="L89" s="116" t="str">
        <f t="shared" si="0"/>
        <v>Bioretention without UnderdrainVertical60.15200010000Pre-developed Pasture Standard</v>
      </c>
      <c r="M89" s="116" t="s">
        <v>88</v>
      </c>
    </row>
    <row r="90" spans="1:13" x14ac:dyDescent="0.25">
      <c r="A90" s="116" t="s">
        <v>121</v>
      </c>
      <c r="B90" s="116" t="s">
        <v>61</v>
      </c>
      <c r="C90" s="116">
        <v>6</v>
      </c>
      <c r="D90" s="31">
        <v>0.3</v>
      </c>
      <c r="E90" s="30">
        <v>0</v>
      </c>
      <c r="F90" s="30">
        <v>2000</v>
      </c>
      <c r="G90" s="30" t="s">
        <v>8</v>
      </c>
      <c r="H90" s="131">
        <v>0.158</v>
      </c>
      <c r="I90" s="131">
        <v>0</v>
      </c>
      <c r="L90" s="116" t="str">
        <f t="shared" si="0"/>
        <v>Bioretention without UnderdrainVertical60.302000Pre-developed Pasture Standard</v>
      </c>
      <c r="M90" s="116" t="s">
        <v>88</v>
      </c>
    </row>
    <row r="91" spans="1:13" x14ac:dyDescent="0.25">
      <c r="A91" s="116" t="s">
        <v>121</v>
      </c>
      <c r="B91" s="116" t="s">
        <v>61</v>
      </c>
      <c r="C91" s="116">
        <v>6</v>
      </c>
      <c r="D91" s="31">
        <v>0.3</v>
      </c>
      <c r="E91" s="30">
        <v>2000</v>
      </c>
      <c r="F91" s="30">
        <v>10000</v>
      </c>
      <c r="G91" s="30" t="s">
        <v>8</v>
      </c>
      <c r="H91" s="131">
        <v>9.5699999999999993E-2</v>
      </c>
      <c r="I91" s="131">
        <v>126</v>
      </c>
      <c r="L91" s="116" t="str">
        <f t="shared" si="0"/>
        <v>Bioretention without UnderdrainVertical60.3200010000Pre-developed Pasture Standard</v>
      </c>
      <c r="M91" s="116" t="s">
        <v>88</v>
      </c>
    </row>
    <row r="92" spans="1:13" x14ac:dyDescent="0.25">
      <c r="A92" s="116" t="s">
        <v>121</v>
      </c>
      <c r="B92" s="116" t="s">
        <v>61</v>
      </c>
      <c r="C92" s="116">
        <v>6</v>
      </c>
      <c r="D92" s="31">
        <v>0.6</v>
      </c>
      <c r="E92" s="30">
        <v>0</v>
      </c>
      <c r="F92" s="30">
        <v>2000</v>
      </c>
      <c r="G92" s="30" t="s">
        <v>8</v>
      </c>
      <c r="H92" s="131">
        <v>0.107</v>
      </c>
      <c r="I92" s="131">
        <v>0</v>
      </c>
      <c r="L92" s="116" t="str">
        <f t="shared" si="0"/>
        <v>Bioretention without UnderdrainVertical60.602000Pre-developed Pasture Standard</v>
      </c>
      <c r="M92" s="116" t="s">
        <v>88</v>
      </c>
    </row>
    <row r="93" spans="1:13" x14ac:dyDescent="0.25">
      <c r="A93" s="116" t="s">
        <v>121</v>
      </c>
      <c r="B93" s="116" t="s">
        <v>61</v>
      </c>
      <c r="C93" s="116">
        <v>6</v>
      </c>
      <c r="D93" s="31">
        <v>0.6</v>
      </c>
      <c r="E93" s="30">
        <v>2000</v>
      </c>
      <c r="F93" s="30">
        <v>10000</v>
      </c>
      <c r="G93" s="30" t="s">
        <v>8</v>
      </c>
      <c r="H93" s="131">
        <v>6.7100000000000007E-2</v>
      </c>
      <c r="I93" s="131">
        <v>81.2</v>
      </c>
      <c r="L93" s="116" t="str">
        <f t="shared" ref="L93:L127" si="2">A93&amp;B93&amp;C93&amp;D93&amp;E93&amp;F93&amp;G93</f>
        <v>Bioretention without UnderdrainVertical60.6200010000Pre-developed Pasture Standard</v>
      </c>
      <c r="M93" s="116" t="s">
        <v>88</v>
      </c>
    </row>
    <row r="94" spans="1:13" x14ac:dyDescent="0.25">
      <c r="A94" s="116" t="s">
        <v>121</v>
      </c>
      <c r="B94" s="116" t="s">
        <v>61</v>
      </c>
      <c r="C94" s="116">
        <v>6</v>
      </c>
      <c r="D94" s="31">
        <v>1</v>
      </c>
      <c r="E94" s="30">
        <v>0</v>
      </c>
      <c r="F94" s="30">
        <v>2000</v>
      </c>
      <c r="G94" s="30" t="s">
        <v>8</v>
      </c>
      <c r="H94" s="131">
        <v>9.2999999999999999E-2</v>
      </c>
      <c r="I94" s="131">
        <v>0</v>
      </c>
      <c r="L94" s="116" t="str">
        <f t="shared" si="2"/>
        <v>Bioretention without UnderdrainVertical6102000Pre-developed Pasture Standard</v>
      </c>
      <c r="M94" s="116" t="s">
        <v>88</v>
      </c>
    </row>
    <row r="95" spans="1:13" x14ac:dyDescent="0.25">
      <c r="A95" s="116" t="s">
        <v>121</v>
      </c>
      <c r="B95" s="116" t="s">
        <v>61</v>
      </c>
      <c r="C95" s="116">
        <v>6</v>
      </c>
      <c r="D95" s="31">
        <v>1</v>
      </c>
      <c r="E95" s="30">
        <v>2000</v>
      </c>
      <c r="F95" s="30">
        <v>10000</v>
      </c>
      <c r="G95" s="30" t="s">
        <v>8</v>
      </c>
      <c r="H95" s="131">
        <v>5.8500000000000003E-2</v>
      </c>
      <c r="I95" s="131">
        <v>70.5</v>
      </c>
      <c r="L95" s="116" t="str">
        <f t="shared" si="2"/>
        <v>Bioretention without UnderdrainVertical61200010000Pre-developed Pasture Standard</v>
      </c>
      <c r="M95" s="116" t="s">
        <v>88</v>
      </c>
    </row>
    <row r="96" spans="1:13" x14ac:dyDescent="0.25">
      <c r="A96" s="116" t="s">
        <v>121</v>
      </c>
      <c r="B96" s="116" t="s">
        <v>61</v>
      </c>
      <c r="C96" s="116">
        <v>6</v>
      </c>
      <c r="D96" s="31">
        <v>2.5</v>
      </c>
      <c r="E96" s="30">
        <v>0</v>
      </c>
      <c r="F96" s="30">
        <v>2000</v>
      </c>
      <c r="G96" s="30" t="s">
        <v>8</v>
      </c>
      <c r="H96" s="131">
        <v>4.1000000000000002E-2</v>
      </c>
      <c r="I96" s="131">
        <v>0</v>
      </c>
      <c r="L96" s="116" t="str">
        <f t="shared" si="2"/>
        <v>Bioretention without UnderdrainVertical62.502000Pre-developed Pasture Standard</v>
      </c>
      <c r="M96" s="116" t="s">
        <v>88</v>
      </c>
    </row>
    <row r="97" spans="1:13" x14ac:dyDescent="0.25">
      <c r="A97" s="119" t="s">
        <v>121</v>
      </c>
      <c r="B97" s="119" t="s">
        <v>61</v>
      </c>
      <c r="C97" s="119">
        <v>6</v>
      </c>
      <c r="D97" s="38">
        <v>2.5</v>
      </c>
      <c r="E97" s="37">
        <v>2000</v>
      </c>
      <c r="F97" s="37">
        <v>10000</v>
      </c>
      <c r="G97" s="37" t="s">
        <v>8</v>
      </c>
      <c r="H97" s="125">
        <v>2.6200000000000001E-2</v>
      </c>
      <c r="I97" s="125">
        <v>30.4</v>
      </c>
      <c r="J97" s="119"/>
      <c r="K97" s="119"/>
      <c r="L97" s="119" t="str">
        <f t="shared" si="2"/>
        <v>Bioretention without UnderdrainVertical62.5200010000Pre-developed Pasture Standard</v>
      </c>
      <c r="M97" s="116" t="s">
        <v>88</v>
      </c>
    </row>
    <row r="98" spans="1:13" x14ac:dyDescent="0.25">
      <c r="A98" s="116" t="s">
        <v>121</v>
      </c>
      <c r="B98" s="116" t="s">
        <v>61</v>
      </c>
      <c r="C98" s="116">
        <v>6</v>
      </c>
      <c r="D98" s="31">
        <v>0.15</v>
      </c>
      <c r="G98" s="30" t="s">
        <v>77</v>
      </c>
      <c r="H98" s="131" t="s">
        <v>76</v>
      </c>
      <c r="J98" s="116" t="s">
        <v>81</v>
      </c>
      <c r="L98" s="116" t="str">
        <f t="shared" si="2"/>
        <v>Bioretention without UnderdrainVertical60.15Peak Control Standard</v>
      </c>
      <c r="M98" s="116" t="s">
        <v>88</v>
      </c>
    </row>
    <row r="99" spans="1:13" x14ac:dyDescent="0.25">
      <c r="A99" s="116" t="s">
        <v>121</v>
      </c>
      <c r="B99" s="116" t="s">
        <v>61</v>
      </c>
      <c r="C99" s="116">
        <v>6</v>
      </c>
      <c r="D99" s="31">
        <v>0.3</v>
      </c>
      <c r="G99" s="30" t="s">
        <v>77</v>
      </c>
      <c r="H99" s="131">
        <v>0.16800000000000001</v>
      </c>
      <c r="I99" s="131">
        <v>0</v>
      </c>
      <c r="L99" s="116" t="str">
        <f t="shared" si="2"/>
        <v>Bioretention without UnderdrainVertical60.3Peak Control Standard</v>
      </c>
      <c r="M99" s="116" t="s">
        <v>88</v>
      </c>
    </row>
    <row r="100" spans="1:13" x14ac:dyDescent="0.25">
      <c r="A100" s="116" t="s">
        <v>121</v>
      </c>
      <c r="B100" s="116" t="s">
        <v>61</v>
      </c>
      <c r="C100" s="116">
        <v>6</v>
      </c>
      <c r="D100" s="31">
        <v>0.6</v>
      </c>
      <c r="G100" s="30" t="s">
        <v>77</v>
      </c>
      <c r="H100" s="131">
        <v>0.13300000000000001</v>
      </c>
      <c r="I100" s="131">
        <v>0</v>
      </c>
      <c r="L100" s="116" t="str">
        <f t="shared" si="2"/>
        <v>Bioretention without UnderdrainVertical60.6Peak Control Standard</v>
      </c>
      <c r="M100" s="116" t="s">
        <v>88</v>
      </c>
    </row>
    <row r="101" spans="1:13" x14ac:dyDescent="0.25">
      <c r="A101" s="116" t="s">
        <v>121</v>
      </c>
      <c r="B101" s="116" t="s">
        <v>61</v>
      </c>
      <c r="C101" s="116">
        <v>6</v>
      </c>
      <c r="D101" s="31">
        <v>1</v>
      </c>
      <c r="G101" s="30" t="s">
        <v>77</v>
      </c>
      <c r="H101" s="131">
        <v>0.11899999999999999</v>
      </c>
      <c r="I101" s="131">
        <v>0</v>
      </c>
      <c r="L101" s="116" t="str">
        <f t="shared" si="2"/>
        <v>Bioretention without UnderdrainVertical61Peak Control Standard</v>
      </c>
      <c r="M101" s="116" t="s">
        <v>88</v>
      </c>
    </row>
    <row r="102" spans="1:13" x14ac:dyDescent="0.25">
      <c r="A102" s="119" t="s">
        <v>121</v>
      </c>
      <c r="B102" s="119" t="s">
        <v>61</v>
      </c>
      <c r="C102" s="119">
        <v>6</v>
      </c>
      <c r="D102" s="38">
        <v>2.5</v>
      </c>
      <c r="E102" s="121"/>
      <c r="F102" s="121"/>
      <c r="G102" s="37" t="s">
        <v>77</v>
      </c>
      <c r="H102" s="125">
        <v>6.6000000000000003E-2</v>
      </c>
      <c r="I102" s="125">
        <v>0</v>
      </c>
      <c r="J102" s="119"/>
      <c r="K102" s="119"/>
      <c r="L102" s="119" t="str">
        <f t="shared" si="2"/>
        <v>Bioretention without UnderdrainVertical62.5Peak Control Standard</v>
      </c>
      <c r="M102" s="116" t="s">
        <v>88</v>
      </c>
    </row>
    <row r="103" spans="1:13" x14ac:dyDescent="0.25">
      <c r="A103" s="116" t="s">
        <v>121</v>
      </c>
      <c r="B103" s="116" t="s">
        <v>61</v>
      </c>
      <c r="C103" s="116">
        <v>6</v>
      </c>
      <c r="D103" s="31">
        <v>0.15</v>
      </c>
      <c r="G103" s="30" t="s">
        <v>78</v>
      </c>
      <c r="H103" s="131" t="s">
        <v>76</v>
      </c>
      <c r="J103" s="116" t="s">
        <v>81</v>
      </c>
      <c r="L103" s="116" t="str">
        <f t="shared" si="2"/>
        <v>Bioretention without UnderdrainVertical60.15Water Quality Treatment</v>
      </c>
      <c r="M103" s="116" t="s">
        <v>88</v>
      </c>
    </row>
    <row r="104" spans="1:13" x14ac:dyDescent="0.25">
      <c r="A104" s="116" t="s">
        <v>121</v>
      </c>
      <c r="B104" s="116" t="s">
        <v>61</v>
      </c>
      <c r="C104" s="116">
        <v>6</v>
      </c>
      <c r="D104" s="31">
        <v>0.3</v>
      </c>
      <c r="G104" s="30" t="s">
        <v>78</v>
      </c>
      <c r="H104" s="131">
        <v>5.5E-2</v>
      </c>
      <c r="I104" s="131">
        <v>0</v>
      </c>
      <c r="L104" s="116" t="str">
        <f t="shared" si="2"/>
        <v>Bioretention without UnderdrainVertical60.3Water Quality Treatment</v>
      </c>
      <c r="M104" s="116" t="s">
        <v>88</v>
      </c>
    </row>
    <row r="105" spans="1:13" x14ac:dyDescent="0.25">
      <c r="A105" s="116" t="s">
        <v>121</v>
      </c>
      <c r="B105" s="116" t="s">
        <v>61</v>
      </c>
      <c r="C105" s="116">
        <v>6</v>
      </c>
      <c r="D105" s="31">
        <v>0.6</v>
      </c>
      <c r="G105" s="30" t="s">
        <v>78</v>
      </c>
      <c r="H105" s="131">
        <v>3.6999999999999998E-2</v>
      </c>
      <c r="I105" s="131">
        <v>0</v>
      </c>
      <c r="L105" s="116" t="str">
        <f t="shared" si="2"/>
        <v>Bioretention without UnderdrainVertical60.6Water Quality Treatment</v>
      </c>
      <c r="M105" s="116" t="s">
        <v>88</v>
      </c>
    </row>
    <row r="106" spans="1:13" x14ac:dyDescent="0.25">
      <c r="A106" s="116" t="s">
        <v>121</v>
      </c>
      <c r="B106" s="116" t="s">
        <v>61</v>
      </c>
      <c r="C106" s="116">
        <v>6</v>
      </c>
      <c r="D106" s="31">
        <v>1</v>
      </c>
      <c r="G106" s="30" t="s">
        <v>78</v>
      </c>
      <c r="H106" s="131">
        <v>3.2000000000000001E-2</v>
      </c>
      <c r="I106" s="131">
        <v>0</v>
      </c>
      <c r="L106" s="116" t="str">
        <f t="shared" si="2"/>
        <v>Bioretention without UnderdrainVertical61Water Quality Treatment</v>
      </c>
      <c r="M106" s="116" t="s">
        <v>88</v>
      </c>
    </row>
    <row r="107" spans="1:13" x14ac:dyDescent="0.25">
      <c r="A107" s="119" t="s">
        <v>121</v>
      </c>
      <c r="B107" s="119" t="s">
        <v>61</v>
      </c>
      <c r="C107" s="119">
        <v>6</v>
      </c>
      <c r="D107" s="38">
        <v>2.5</v>
      </c>
      <c r="E107" s="121"/>
      <c r="F107" s="121"/>
      <c r="G107" s="37" t="s">
        <v>78</v>
      </c>
      <c r="H107" s="125">
        <v>1.4E-2</v>
      </c>
      <c r="I107" s="125">
        <v>0</v>
      </c>
      <c r="J107" s="119"/>
      <c r="K107" s="119"/>
      <c r="L107" s="119" t="str">
        <f t="shared" si="2"/>
        <v>Bioretention without UnderdrainVertical62.5Water Quality Treatment</v>
      </c>
      <c r="M107" s="116" t="s">
        <v>88</v>
      </c>
    </row>
    <row r="108" spans="1:13" x14ac:dyDescent="0.25">
      <c r="A108" s="33" t="s">
        <v>121</v>
      </c>
      <c r="B108" s="33" t="s">
        <v>61</v>
      </c>
      <c r="C108" s="33">
        <v>12</v>
      </c>
      <c r="D108" s="31">
        <v>0.15</v>
      </c>
      <c r="E108" s="30">
        <v>0</v>
      </c>
      <c r="F108" s="30">
        <v>2000</v>
      </c>
      <c r="G108" s="30" t="s">
        <v>8</v>
      </c>
      <c r="H108" s="131" t="s">
        <v>76</v>
      </c>
      <c r="J108" s="116" t="s">
        <v>81</v>
      </c>
      <c r="L108" s="116" t="str">
        <f t="shared" si="2"/>
        <v>Bioretention without UnderdrainVertical120.1502000Pre-developed Pasture Standard</v>
      </c>
      <c r="M108" s="116" t="s">
        <v>88</v>
      </c>
    </row>
    <row r="109" spans="1:13" x14ac:dyDescent="0.25">
      <c r="A109" s="116" t="s">
        <v>121</v>
      </c>
      <c r="B109" s="116" t="s">
        <v>61</v>
      </c>
      <c r="C109" s="116">
        <v>12</v>
      </c>
      <c r="D109" s="31">
        <v>0.15</v>
      </c>
      <c r="E109" s="30">
        <v>2000</v>
      </c>
      <c r="F109" s="30">
        <v>10000</v>
      </c>
      <c r="G109" s="30" t="s">
        <v>8</v>
      </c>
      <c r="H109" s="131" t="s">
        <v>76</v>
      </c>
      <c r="J109" s="116" t="s">
        <v>81</v>
      </c>
      <c r="L109" s="116" t="str">
        <f t="shared" si="2"/>
        <v>Bioretention without UnderdrainVertical120.15200010000Pre-developed Pasture Standard</v>
      </c>
      <c r="M109" s="116" t="s">
        <v>88</v>
      </c>
    </row>
    <row r="110" spans="1:13" x14ac:dyDescent="0.25">
      <c r="A110" s="116" t="s">
        <v>121</v>
      </c>
      <c r="B110" s="116" t="s">
        <v>61</v>
      </c>
      <c r="C110" s="116">
        <v>12</v>
      </c>
      <c r="D110" s="31">
        <v>0.3</v>
      </c>
      <c r="E110" s="30">
        <v>0</v>
      </c>
      <c r="F110" s="30">
        <v>2000</v>
      </c>
      <c r="G110" s="30" t="s">
        <v>8</v>
      </c>
      <c r="H110" s="131" t="s">
        <v>76</v>
      </c>
      <c r="J110" s="116" t="s">
        <v>81</v>
      </c>
      <c r="L110" s="116" t="str">
        <f t="shared" si="2"/>
        <v>Bioretention without UnderdrainVertical120.302000Pre-developed Pasture Standard</v>
      </c>
      <c r="M110" s="116" t="s">
        <v>88</v>
      </c>
    </row>
    <row r="111" spans="1:13" x14ac:dyDescent="0.25">
      <c r="A111" s="116" t="s">
        <v>121</v>
      </c>
      <c r="B111" s="116" t="s">
        <v>61</v>
      </c>
      <c r="C111" s="116">
        <v>12</v>
      </c>
      <c r="D111" s="31">
        <v>0.3</v>
      </c>
      <c r="E111" s="30">
        <v>2000</v>
      </c>
      <c r="F111" s="30">
        <v>10000</v>
      </c>
      <c r="G111" s="30" t="s">
        <v>8</v>
      </c>
      <c r="H111" s="131" t="s">
        <v>76</v>
      </c>
      <c r="J111" s="116" t="s">
        <v>81</v>
      </c>
      <c r="L111" s="116" t="str">
        <f t="shared" si="2"/>
        <v>Bioretention without UnderdrainVertical120.3200010000Pre-developed Pasture Standard</v>
      </c>
      <c r="M111" s="116" t="s">
        <v>88</v>
      </c>
    </row>
    <row r="112" spans="1:13" x14ac:dyDescent="0.25">
      <c r="A112" s="116" t="s">
        <v>121</v>
      </c>
      <c r="B112" s="116" t="s">
        <v>61</v>
      </c>
      <c r="C112" s="116">
        <v>12</v>
      </c>
      <c r="D112" s="31">
        <v>0.6</v>
      </c>
      <c r="E112" s="30">
        <v>0</v>
      </c>
      <c r="F112" s="30">
        <v>2000</v>
      </c>
      <c r="G112" s="30" t="s">
        <v>8</v>
      </c>
      <c r="H112" s="131">
        <v>8.1000000000000003E-2</v>
      </c>
      <c r="I112" s="131">
        <v>0</v>
      </c>
      <c r="L112" s="116" t="str">
        <f t="shared" si="2"/>
        <v>Bioretention without UnderdrainVertical120.602000Pre-developed Pasture Standard</v>
      </c>
      <c r="M112" s="116" t="s">
        <v>88</v>
      </c>
    </row>
    <row r="113" spans="1:13" x14ac:dyDescent="0.25">
      <c r="A113" s="116" t="s">
        <v>121</v>
      </c>
      <c r="B113" s="116" t="s">
        <v>61</v>
      </c>
      <c r="C113" s="116">
        <v>12</v>
      </c>
      <c r="D113" s="31">
        <v>0.6</v>
      </c>
      <c r="E113" s="30">
        <v>2000</v>
      </c>
      <c r="F113" s="30">
        <v>10000</v>
      </c>
      <c r="G113" s="30" t="s">
        <v>8</v>
      </c>
      <c r="H113" s="131">
        <v>5.1799999999999999E-2</v>
      </c>
      <c r="I113" s="131">
        <v>57.6</v>
      </c>
      <c r="L113" s="116" t="str">
        <f t="shared" si="2"/>
        <v>Bioretention without UnderdrainVertical120.6200010000Pre-developed Pasture Standard</v>
      </c>
      <c r="M113" s="116" t="s">
        <v>88</v>
      </c>
    </row>
    <row r="114" spans="1:13" x14ac:dyDescent="0.25">
      <c r="A114" s="116" t="s">
        <v>121</v>
      </c>
      <c r="B114" s="116" t="s">
        <v>61</v>
      </c>
      <c r="C114" s="116">
        <v>12</v>
      </c>
      <c r="D114" s="31">
        <v>1</v>
      </c>
      <c r="E114" s="30">
        <v>0</v>
      </c>
      <c r="F114" s="30">
        <v>2000</v>
      </c>
      <c r="G114" s="30" t="s">
        <v>8</v>
      </c>
      <c r="H114" s="131">
        <v>7.0000000000000007E-2</v>
      </c>
      <c r="I114" s="131">
        <v>0</v>
      </c>
      <c r="L114" s="116" t="str">
        <f t="shared" si="2"/>
        <v>Bioretention without UnderdrainVertical12102000Pre-developed Pasture Standard</v>
      </c>
      <c r="M114" s="116" t="s">
        <v>88</v>
      </c>
    </row>
    <row r="115" spans="1:13" x14ac:dyDescent="0.25">
      <c r="A115" s="116" t="s">
        <v>121</v>
      </c>
      <c r="B115" s="116" t="s">
        <v>61</v>
      </c>
      <c r="C115" s="116">
        <v>12</v>
      </c>
      <c r="D115" s="31">
        <v>1</v>
      </c>
      <c r="E115" s="30">
        <v>2000</v>
      </c>
      <c r="F115" s="30">
        <v>10000</v>
      </c>
      <c r="G115" s="30" t="s">
        <v>8</v>
      </c>
      <c r="H115" s="131">
        <v>4.5400000000000003E-2</v>
      </c>
      <c r="I115" s="131">
        <v>49.4</v>
      </c>
      <c r="L115" s="116" t="str">
        <f t="shared" si="2"/>
        <v>Bioretention without UnderdrainVertical121200010000Pre-developed Pasture Standard</v>
      </c>
      <c r="M115" s="116" t="s">
        <v>88</v>
      </c>
    </row>
    <row r="116" spans="1:13" x14ac:dyDescent="0.25">
      <c r="A116" s="116" t="s">
        <v>121</v>
      </c>
      <c r="B116" s="116" t="s">
        <v>61</v>
      </c>
      <c r="C116" s="116">
        <v>12</v>
      </c>
      <c r="D116" s="31">
        <v>2.5</v>
      </c>
      <c r="E116" s="30">
        <v>0</v>
      </c>
      <c r="F116" s="30">
        <v>2000</v>
      </c>
      <c r="G116" s="30" t="s">
        <v>8</v>
      </c>
      <c r="H116" s="131">
        <v>0.03</v>
      </c>
      <c r="I116" s="131">
        <v>0</v>
      </c>
      <c r="L116" s="116" t="str">
        <f t="shared" si="2"/>
        <v>Bioretention without UnderdrainVertical122.502000Pre-developed Pasture Standard</v>
      </c>
      <c r="M116" s="116" t="s">
        <v>88</v>
      </c>
    </row>
    <row r="117" spans="1:13" x14ac:dyDescent="0.25">
      <c r="A117" s="119" t="s">
        <v>121</v>
      </c>
      <c r="B117" s="119" t="s">
        <v>61</v>
      </c>
      <c r="C117" s="119">
        <v>12</v>
      </c>
      <c r="D117" s="38">
        <v>2.5</v>
      </c>
      <c r="E117" s="37">
        <v>2000</v>
      </c>
      <c r="F117" s="37">
        <v>10000</v>
      </c>
      <c r="G117" s="37" t="s">
        <v>8</v>
      </c>
      <c r="H117" s="125">
        <v>2.1299999999999999E-2</v>
      </c>
      <c r="I117" s="125">
        <v>18.600000000000001</v>
      </c>
      <c r="J117" s="119"/>
      <c r="K117" s="119"/>
      <c r="L117" s="119" t="str">
        <f t="shared" si="2"/>
        <v>Bioretention without UnderdrainVertical122.5200010000Pre-developed Pasture Standard</v>
      </c>
      <c r="M117" s="116" t="s">
        <v>88</v>
      </c>
    </row>
    <row r="118" spans="1:13" x14ac:dyDescent="0.25">
      <c r="A118" s="116" t="s">
        <v>121</v>
      </c>
      <c r="B118" s="116" t="s">
        <v>61</v>
      </c>
      <c r="C118" s="116">
        <v>12</v>
      </c>
      <c r="D118" s="31">
        <v>0.15</v>
      </c>
      <c r="G118" s="30" t="s">
        <v>77</v>
      </c>
      <c r="H118" s="131" t="s">
        <v>76</v>
      </c>
      <c r="J118" s="116" t="s">
        <v>81</v>
      </c>
      <c r="L118" s="116" t="str">
        <f t="shared" si="2"/>
        <v>Bioretention without UnderdrainVertical120.15Peak Control Standard</v>
      </c>
      <c r="M118" s="116" t="s">
        <v>88</v>
      </c>
    </row>
    <row r="119" spans="1:13" x14ac:dyDescent="0.25">
      <c r="A119" s="116" t="s">
        <v>121</v>
      </c>
      <c r="B119" s="116" t="s">
        <v>61</v>
      </c>
      <c r="C119" s="116">
        <v>12</v>
      </c>
      <c r="D119" s="31">
        <v>0.3</v>
      </c>
      <c r="G119" s="30" t="s">
        <v>77</v>
      </c>
      <c r="H119" s="131" t="s">
        <v>76</v>
      </c>
      <c r="J119" s="116" t="s">
        <v>81</v>
      </c>
      <c r="L119" s="116" t="str">
        <f t="shared" si="2"/>
        <v>Bioretention without UnderdrainVertical120.3Peak Control Standard</v>
      </c>
      <c r="M119" s="116" t="s">
        <v>88</v>
      </c>
    </row>
    <row r="120" spans="1:13" x14ac:dyDescent="0.25">
      <c r="A120" s="116" t="s">
        <v>121</v>
      </c>
      <c r="B120" s="116" t="s">
        <v>61</v>
      </c>
      <c r="C120" s="116">
        <v>12</v>
      </c>
      <c r="D120" s="31">
        <v>0.6</v>
      </c>
      <c r="G120" s="30" t="s">
        <v>77</v>
      </c>
      <c r="H120" s="131">
        <v>9.7000000000000003E-2</v>
      </c>
      <c r="I120" s="131">
        <v>0</v>
      </c>
      <c r="L120" s="116" t="str">
        <f t="shared" si="2"/>
        <v>Bioretention without UnderdrainVertical120.6Peak Control Standard</v>
      </c>
      <c r="M120" s="116" t="s">
        <v>88</v>
      </c>
    </row>
    <row r="121" spans="1:13" x14ac:dyDescent="0.25">
      <c r="A121" s="116" t="s">
        <v>121</v>
      </c>
      <c r="B121" s="116" t="s">
        <v>61</v>
      </c>
      <c r="C121" s="116">
        <v>12</v>
      </c>
      <c r="D121" s="31">
        <v>1</v>
      </c>
      <c r="G121" s="30" t="s">
        <v>77</v>
      </c>
      <c r="H121" s="131">
        <v>8.5999999999999993E-2</v>
      </c>
      <c r="I121" s="131">
        <v>0</v>
      </c>
      <c r="L121" s="116" t="str">
        <f t="shared" si="2"/>
        <v>Bioretention without UnderdrainVertical121Peak Control Standard</v>
      </c>
      <c r="M121" s="116" t="s">
        <v>88</v>
      </c>
    </row>
    <row r="122" spans="1:13" x14ac:dyDescent="0.25">
      <c r="A122" s="119" t="s">
        <v>121</v>
      </c>
      <c r="B122" s="119" t="s">
        <v>61</v>
      </c>
      <c r="C122" s="119">
        <v>12</v>
      </c>
      <c r="D122" s="38">
        <v>2.5</v>
      </c>
      <c r="E122" s="121"/>
      <c r="F122" s="121"/>
      <c r="G122" s="37" t="s">
        <v>77</v>
      </c>
      <c r="H122" s="125">
        <v>4.5999999999999999E-2</v>
      </c>
      <c r="I122" s="125">
        <v>0</v>
      </c>
      <c r="J122" s="119"/>
      <c r="K122" s="119"/>
      <c r="L122" s="119" t="str">
        <f t="shared" si="2"/>
        <v>Bioretention without UnderdrainVertical122.5Peak Control Standard</v>
      </c>
      <c r="M122" s="116" t="s">
        <v>88</v>
      </c>
    </row>
    <row r="123" spans="1:13" x14ac:dyDescent="0.25">
      <c r="A123" s="116" t="s">
        <v>121</v>
      </c>
      <c r="B123" s="116" t="s">
        <v>61</v>
      </c>
      <c r="C123" s="116">
        <v>12</v>
      </c>
      <c r="D123" s="31">
        <v>0.15</v>
      </c>
      <c r="G123" s="30" t="s">
        <v>78</v>
      </c>
      <c r="H123" s="131" t="s">
        <v>76</v>
      </c>
      <c r="J123" s="116" t="s">
        <v>81</v>
      </c>
      <c r="L123" s="116" t="str">
        <f t="shared" si="2"/>
        <v>Bioretention without UnderdrainVertical120.15Water Quality Treatment</v>
      </c>
      <c r="M123" s="116" t="s">
        <v>88</v>
      </c>
    </row>
    <row r="124" spans="1:13" x14ac:dyDescent="0.25">
      <c r="A124" s="116" t="s">
        <v>121</v>
      </c>
      <c r="B124" s="116" t="s">
        <v>61</v>
      </c>
      <c r="C124" s="116">
        <v>12</v>
      </c>
      <c r="D124" s="31">
        <v>0.3</v>
      </c>
      <c r="G124" s="30" t="s">
        <v>78</v>
      </c>
      <c r="H124" s="131" t="s">
        <v>76</v>
      </c>
      <c r="J124" s="116" t="s">
        <v>81</v>
      </c>
      <c r="L124" s="116" t="str">
        <f>A124&amp;B124&amp;C124&amp;D124&amp;E124&amp;F124&amp;G124</f>
        <v>Bioretention without UnderdrainVertical120.3Water Quality Treatment</v>
      </c>
      <c r="M124" s="116" t="s">
        <v>88</v>
      </c>
    </row>
    <row r="125" spans="1:13" x14ac:dyDescent="0.25">
      <c r="A125" s="116" t="s">
        <v>121</v>
      </c>
      <c r="B125" s="116" t="s">
        <v>61</v>
      </c>
      <c r="C125" s="116">
        <v>12</v>
      </c>
      <c r="D125" s="31">
        <v>0.6</v>
      </c>
      <c r="G125" s="30" t="s">
        <v>78</v>
      </c>
      <c r="H125" s="131">
        <v>2.8000000000000001E-2</v>
      </c>
      <c r="I125" s="131">
        <v>0</v>
      </c>
      <c r="L125" s="116" t="str">
        <f t="shared" si="2"/>
        <v>Bioretention without UnderdrainVertical120.6Water Quality Treatment</v>
      </c>
      <c r="M125" s="116" t="s">
        <v>88</v>
      </c>
    </row>
    <row r="126" spans="1:13" x14ac:dyDescent="0.25">
      <c r="A126" s="116" t="s">
        <v>121</v>
      </c>
      <c r="B126" s="116" t="s">
        <v>61</v>
      </c>
      <c r="C126" s="116">
        <v>12</v>
      </c>
      <c r="D126" s="31">
        <v>1</v>
      </c>
      <c r="G126" s="30" t="s">
        <v>78</v>
      </c>
      <c r="H126" s="131">
        <v>2.5000000000000001E-2</v>
      </c>
      <c r="I126" s="131">
        <v>0</v>
      </c>
      <c r="L126" s="116" t="str">
        <f t="shared" si="2"/>
        <v>Bioretention without UnderdrainVertical121Water Quality Treatment</v>
      </c>
      <c r="M126" s="116" t="s">
        <v>88</v>
      </c>
    </row>
    <row r="127" spans="1:13" x14ac:dyDescent="0.25">
      <c r="A127" s="116" t="s">
        <v>121</v>
      </c>
      <c r="B127" s="116" t="s">
        <v>61</v>
      </c>
      <c r="C127" s="116">
        <v>12</v>
      </c>
      <c r="D127" s="31">
        <v>2.5</v>
      </c>
      <c r="G127" s="30" t="s">
        <v>78</v>
      </c>
      <c r="H127" s="131">
        <v>1.0999999999999999E-2</v>
      </c>
      <c r="I127" s="131">
        <v>0</v>
      </c>
      <c r="L127" s="116" t="str">
        <f t="shared" si="2"/>
        <v>Bioretention without UnderdrainVertical122.5Water Quality Treatment</v>
      </c>
      <c r="M127" s="116" t="s">
        <v>88</v>
      </c>
    </row>
    <row r="128" spans="1:13" s="117" customFormat="1" x14ac:dyDescent="0.25">
      <c r="D128" s="44"/>
      <c r="E128" s="122"/>
      <c r="F128" s="122"/>
      <c r="G128" s="45"/>
      <c r="H128" s="134"/>
      <c r="I128" s="134"/>
    </row>
    <row r="129" spans="1:12" x14ac:dyDescent="0.25">
      <c r="A129" s="118" t="s">
        <v>156</v>
      </c>
      <c r="B129" s="119"/>
      <c r="C129" s="119"/>
      <c r="D129" s="38"/>
      <c r="E129" s="121"/>
      <c r="F129" s="121"/>
      <c r="G129" s="37"/>
      <c r="H129" s="125"/>
      <c r="I129" s="125"/>
      <c r="J129" s="119"/>
      <c r="K129" s="119"/>
      <c r="L129" s="119"/>
    </row>
    <row r="130" spans="1:12" ht="60" x14ac:dyDescent="0.25">
      <c r="A130" s="39" t="s">
        <v>74</v>
      </c>
      <c r="B130" s="39"/>
      <c r="C130" s="39" t="s">
        <v>90</v>
      </c>
      <c r="D130" s="39" t="s">
        <v>92</v>
      </c>
      <c r="E130" s="49" t="s">
        <v>117</v>
      </c>
      <c r="F130" s="49" t="s">
        <v>118</v>
      </c>
      <c r="G130" s="39" t="s">
        <v>85</v>
      </c>
      <c r="H130" s="39" t="s">
        <v>79</v>
      </c>
      <c r="I130" s="39" t="s">
        <v>80</v>
      </c>
      <c r="J130" s="39" t="s">
        <v>82</v>
      </c>
      <c r="K130" s="39"/>
      <c r="L130" s="39" t="s">
        <v>86</v>
      </c>
    </row>
    <row r="131" spans="1:12" x14ac:dyDescent="0.25">
      <c r="A131" s="117" t="s">
        <v>32</v>
      </c>
      <c r="B131" s="117"/>
      <c r="C131" s="117">
        <v>1.5</v>
      </c>
      <c r="D131" s="44">
        <v>1</v>
      </c>
      <c r="E131" s="122">
        <v>0</v>
      </c>
      <c r="F131" s="122">
        <v>2000</v>
      </c>
      <c r="G131" s="45" t="s">
        <v>8</v>
      </c>
      <c r="H131" s="134">
        <v>0.12</v>
      </c>
      <c r="I131" s="134">
        <v>0</v>
      </c>
      <c r="J131" s="117"/>
      <c r="K131" s="117"/>
      <c r="L131" s="117" t="str">
        <f>A131&amp;C131&amp;D131&amp;E131&amp;F131&amp;G131</f>
        <v>Infiltration Trench1.5102000Pre-developed Pasture Standard</v>
      </c>
    </row>
    <row r="132" spans="1:12" x14ac:dyDescent="0.25">
      <c r="A132" s="116" t="s">
        <v>32</v>
      </c>
      <c r="C132" s="116">
        <v>1.5</v>
      </c>
      <c r="D132" s="31">
        <v>1</v>
      </c>
      <c r="E132" s="120">
        <v>2000</v>
      </c>
      <c r="F132" s="120">
        <v>10000</v>
      </c>
      <c r="G132" s="30" t="s">
        <v>8</v>
      </c>
      <c r="H132" s="131">
        <v>7.6399999999999996E-2</v>
      </c>
      <c r="I132" s="131">
        <v>56.3</v>
      </c>
      <c r="L132" s="116" t="str">
        <f t="shared" ref="L132:L146" si="3">A132&amp;B132&amp;C132&amp;D132&amp;E132&amp;F132&amp;G132</f>
        <v>Infiltration Trench1.51200010000Pre-developed Pasture Standard</v>
      </c>
    </row>
    <row r="133" spans="1:12" x14ac:dyDescent="0.25">
      <c r="A133" s="116" t="s">
        <v>32</v>
      </c>
      <c r="C133" s="116">
        <v>1.5</v>
      </c>
      <c r="D133" s="31">
        <v>2.5</v>
      </c>
      <c r="E133" s="120">
        <v>0</v>
      </c>
      <c r="F133" s="120">
        <v>2000</v>
      </c>
      <c r="G133" s="30" t="s">
        <v>8</v>
      </c>
      <c r="H133" s="131">
        <v>5.3999999999999999E-2</v>
      </c>
      <c r="I133" s="131">
        <v>0</v>
      </c>
      <c r="L133" s="116" t="str">
        <f t="shared" si="3"/>
        <v>Infiltration Trench1.52.502000Pre-developed Pasture Standard</v>
      </c>
    </row>
    <row r="134" spans="1:12" x14ac:dyDescent="0.25">
      <c r="A134" s="119" t="s">
        <v>32</v>
      </c>
      <c r="B134" s="119"/>
      <c r="C134" s="119">
        <v>1.5</v>
      </c>
      <c r="D134" s="38">
        <v>2.5</v>
      </c>
      <c r="E134" s="121">
        <v>2000</v>
      </c>
      <c r="F134" s="121">
        <v>10000</v>
      </c>
      <c r="G134" s="37" t="s">
        <v>8</v>
      </c>
      <c r="H134" s="125">
        <v>3.1099999999999999E-2</v>
      </c>
      <c r="I134" s="125">
        <v>47.2</v>
      </c>
      <c r="J134" s="119"/>
      <c r="K134" s="119"/>
      <c r="L134" s="119" t="str">
        <f t="shared" si="3"/>
        <v>Infiltration Trench1.52.5200010000Pre-developed Pasture Standard</v>
      </c>
    </row>
    <row r="135" spans="1:12" x14ac:dyDescent="0.25">
      <c r="A135" s="117" t="s">
        <v>32</v>
      </c>
      <c r="B135" s="117"/>
      <c r="C135" s="117">
        <v>1.5</v>
      </c>
      <c r="D135" s="44">
        <v>1</v>
      </c>
      <c r="E135" s="122"/>
      <c r="F135" s="122"/>
      <c r="G135" s="45" t="s">
        <v>77</v>
      </c>
      <c r="H135" s="134">
        <v>0.157</v>
      </c>
      <c r="I135" s="134">
        <v>0</v>
      </c>
      <c r="J135" s="117"/>
      <c r="K135" s="117"/>
      <c r="L135" s="117" t="str">
        <f t="shared" si="3"/>
        <v>Infiltration Trench1.51Peak Control Standard</v>
      </c>
    </row>
    <row r="136" spans="1:12" x14ac:dyDescent="0.25">
      <c r="A136" s="119" t="s">
        <v>32</v>
      </c>
      <c r="B136" s="119"/>
      <c r="C136" s="119">
        <v>1.5</v>
      </c>
      <c r="D136" s="38">
        <v>2.5</v>
      </c>
      <c r="E136" s="121"/>
      <c r="F136" s="121"/>
      <c r="G136" s="37" t="s">
        <v>77</v>
      </c>
      <c r="H136" s="125">
        <v>8.1000000000000003E-2</v>
      </c>
      <c r="I136" s="125">
        <v>0</v>
      </c>
      <c r="J136" s="119"/>
      <c r="K136" s="119"/>
      <c r="L136" s="119" t="str">
        <f t="shared" si="3"/>
        <v>Infiltration Trench1.52.5Peak Control Standard</v>
      </c>
    </row>
    <row r="137" spans="1:12" x14ac:dyDescent="0.25">
      <c r="A137" s="117" t="s">
        <v>32</v>
      </c>
      <c r="B137" s="117"/>
      <c r="C137" s="117">
        <v>1.5</v>
      </c>
      <c r="D137" s="44">
        <v>1</v>
      </c>
      <c r="E137" s="122"/>
      <c r="F137" s="122"/>
      <c r="G137" s="45" t="s">
        <v>78</v>
      </c>
      <c r="H137" s="134">
        <v>0.05</v>
      </c>
      <c r="I137" s="134">
        <v>0</v>
      </c>
      <c r="J137" s="117"/>
      <c r="K137" s="117"/>
      <c r="L137" s="117" t="str">
        <f t="shared" si="3"/>
        <v>Infiltration Trench1.51Water Quality Treatment</v>
      </c>
    </row>
    <row r="138" spans="1:12" x14ac:dyDescent="0.25">
      <c r="A138" s="119" t="s">
        <v>32</v>
      </c>
      <c r="B138" s="119"/>
      <c r="C138" s="119">
        <v>1.5</v>
      </c>
      <c r="D138" s="38">
        <v>2.5</v>
      </c>
      <c r="E138" s="121"/>
      <c r="F138" s="121"/>
      <c r="G138" s="37" t="s">
        <v>78</v>
      </c>
      <c r="H138" s="125">
        <v>2.1999999999999999E-2</v>
      </c>
      <c r="I138" s="125">
        <v>0</v>
      </c>
      <c r="J138" s="119"/>
      <c r="K138" s="119"/>
      <c r="L138" s="119" t="str">
        <f t="shared" si="3"/>
        <v>Infiltration Trench1.52.5Water Quality Treatment</v>
      </c>
    </row>
    <row r="139" spans="1:12" x14ac:dyDescent="0.25">
      <c r="A139" s="117" t="s">
        <v>32</v>
      </c>
      <c r="C139" s="116">
        <v>3</v>
      </c>
      <c r="D139" s="44">
        <v>1</v>
      </c>
      <c r="E139" s="122">
        <v>0</v>
      </c>
      <c r="F139" s="122">
        <v>2000</v>
      </c>
      <c r="G139" s="45" t="s">
        <v>8</v>
      </c>
      <c r="H139" s="131">
        <v>8.4000000000000005E-2</v>
      </c>
      <c r="I139" s="131">
        <v>0</v>
      </c>
      <c r="L139" s="116" t="str">
        <f t="shared" si="3"/>
        <v>Infiltration Trench3102000Pre-developed Pasture Standard</v>
      </c>
    </row>
    <row r="140" spans="1:12" x14ac:dyDescent="0.25">
      <c r="A140" s="116" t="s">
        <v>32</v>
      </c>
      <c r="C140" s="116">
        <v>3</v>
      </c>
      <c r="D140" s="31">
        <v>1</v>
      </c>
      <c r="E140" s="120">
        <v>2000</v>
      </c>
      <c r="F140" s="120">
        <v>10000</v>
      </c>
      <c r="G140" s="30" t="s">
        <v>8</v>
      </c>
      <c r="H140" s="131">
        <v>5.4199999999999998E-2</v>
      </c>
      <c r="I140" s="131">
        <v>61.4</v>
      </c>
      <c r="L140" s="116" t="str">
        <f t="shared" si="3"/>
        <v>Infiltration Trench31200010000Pre-developed Pasture Standard</v>
      </c>
    </row>
    <row r="141" spans="1:12" x14ac:dyDescent="0.25">
      <c r="A141" s="116" t="s">
        <v>32</v>
      </c>
      <c r="C141" s="116">
        <v>3</v>
      </c>
      <c r="D141" s="31">
        <v>2.5</v>
      </c>
      <c r="E141" s="120">
        <v>0</v>
      </c>
      <c r="F141" s="120">
        <v>2000</v>
      </c>
      <c r="G141" s="30" t="s">
        <v>8</v>
      </c>
      <c r="H141" s="131">
        <v>3.7999999999999999E-2</v>
      </c>
      <c r="I141" s="131">
        <v>0</v>
      </c>
      <c r="L141" s="116" t="str">
        <f t="shared" si="3"/>
        <v>Infiltration Trench32.502000Pre-developed Pasture Standard</v>
      </c>
    </row>
    <row r="142" spans="1:12" x14ac:dyDescent="0.25">
      <c r="A142" s="119" t="s">
        <v>32</v>
      </c>
      <c r="B142" s="119"/>
      <c r="C142" s="119">
        <v>3</v>
      </c>
      <c r="D142" s="38">
        <v>2.5</v>
      </c>
      <c r="E142" s="121">
        <v>2000</v>
      </c>
      <c r="F142" s="121">
        <v>10000</v>
      </c>
      <c r="G142" s="37" t="s">
        <v>8</v>
      </c>
      <c r="H142" s="125">
        <v>2.41E-2</v>
      </c>
      <c r="I142" s="125">
        <v>27.7</v>
      </c>
      <c r="J142" s="119"/>
      <c r="K142" s="119"/>
      <c r="L142" s="119" t="str">
        <f t="shared" si="3"/>
        <v>Infiltration Trench32.5200010000Pre-developed Pasture Standard</v>
      </c>
    </row>
    <row r="143" spans="1:12" x14ac:dyDescent="0.25">
      <c r="A143" s="116" t="s">
        <v>32</v>
      </c>
      <c r="C143" s="116">
        <v>3</v>
      </c>
      <c r="D143" s="31">
        <v>1</v>
      </c>
      <c r="G143" s="30" t="s">
        <v>77</v>
      </c>
      <c r="H143" s="131">
        <v>0.10100000000000001</v>
      </c>
      <c r="I143" s="131">
        <v>0</v>
      </c>
      <c r="L143" s="116" t="str">
        <f t="shared" si="3"/>
        <v>Infiltration Trench31Peak Control Standard</v>
      </c>
    </row>
    <row r="144" spans="1:12" x14ac:dyDescent="0.25">
      <c r="A144" s="119" t="s">
        <v>32</v>
      </c>
      <c r="B144" s="119"/>
      <c r="C144" s="119">
        <v>3</v>
      </c>
      <c r="D144" s="38">
        <v>2.5</v>
      </c>
      <c r="E144" s="121"/>
      <c r="F144" s="121"/>
      <c r="G144" s="37" t="s">
        <v>77</v>
      </c>
      <c r="H144" s="125">
        <v>5.5E-2</v>
      </c>
      <c r="I144" s="125">
        <v>0</v>
      </c>
      <c r="J144" s="119"/>
      <c r="K144" s="119"/>
      <c r="L144" s="119" t="str">
        <f t="shared" si="3"/>
        <v>Infiltration Trench32.5Peak Control Standard</v>
      </c>
    </row>
    <row r="145" spans="1:12" x14ac:dyDescent="0.25">
      <c r="A145" s="116" t="s">
        <v>32</v>
      </c>
      <c r="C145" s="116">
        <v>3</v>
      </c>
      <c r="D145" s="31">
        <v>1</v>
      </c>
      <c r="G145" s="30" t="s">
        <v>78</v>
      </c>
      <c r="H145" s="131">
        <v>3.5000000000000003E-2</v>
      </c>
      <c r="I145" s="131">
        <v>0</v>
      </c>
      <c r="L145" s="116" t="str">
        <f t="shared" si="3"/>
        <v>Infiltration Trench31Water Quality Treatment</v>
      </c>
    </row>
    <row r="146" spans="1:12" x14ac:dyDescent="0.25">
      <c r="A146" s="119" t="s">
        <v>32</v>
      </c>
      <c r="B146" s="119"/>
      <c r="C146" s="119">
        <v>3</v>
      </c>
      <c r="D146" s="38">
        <v>2.5</v>
      </c>
      <c r="E146" s="121"/>
      <c r="F146" s="121"/>
      <c r="G146" s="37" t="s">
        <v>78</v>
      </c>
      <c r="H146" s="125">
        <v>1.6E-2</v>
      </c>
      <c r="I146" s="125">
        <v>0</v>
      </c>
      <c r="J146" s="119"/>
      <c r="K146" s="119"/>
      <c r="L146" s="119" t="str">
        <f t="shared" si="3"/>
        <v>Infiltration Trench32.5Water Quality Treatment</v>
      </c>
    </row>
    <row r="147" spans="1:12" s="117" customFormat="1" x14ac:dyDescent="0.25">
      <c r="D147" s="44"/>
      <c r="E147" s="122"/>
      <c r="F147" s="122"/>
      <c r="G147" s="45"/>
      <c r="H147" s="134"/>
      <c r="I147" s="134"/>
    </row>
    <row r="148" spans="1:12" x14ac:dyDescent="0.25">
      <c r="A148" s="118" t="s">
        <v>157</v>
      </c>
      <c r="B148" s="119"/>
      <c r="C148" s="119"/>
      <c r="D148" s="38"/>
      <c r="E148" s="121"/>
      <c r="F148" s="121"/>
      <c r="G148" s="37"/>
      <c r="H148" s="125"/>
      <c r="I148" s="125"/>
      <c r="J148" s="119"/>
      <c r="K148" s="119"/>
      <c r="L148" s="119"/>
    </row>
    <row r="149" spans="1:12" ht="60" x14ac:dyDescent="0.25">
      <c r="A149" s="39" t="s">
        <v>74</v>
      </c>
      <c r="B149" s="39"/>
      <c r="C149" s="39" t="s">
        <v>90</v>
      </c>
      <c r="D149" s="39" t="s">
        <v>92</v>
      </c>
      <c r="E149" s="49" t="s">
        <v>117</v>
      </c>
      <c r="F149" s="49" t="s">
        <v>118</v>
      </c>
      <c r="G149" s="39" t="s">
        <v>85</v>
      </c>
      <c r="H149" s="39" t="s">
        <v>79</v>
      </c>
      <c r="I149" s="39" t="s">
        <v>80</v>
      </c>
      <c r="J149" s="39" t="s">
        <v>82</v>
      </c>
      <c r="K149" s="39"/>
      <c r="L149" s="39" t="s">
        <v>86</v>
      </c>
    </row>
    <row r="150" spans="1:12" x14ac:dyDescent="0.25">
      <c r="A150" s="116" t="s">
        <v>93</v>
      </c>
      <c r="C150" s="116">
        <v>4</v>
      </c>
      <c r="D150" s="31">
        <v>1</v>
      </c>
      <c r="E150" s="120">
        <v>0</v>
      </c>
      <c r="F150" s="120">
        <v>2000</v>
      </c>
      <c r="G150" s="116" t="s">
        <v>8</v>
      </c>
      <c r="H150" s="131">
        <v>7.0000000000000007E-2</v>
      </c>
      <c r="I150" s="131">
        <v>0</v>
      </c>
      <c r="L150" s="116" t="str">
        <f t="shared" ref="L150:L228" si="4">A150&amp;B150&amp;C150&amp;D150&amp;E150&amp;F150&amp;G150</f>
        <v>Drywell4102000Pre-developed Pasture Standard</v>
      </c>
    </row>
    <row r="151" spans="1:12" x14ac:dyDescent="0.25">
      <c r="A151" s="116" t="s">
        <v>93</v>
      </c>
      <c r="C151" s="116">
        <v>4</v>
      </c>
      <c r="D151" s="31">
        <v>1</v>
      </c>
      <c r="E151" s="120">
        <v>2000</v>
      </c>
      <c r="F151" s="120">
        <v>10000</v>
      </c>
      <c r="G151" s="116" t="s">
        <v>8</v>
      </c>
      <c r="H151" s="131">
        <v>4.6300000000000001E-2</v>
      </c>
      <c r="I151" s="131">
        <v>49.1</v>
      </c>
      <c r="L151" s="116" t="str">
        <f t="shared" si="4"/>
        <v>Drywell41200010000Pre-developed Pasture Standard</v>
      </c>
    </row>
    <row r="152" spans="1:12" x14ac:dyDescent="0.25">
      <c r="A152" s="116" t="s">
        <v>93</v>
      </c>
      <c r="C152" s="116">
        <v>4</v>
      </c>
      <c r="D152" s="31">
        <v>2.5</v>
      </c>
      <c r="E152" s="120">
        <v>0</v>
      </c>
      <c r="F152" s="120">
        <v>2000</v>
      </c>
      <c r="G152" s="116" t="s">
        <v>8</v>
      </c>
      <c r="H152" s="131">
        <v>3.1E-2</v>
      </c>
      <c r="I152" s="131">
        <v>0</v>
      </c>
      <c r="L152" s="116" t="str">
        <f t="shared" si="4"/>
        <v>Drywell42.502000Pre-developed Pasture Standard</v>
      </c>
    </row>
    <row r="153" spans="1:12" x14ac:dyDescent="0.25">
      <c r="A153" s="119" t="s">
        <v>93</v>
      </c>
      <c r="B153" s="119"/>
      <c r="C153" s="119">
        <v>4</v>
      </c>
      <c r="D153" s="38">
        <v>2.5</v>
      </c>
      <c r="E153" s="121">
        <v>2000</v>
      </c>
      <c r="F153" s="121">
        <v>10000</v>
      </c>
      <c r="G153" s="119" t="s">
        <v>8</v>
      </c>
      <c r="H153" s="125">
        <v>2.12E-2</v>
      </c>
      <c r="I153" s="125">
        <v>20.2</v>
      </c>
      <c r="J153" s="119"/>
      <c r="K153" s="119"/>
      <c r="L153" s="119" t="str">
        <f t="shared" si="4"/>
        <v>Drywell42.5200010000Pre-developed Pasture Standard</v>
      </c>
    </row>
    <row r="154" spans="1:12" x14ac:dyDescent="0.25">
      <c r="A154" s="116" t="s">
        <v>93</v>
      </c>
      <c r="C154" s="116">
        <v>4</v>
      </c>
      <c r="D154" s="31">
        <v>1</v>
      </c>
      <c r="G154" s="116" t="s">
        <v>77</v>
      </c>
      <c r="H154" s="131">
        <v>8.8999999999999996E-2</v>
      </c>
      <c r="I154" s="131">
        <v>0</v>
      </c>
      <c r="L154" s="116" t="str">
        <f t="shared" si="4"/>
        <v>Drywell41Peak Control Standard</v>
      </c>
    </row>
    <row r="155" spans="1:12" x14ac:dyDescent="0.25">
      <c r="A155" s="119" t="s">
        <v>93</v>
      </c>
      <c r="B155" s="119"/>
      <c r="C155" s="119">
        <v>4</v>
      </c>
      <c r="D155" s="38">
        <v>2.5</v>
      </c>
      <c r="E155" s="121"/>
      <c r="F155" s="121"/>
      <c r="G155" s="119" t="s">
        <v>77</v>
      </c>
      <c r="H155" s="125">
        <v>4.5999999999999999E-2</v>
      </c>
      <c r="I155" s="125">
        <v>0</v>
      </c>
      <c r="J155" s="119"/>
      <c r="K155" s="119"/>
      <c r="L155" s="119" t="str">
        <f t="shared" si="4"/>
        <v>Drywell42.5Peak Control Standard</v>
      </c>
    </row>
    <row r="156" spans="1:12" x14ac:dyDescent="0.25">
      <c r="A156" s="116" t="s">
        <v>93</v>
      </c>
      <c r="C156" s="116">
        <v>6</v>
      </c>
      <c r="D156" s="31">
        <v>1</v>
      </c>
      <c r="E156" s="120">
        <v>0</v>
      </c>
      <c r="F156" s="120">
        <v>2000</v>
      </c>
      <c r="G156" s="116" t="s">
        <v>8</v>
      </c>
      <c r="H156" s="131">
        <v>4.2999999999999997E-2</v>
      </c>
      <c r="I156" s="131">
        <v>0</v>
      </c>
      <c r="L156" s="116" t="str">
        <f t="shared" si="4"/>
        <v>Drywell6102000Pre-developed Pasture Standard</v>
      </c>
    </row>
    <row r="157" spans="1:12" x14ac:dyDescent="0.25">
      <c r="A157" s="116" t="s">
        <v>93</v>
      </c>
      <c r="C157" s="116">
        <v>6</v>
      </c>
      <c r="D157" s="31">
        <v>1</v>
      </c>
      <c r="E157" s="120">
        <v>2000</v>
      </c>
      <c r="F157" s="120">
        <v>10000</v>
      </c>
      <c r="G157" s="116" t="s">
        <v>8</v>
      </c>
      <c r="H157" s="131">
        <v>3.2000000000000001E-2</v>
      </c>
      <c r="I157" s="131">
        <v>22.5</v>
      </c>
      <c r="L157" s="116" t="str">
        <f t="shared" si="4"/>
        <v>Drywell61200010000Pre-developed Pasture Standard</v>
      </c>
    </row>
    <row r="158" spans="1:12" x14ac:dyDescent="0.25">
      <c r="A158" s="116" t="s">
        <v>93</v>
      </c>
      <c r="C158" s="116">
        <v>6</v>
      </c>
      <c r="D158" s="31">
        <v>2.5</v>
      </c>
      <c r="E158" s="120">
        <v>0</v>
      </c>
      <c r="F158" s="120">
        <v>2000</v>
      </c>
      <c r="G158" s="116" t="s">
        <v>8</v>
      </c>
      <c r="H158" s="131">
        <v>2.1999999999999999E-2</v>
      </c>
      <c r="I158" s="131">
        <v>0</v>
      </c>
      <c r="L158" s="116" t="str">
        <f t="shared" si="4"/>
        <v>Drywell62.502000Pre-developed Pasture Standard</v>
      </c>
    </row>
    <row r="159" spans="1:12" x14ac:dyDescent="0.25">
      <c r="A159" s="119" t="s">
        <v>93</v>
      </c>
      <c r="B159" s="119"/>
      <c r="C159" s="119">
        <v>6</v>
      </c>
      <c r="D159" s="38">
        <v>2.5</v>
      </c>
      <c r="E159" s="121">
        <v>2000</v>
      </c>
      <c r="F159" s="121">
        <v>10000</v>
      </c>
      <c r="G159" s="119" t="s">
        <v>8</v>
      </c>
      <c r="H159" s="125">
        <v>1.72E-2</v>
      </c>
      <c r="I159" s="125">
        <v>10.4</v>
      </c>
      <c r="J159" s="119"/>
      <c r="K159" s="119"/>
      <c r="L159" s="119" t="str">
        <f t="shared" si="4"/>
        <v>Drywell62.5200010000Pre-developed Pasture Standard</v>
      </c>
    </row>
    <row r="160" spans="1:12" x14ac:dyDescent="0.25">
      <c r="A160" s="116" t="s">
        <v>93</v>
      </c>
      <c r="C160" s="116">
        <v>6</v>
      </c>
      <c r="D160" s="31">
        <v>1</v>
      </c>
      <c r="G160" s="116" t="s">
        <v>77</v>
      </c>
      <c r="H160" s="131">
        <v>5.3999999999999999E-2</v>
      </c>
      <c r="I160" s="131">
        <v>0</v>
      </c>
      <c r="L160" s="116" t="str">
        <f t="shared" si="4"/>
        <v>Drywell61Peak Control Standard</v>
      </c>
    </row>
    <row r="161" spans="1:12" x14ac:dyDescent="0.25">
      <c r="A161" s="119" t="s">
        <v>93</v>
      </c>
      <c r="B161" s="119"/>
      <c r="C161" s="119">
        <v>6</v>
      </c>
      <c r="D161" s="38">
        <v>2.5</v>
      </c>
      <c r="E161" s="121"/>
      <c r="F161" s="121"/>
      <c r="G161" s="119" t="s">
        <v>77</v>
      </c>
      <c r="H161" s="125">
        <v>3.3000000000000002E-2</v>
      </c>
      <c r="I161" s="125">
        <v>0</v>
      </c>
      <c r="J161" s="119"/>
      <c r="K161" s="119"/>
      <c r="L161" s="119" t="str">
        <f t="shared" si="4"/>
        <v>Drywell62.5Peak Control Standard</v>
      </c>
    </row>
    <row r="162" spans="1:12" s="117" customFormat="1" x14ac:dyDescent="0.25">
      <c r="D162" s="44"/>
      <c r="E162" s="122"/>
      <c r="F162" s="122"/>
      <c r="G162" s="45"/>
      <c r="H162" s="134"/>
      <c r="I162" s="134"/>
    </row>
    <row r="163" spans="1:12" x14ac:dyDescent="0.25">
      <c r="A163" s="118" t="s">
        <v>158</v>
      </c>
      <c r="B163" s="119"/>
      <c r="C163" s="119"/>
      <c r="D163" s="38"/>
      <c r="E163" s="121"/>
      <c r="F163" s="121"/>
      <c r="G163" s="37"/>
      <c r="H163" s="125"/>
      <c r="I163" s="125"/>
      <c r="J163" s="119"/>
      <c r="K163" s="119"/>
      <c r="L163" s="119"/>
    </row>
    <row r="164" spans="1:12" ht="60" x14ac:dyDescent="0.25">
      <c r="A164" s="39" t="s">
        <v>74</v>
      </c>
      <c r="B164" s="39"/>
      <c r="C164" s="39" t="s">
        <v>95</v>
      </c>
      <c r="D164" s="39" t="s">
        <v>92</v>
      </c>
      <c r="E164" s="49" t="s">
        <v>117</v>
      </c>
      <c r="F164" s="49" t="s">
        <v>118</v>
      </c>
      <c r="G164" s="39" t="s">
        <v>85</v>
      </c>
      <c r="H164" s="39" t="s">
        <v>79</v>
      </c>
      <c r="I164" s="39" t="s">
        <v>80</v>
      </c>
      <c r="J164" s="39" t="s">
        <v>40</v>
      </c>
      <c r="K164" s="39"/>
      <c r="L164" s="39" t="s">
        <v>86</v>
      </c>
    </row>
    <row r="165" spans="1:12" x14ac:dyDescent="0.25">
      <c r="A165" s="116" t="s">
        <v>23</v>
      </c>
      <c r="C165" s="116">
        <v>6</v>
      </c>
      <c r="D165" s="31">
        <v>0.15</v>
      </c>
      <c r="E165" s="120">
        <v>0</v>
      </c>
      <c r="F165" s="120">
        <v>2000</v>
      </c>
      <c r="G165" s="116" t="s">
        <v>8</v>
      </c>
      <c r="H165" s="131">
        <v>1.3260000000000001</v>
      </c>
      <c r="I165" s="131">
        <v>0</v>
      </c>
      <c r="L165" s="116" t="str">
        <f t="shared" si="4"/>
        <v>Permeable Pavement Facility60.1502000Pre-developed Pasture Standard</v>
      </c>
    </row>
    <row r="166" spans="1:12" x14ac:dyDescent="0.25">
      <c r="A166" s="116" t="s">
        <v>23</v>
      </c>
      <c r="C166" s="116">
        <v>6</v>
      </c>
      <c r="D166" s="31">
        <v>0.15</v>
      </c>
      <c r="E166" s="120">
        <v>2000</v>
      </c>
      <c r="F166" s="120">
        <v>10000</v>
      </c>
      <c r="G166" s="116" t="s">
        <v>8</v>
      </c>
      <c r="H166" s="131">
        <v>0.48420000000000002</v>
      </c>
      <c r="I166" s="131">
        <v>1651.1</v>
      </c>
      <c r="L166" s="116" t="str">
        <f t="shared" si="4"/>
        <v>Permeable Pavement Facility60.15200010000Pre-developed Pasture Standard</v>
      </c>
    </row>
    <row r="167" spans="1:12" x14ac:dyDescent="0.25">
      <c r="A167" s="116" t="s">
        <v>23</v>
      </c>
      <c r="C167" s="116">
        <v>6</v>
      </c>
      <c r="D167" s="31">
        <v>0.3</v>
      </c>
      <c r="E167" s="120">
        <v>0</v>
      </c>
      <c r="F167" s="120">
        <v>2000</v>
      </c>
      <c r="G167" s="116" t="s">
        <v>8</v>
      </c>
      <c r="H167" s="131">
        <v>0.998</v>
      </c>
      <c r="I167" s="131">
        <v>0</v>
      </c>
      <c r="L167" s="116" t="str">
        <f t="shared" si="4"/>
        <v>Permeable Pavement Facility60.302000Pre-developed Pasture Standard</v>
      </c>
    </row>
    <row r="168" spans="1:12" x14ac:dyDescent="0.25">
      <c r="A168" s="116" t="s">
        <v>23</v>
      </c>
      <c r="C168" s="116">
        <v>6</v>
      </c>
      <c r="D168" s="31">
        <v>0.3</v>
      </c>
      <c r="E168" s="120">
        <v>2000</v>
      </c>
      <c r="F168" s="120">
        <v>10000</v>
      </c>
      <c r="G168" s="116" t="s">
        <v>8</v>
      </c>
      <c r="H168" s="131">
        <v>0.375</v>
      </c>
      <c r="I168" s="131">
        <v>1223.9000000000001</v>
      </c>
      <c r="L168" s="116" t="str">
        <f t="shared" si="4"/>
        <v>Permeable Pavement Facility60.3200010000Pre-developed Pasture Standard</v>
      </c>
    </row>
    <row r="169" spans="1:12" x14ac:dyDescent="0.25">
      <c r="A169" s="116" t="s">
        <v>23</v>
      </c>
      <c r="C169" s="116">
        <v>6</v>
      </c>
      <c r="D169" s="31">
        <v>0.6</v>
      </c>
      <c r="E169" s="120">
        <v>0</v>
      </c>
      <c r="F169" s="120">
        <v>2000</v>
      </c>
      <c r="G169" s="116" t="s">
        <v>8</v>
      </c>
      <c r="H169" s="131">
        <v>0.34100000000000003</v>
      </c>
      <c r="I169" s="131">
        <v>0</v>
      </c>
      <c r="L169" s="116" t="str">
        <f t="shared" si="4"/>
        <v>Permeable Pavement Facility60.602000Pre-developed Pasture Standard</v>
      </c>
    </row>
    <row r="170" spans="1:12" x14ac:dyDescent="0.25">
      <c r="A170" s="116" t="s">
        <v>23</v>
      </c>
      <c r="C170" s="116">
        <v>6</v>
      </c>
      <c r="D170" s="31">
        <v>0.6</v>
      </c>
      <c r="E170" s="120">
        <v>2000</v>
      </c>
      <c r="F170" s="120">
        <v>10000</v>
      </c>
      <c r="G170" s="116" t="s">
        <v>8</v>
      </c>
      <c r="H170" s="131">
        <v>0.15679999999999999</v>
      </c>
      <c r="I170" s="131">
        <v>369.4</v>
      </c>
      <c r="L170" s="116" t="str">
        <f t="shared" si="4"/>
        <v>Permeable Pavement Facility60.6200010000Pre-developed Pasture Standard</v>
      </c>
    </row>
    <row r="171" spans="1:12" x14ac:dyDescent="0.25">
      <c r="A171" s="116" t="s">
        <v>23</v>
      </c>
      <c r="C171" s="116">
        <v>6</v>
      </c>
      <c r="D171" s="31">
        <v>1</v>
      </c>
      <c r="E171" s="120">
        <v>0</v>
      </c>
      <c r="F171" s="120">
        <v>2000</v>
      </c>
      <c r="G171" s="116" t="s">
        <v>8</v>
      </c>
      <c r="H171" s="131">
        <v>0.29199999999999998</v>
      </c>
      <c r="I171" s="131">
        <v>0</v>
      </c>
      <c r="L171" s="116" t="str">
        <f t="shared" si="4"/>
        <v>Permeable Pavement Facility6102000Pre-developed Pasture Standard</v>
      </c>
    </row>
    <row r="172" spans="1:12" x14ac:dyDescent="0.25">
      <c r="A172" s="116" t="s">
        <v>23</v>
      </c>
      <c r="C172" s="116">
        <v>6</v>
      </c>
      <c r="D172" s="31">
        <v>1</v>
      </c>
      <c r="E172" s="120">
        <v>2000</v>
      </c>
      <c r="F172" s="120">
        <v>10000</v>
      </c>
      <c r="G172" s="116" t="s">
        <v>8</v>
      </c>
      <c r="H172" s="131">
        <v>0.13489999999999999</v>
      </c>
      <c r="I172" s="131">
        <v>314.89999999999998</v>
      </c>
      <c r="L172" s="116" t="str">
        <f t="shared" si="4"/>
        <v>Permeable Pavement Facility61200010000Pre-developed Pasture Standard</v>
      </c>
    </row>
    <row r="173" spans="1:12" x14ac:dyDescent="0.25">
      <c r="A173" s="116" t="s">
        <v>23</v>
      </c>
      <c r="C173" s="116">
        <v>6</v>
      </c>
      <c r="D173" s="31">
        <v>2.5</v>
      </c>
      <c r="E173" s="120">
        <v>0</v>
      </c>
      <c r="F173" s="120">
        <v>2000</v>
      </c>
      <c r="G173" s="116" t="s">
        <v>8</v>
      </c>
      <c r="H173" s="131">
        <v>0.2</v>
      </c>
      <c r="I173" s="131">
        <v>0</v>
      </c>
      <c r="L173" s="116" t="str">
        <f t="shared" si="4"/>
        <v>Permeable Pavement Facility62.502000Pre-developed Pasture Standard</v>
      </c>
    </row>
    <row r="174" spans="1:12" x14ac:dyDescent="0.25">
      <c r="A174" s="119" t="s">
        <v>23</v>
      </c>
      <c r="B174" s="119"/>
      <c r="C174" s="119">
        <v>6</v>
      </c>
      <c r="D174" s="38">
        <v>2.5</v>
      </c>
      <c r="E174" s="121">
        <v>2000</v>
      </c>
      <c r="F174" s="121">
        <v>10000</v>
      </c>
      <c r="G174" s="119" t="s">
        <v>8</v>
      </c>
      <c r="H174" s="125">
        <v>5.2999999999999999E-2</v>
      </c>
      <c r="I174" s="125">
        <v>110.7</v>
      </c>
      <c r="J174" s="119"/>
      <c r="K174" s="119"/>
      <c r="L174" s="119" t="str">
        <f t="shared" si="4"/>
        <v>Permeable Pavement Facility62.5200010000Pre-developed Pasture Standard</v>
      </c>
    </row>
    <row r="175" spans="1:12" x14ac:dyDescent="0.25">
      <c r="A175" s="116" t="s">
        <v>23</v>
      </c>
      <c r="C175" s="116">
        <v>6</v>
      </c>
      <c r="D175" s="31">
        <v>0.15</v>
      </c>
      <c r="G175" s="116" t="s">
        <v>77</v>
      </c>
      <c r="H175" s="135">
        <v>3.4209999999999998</v>
      </c>
      <c r="I175" s="131">
        <v>0</v>
      </c>
      <c r="L175" s="116" t="str">
        <f t="shared" si="4"/>
        <v>Permeable Pavement Facility60.15Peak Control Standard</v>
      </c>
    </row>
    <row r="176" spans="1:12" x14ac:dyDescent="0.25">
      <c r="A176" s="116" t="s">
        <v>23</v>
      </c>
      <c r="C176" s="116">
        <v>6</v>
      </c>
      <c r="D176" s="31">
        <v>0.3</v>
      </c>
      <c r="G176" s="116" t="s">
        <v>77</v>
      </c>
      <c r="H176" s="135">
        <v>2.4740000000000002</v>
      </c>
      <c r="I176" s="131">
        <v>0</v>
      </c>
      <c r="L176" s="116" t="str">
        <f t="shared" si="4"/>
        <v>Permeable Pavement Facility60.3Peak Control Standard</v>
      </c>
    </row>
    <row r="177" spans="1:12" x14ac:dyDescent="0.25">
      <c r="A177" s="116" t="s">
        <v>23</v>
      </c>
      <c r="C177" s="116">
        <v>6</v>
      </c>
      <c r="D177" s="31">
        <v>0.6</v>
      </c>
      <c r="G177" s="116" t="s">
        <v>77</v>
      </c>
      <c r="H177" s="135">
        <v>0.57999999999999996</v>
      </c>
      <c r="I177" s="131">
        <v>0</v>
      </c>
      <c r="L177" s="116" t="str">
        <f t="shared" si="4"/>
        <v>Permeable Pavement Facility60.6Peak Control Standard</v>
      </c>
    </row>
    <row r="178" spans="1:12" x14ac:dyDescent="0.25">
      <c r="A178" s="116" t="s">
        <v>23</v>
      </c>
      <c r="C178" s="116">
        <v>6</v>
      </c>
      <c r="D178" s="31">
        <v>1</v>
      </c>
      <c r="G178" s="116" t="s">
        <v>77</v>
      </c>
      <c r="H178" s="135">
        <v>0.50600000000000001</v>
      </c>
      <c r="I178" s="131">
        <v>0</v>
      </c>
      <c r="L178" s="116" t="str">
        <f t="shared" si="4"/>
        <v>Permeable Pavement Facility61Peak Control Standard</v>
      </c>
    </row>
    <row r="179" spans="1:12" x14ac:dyDescent="0.25">
      <c r="A179" s="119" t="s">
        <v>23</v>
      </c>
      <c r="B179" s="119"/>
      <c r="C179" s="119">
        <v>6</v>
      </c>
      <c r="D179" s="38">
        <v>2.5</v>
      </c>
      <c r="E179" s="121"/>
      <c r="F179" s="121"/>
      <c r="G179" s="119" t="s">
        <v>77</v>
      </c>
      <c r="H179" s="136">
        <v>0.22700000000000001</v>
      </c>
      <c r="I179" s="125">
        <v>0</v>
      </c>
      <c r="J179" s="119"/>
      <c r="K179" s="119"/>
      <c r="L179" s="119" t="str">
        <f t="shared" si="4"/>
        <v>Permeable Pavement Facility62.5Peak Control Standard</v>
      </c>
    </row>
    <row r="180" spans="1:12" x14ac:dyDescent="0.25">
      <c r="A180" s="116" t="s">
        <v>23</v>
      </c>
      <c r="C180" s="116">
        <v>6</v>
      </c>
      <c r="D180" s="31">
        <v>0.15</v>
      </c>
      <c r="G180" s="30" t="s">
        <v>78</v>
      </c>
      <c r="H180" s="131">
        <v>0.26900000000000002</v>
      </c>
      <c r="I180" s="131">
        <v>0</v>
      </c>
      <c r="L180" s="116" t="str">
        <f t="shared" si="4"/>
        <v>Permeable Pavement Facility60.15Water Quality Treatment</v>
      </c>
    </row>
    <row r="181" spans="1:12" x14ac:dyDescent="0.25">
      <c r="A181" s="116" t="s">
        <v>23</v>
      </c>
      <c r="C181" s="116">
        <v>6</v>
      </c>
      <c r="D181" s="31">
        <v>0.3</v>
      </c>
      <c r="G181" s="30" t="s">
        <v>78</v>
      </c>
      <c r="H181" s="131">
        <v>0.246</v>
      </c>
      <c r="I181" s="131">
        <v>0</v>
      </c>
      <c r="L181" s="116" t="str">
        <f t="shared" si="4"/>
        <v>Permeable Pavement Facility60.3Water Quality Treatment</v>
      </c>
    </row>
    <row r="182" spans="1:12" x14ac:dyDescent="0.25">
      <c r="A182" s="116" t="s">
        <v>23</v>
      </c>
      <c r="C182" s="116">
        <v>6</v>
      </c>
      <c r="D182" s="31">
        <v>0.6</v>
      </c>
      <c r="G182" s="30" t="s">
        <v>78</v>
      </c>
      <c r="H182" s="131">
        <v>0.2</v>
      </c>
      <c r="I182" s="131">
        <v>0</v>
      </c>
      <c r="J182" s="116" t="s">
        <v>96</v>
      </c>
      <c r="L182" s="116" t="str">
        <f t="shared" si="4"/>
        <v>Permeable Pavement Facility60.6Water Quality Treatment</v>
      </c>
    </row>
    <row r="183" spans="1:12" x14ac:dyDescent="0.25">
      <c r="A183" s="116" t="s">
        <v>23</v>
      </c>
      <c r="C183" s="116">
        <v>6</v>
      </c>
      <c r="D183" s="31">
        <v>1</v>
      </c>
      <c r="G183" s="30" t="s">
        <v>78</v>
      </c>
      <c r="H183" s="131">
        <v>0.2</v>
      </c>
      <c r="I183" s="131">
        <v>0</v>
      </c>
      <c r="J183" s="116" t="s">
        <v>96</v>
      </c>
      <c r="L183" s="116" t="str">
        <f t="shared" si="4"/>
        <v>Permeable Pavement Facility61Water Quality Treatment</v>
      </c>
    </row>
    <row r="184" spans="1:12" x14ac:dyDescent="0.25">
      <c r="A184" s="119" t="s">
        <v>23</v>
      </c>
      <c r="B184" s="119"/>
      <c r="C184" s="119">
        <v>6</v>
      </c>
      <c r="D184" s="38">
        <v>2.5</v>
      </c>
      <c r="E184" s="121"/>
      <c r="F184" s="121"/>
      <c r="G184" s="37" t="s">
        <v>78</v>
      </c>
      <c r="H184" s="125">
        <v>0.2</v>
      </c>
      <c r="I184" s="125">
        <v>0</v>
      </c>
      <c r="J184" s="119" t="s">
        <v>96</v>
      </c>
      <c r="K184" s="119"/>
      <c r="L184" s="119" t="str">
        <f t="shared" si="4"/>
        <v>Permeable Pavement Facility62.5Water Quality Treatment</v>
      </c>
    </row>
    <row r="185" spans="1:12" x14ac:dyDescent="0.25">
      <c r="A185" s="116" t="s">
        <v>23</v>
      </c>
      <c r="C185" s="116">
        <v>12</v>
      </c>
      <c r="D185" s="31">
        <v>0.15</v>
      </c>
      <c r="E185" s="120">
        <v>0</v>
      </c>
      <c r="F185" s="120">
        <v>2000</v>
      </c>
      <c r="G185" s="116" t="s">
        <v>8</v>
      </c>
      <c r="H185" s="131">
        <v>0.71399999999999997</v>
      </c>
      <c r="I185" s="131">
        <v>0</v>
      </c>
      <c r="L185" s="116" t="str">
        <f t="shared" si="4"/>
        <v>Permeable Pavement Facility120.1502000Pre-developed Pasture Standard</v>
      </c>
    </row>
    <row r="186" spans="1:12" x14ac:dyDescent="0.25">
      <c r="A186" s="116" t="s">
        <v>23</v>
      </c>
      <c r="C186" s="116">
        <v>12</v>
      </c>
      <c r="D186" s="31">
        <v>0.15</v>
      </c>
      <c r="E186" s="120">
        <v>2000</v>
      </c>
      <c r="F186" s="120">
        <v>10000</v>
      </c>
      <c r="G186" s="116" t="s">
        <v>8</v>
      </c>
      <c r="H186" s="131">
        <v>0.3236</v>
      </c>
      <c r="I186" s="131">
        <v>785.9</v>
      </c>
      <c r="L186" s="116" t="str">
        <f t="shared" si="4"/>
        <v>Permeable Pavement Facility120.15200010000Pre-developed Pasture Standard</v>
      </c>
    </row>
    <row r="187" spans="1:12" x14ac:dyDescent="0.25">
      <c r="A187" s="116" t="s">
        <v>23</v>
      </c>
      <c r="C187" s="116">
        <v>12</v>
      </c>
      <c r="D187" s="31">
        <v>0.3</v>
      </c>
      <c r="E187" s="120">
        <v>0</v>
      </c>
      <c r="F187" s="120">
        <v>2000</v>
      </c>
      <c r="G187" s="116" t="s">
        <v>8</v>
      </c>
      <c r="H187" s="131">
        <v>0.55500000000000005</v>
      </c>
      <c r="I187" s="131">
        <v>0</v>
      </c>
      <c r="L187" s="116" t="str">
        <f t="shared" si="4"/>
        <v>Permeable Pavement Facility120.302000Pre-developed Pasture Standard</v>
      </c>
    </row>
    <row r="188" spans="1:12" x14ac:dyDescent="0.25">
      <c r="A188" s="116" t="s">
        <v>23</v>
      </c>
      <c r="C188" s="116">
        <v>12</v>
      </c>
      <c r="D188" s="31">
        <v>0.3</v>
      </c>
      <c r="E188" s="120">
        <v>2000</v>
      </c>
      <c r="F188" s="120">
        <v>10000</v>
      </c>
      <c r="G188" s="116" t="s">
        <v>8</v>
      </c>
      <c r="H188" s="131">
        <v>0.25729999999999997</v>
      </c>
      <c r="I188" s="131">
        <v>600.29999999999995</v>
      </c>
      <c r="L188" s="116" t="str">
        <f t="shared" si="4"/>
        <v>Permeable Pavement Facility120.3200010000Pre-developed Pasture Standard</v>
      </c>
    </row>
    <row r="189" spans="1:12" x14ac:dyDescent="0.25">
      <c r="A189" s="116" t="s">
        <v>23</v>
      </c>
      <c r="C189" s="116">
        <v>12</v>
      </c>
      <c r="D189" s="31">
        <v>0.6</v>
      </c>
      <c r="E189" s="120">
        <v>0</v>
      </c>
      <c r="F189" s="120">
        <v>2000</v>
      </c>
      <c r="G189" s="116" t="s">
        <v>8</v>
      </c>
      <c r="H189" s="131">
        <v>0.23799999999999999</v>
      </c>
      <c r="I189" s="131">
        <v>0</v>
      </c>
      <c r="L189" s="116" t="str">
        <f t="shared" si="4"/>
        <v>Permeable Pavement Facility120.602000Pre-developed Pasture Standard</v>
      </c>
    </row>
    <row r="190" spans="1:12" x14ac:dyDescent="0.25">
      <c r="A190" s="116" t="s">
        <v>23</v>
      </c>
      <c r="C190" s="116">
        <v>12</v>
      </c>
      <c r="D190" s="31">
        <v>0.6</v>
      </c>
      <c r="E190" s="120">
        <v>2000</v>
      </c>
      <c r="F190" s="120">
        <v>10000</v>
      </c>
      <c r="G190" s="116" t="s">
        <v>8</v>
      </c>
      <c r="H190" s="131">
        <v>0.12470000000000001</v>
      </c>
      <c r="I190" s="131">
        <v>229.2</v>
      </c>
      <c r="L190" s="116" t="str">
        <f t="shared" si="4"/>
        <v>Permeable Pavement Facility120.6200010000Pre-developed Pasture Standard</v>
      </c>
    </row>
    <row r="191" spans="1:12" x14ac:dyDescent="0.25">
      <c r="A191" s="116" t="s">
        <v>23</v>
      </c>
      <c r="C191" s="116">
        <v>12</v>
      </c>
      <c r="D191" s="31">
        <v>1</v>
      </c>
      <c r="E191" s="120">
        <v>0</v>
      </c>
      <c r="F191" s="120">
        <v>2000</v>
      </c>
      <c r="G191" s="116" t="s">
        <v>8</v>
      </c>
      <c r="H191" s="131">
        <v>0.20499999999999999</v>
      </c>
      <c r="I191" s="131">
        <v>0</v>
      </c>
      <c r="L191" s="116" t="str">
        <f t="shared" si="4"/>
        <v>Permeable Pavement Facility12102000Pre-developed Pasture Standard</v>
      </c>
    </row>
    <row r="192" spans="1:12" x14ac:dyDescent="0.25">
      <c r="A192" s="116" t="s">
        <v>23</v>
      </c>
      <c r="C192" s="116">
        <v>12</v>
      </c>
      <c r="D192" s="31">
        <v>1</v>
      </c>
      <c r="E192" s="120">
        <v>2000</v>
      </c>
      <c r="F192" s="120">
        <v>10000</v>
      </c>
      <c r="G192" s="116" t="s">
        <v>8</v>
      </c>
      <c r="H192" s="131">
        <v>0.1076</v>
      </c>
      <c r="I192" s="131">
        <v>198.2</v>
      </c>
      <c r="L192" s="116" t="str">
        <f t="shared" si="4"/>
        <v>Permeable Pavement Facility121200010000Pre-developed Pasture Standard</v>
      </c>
    </row>
    <row r="193" spans="1:12" x14ac:dyDescent="0.25">
      <c r="A193" s="116" t="s">
        <v>23</v>
      </c>
      <c r="C193" s="116">
        <v>12</v>
      </c>
      <c r="D193" s="31">
        <v>2.5</v>
      </c>
      <c r="E193" s="120">
        <v>0</v>
      </c>
      <c r="F193" s="120">
        <v>2000</v>
      </c>
      <c r="G193" s="116" t="s">
        <v>8</v>
      </c>
      <c r="H193" s="131">
        <v>0.2</v>
      </c>
      <c r="I193" s="131">
        <v>0</v>
      </c>
      <c r="J193" s="116" t="s">
        <v>96</v>
      </c>
      <c r="L193" s="116" t="str">
        <f t="shared" si="4"/>
        <v>Permeable Pavement Facility122.502000Pre-developed Pasture Standard</v>
      </c>
    </row>
    <row r="194" spans="1:12" x14ac:dyDescent="0.25">
      <c r="A194" s="119" t="s">
        <v>23</v>
      </c>
      <c r="B194" s="119"/>
      <c r="C194" s="119">
        <v>12</v>
      </c>
      <c r="D194" s="38">
        <v>2.5</v>
      </c>
      <c r="E194" s="121">
        <v>2000</v>
      </c>
      <c r="F194" s="121">
        <v>10000</v>
      </c>
      <c r="G194" s="119" t="s">
        <v>8</v>
      </c>
      <c r="H194" s="125">
        <v>4.3499999999999997E-2</v>
      </c>
      <c r="I194" s="125">
        <v>81.7</v>
      </c>
      <c r="J194" s="119"/>
      <c r="K194" s="119"/>
      <c r="L194" s="119" t="str">
        <f t="shared" si="4"/>
        <v>Permeable Pavement Facility122.5200010000Pre-developed Pasture Standard</v>
      </c>
    </row>
    <row r="195" spans="1:12" x14ac:dyDescent="0.25">
      <c r="A195" s="116" t="s">
        <v>23</v>
      </c>
      <c r="C195" s="116">
        <v>12</v>
      </c>
      <c r="D195" s="31">
        <v>0.15</v>
      </c>
      <c r="G195" s="116" t="s">
        <v>77</v>
      </c>
      <c r="H195" s="131">
        <v>1.139</v>
      </c>
      <c r="I195" s="131">
        <v>0</v>
      </c>
      <c r="L195" s="116" t="str">
        <f t="shared" si="4"/>
        <v>Permeable Pavement Facility120.15Peak Control Standard</v>
      </c>
    </row>
    <row r="196" spans="1:12" x14ac:dyDescent="0.25">
      <c r="A196" s="116" t="s">
        <v>23</v>
      </c>
      <c r="C196" s="116">
        <v>12</v>
      </c>
      <c r="D196" s="31">
        <v>0.3</v>
      </c>
      <c r="G196" s="116" t="s">
        <v>77</v>
      </c>
      <c r="H196" s="131">
        <v>0.88100000000000001</v>
      </c>
      <c r="I196" s="131">
        <v>0</v>
      </c>
      <c r="L196" s="116" t="str">
        <f t="shared" si="4"/>
        <v>Permeable Pavement Facility120.3Peak Control Standard</v>
      </c>
    </row>
    <row r="197" spans="1:12" x14ac:dyDescent="0.25">
      <c r="A197" s="116" t="s">
        <v>23</v>
      </c>
      <c r="C197" s="116">
        <v>12</v>
      </c>
      <c r="D197" s="31">
        <v>0.6</v>
      </c>
      <c r="G197" s="116" t="s">
        <v>77</v>
      </c>
      <c r="H197" s="131">
        <v>0.36599999999999999</v>
      </c>
      <c r="I197" s="131">
        <v>0</v>
      </c>
      <c r="L197" s="116" t="str">
        <f t="shared" si="4"/>
        <v>Permeable Pavement Facility120.6Peak Control Standard</v>
      </c>
    </row>
    <row r="198" spans="1:12" x14ac:dyDescent="0.25">
      <c r="A198" s="116" t="s">
        <v>23</v>
      </c>
      <c r="C198" s="116">
        <v>12</v>
      </c>
      <c r="D198" s="31">
        <v>1</v>
      </c>
      <c r="G198" s="116" t="s">
        <v>77</v>
      </c>
      <c r="H198" s="131">
        <v>0.33100000000000002</v>
      </c>
      <c r="I198" s="131">
        <v>0</v>
      </c>
      <c r="L198" s="116" t="str">
        <f t="shared" si="4"/>
        <v>Permeable Pavement Facility121Peak Control Standard</v>
      </c>
    </row>
    <row r="199" spans="1:12" x14ac:dyDescent="0.25">
      <c r="A199" s="119" t="s">
        <v>23</v>
      </c>
      <c r="B199" s="119"/>
      <c r="C199" s="119">
        <v>12</v>
      </c>
      <c r="D199" s="38">
        <v>2.5</v>
      </c>
      <c r="E199" s="121"/>
      <c r="F199" s="121"/>
      <c r="G199" s="119" t="s">
        <v>77</v>
      </c>
      <c r="H199" s="125">
        <v>0.2</v>
      </c>
      <c r="I199" s="125">
        <v>0</v>
      </c>
      <c r="J199" s="119" t="s">
        <v>96</v>
      </c>
      <c r="K199" s="119"/>
      <c r="L199" s="119" t="str">
        <f t="shared" si="4"/>
        <v>Permeable Pavement Facility122.5Peak Control Standard</v>
      </c>
    </row>
    <row r="200" spans="1:12" x14ac:dyDescent="0.25">
      <c r="A200" s="116" t="s">
        <v>23</v>
      </c>
      <c r="C200" s="116">
        <v>12</v>
      </c>
      <c r="D200" s="31">
        <v>0.15</v>
      </c>
      <c r="G200" s="30" t="s">
        <v>78</v>
      </c>
      <c r="H200" s="131">
        <v>0.2</v>
      </c>
      <c r="I200" s="131">
        <v>0</v>
      </c>
      <c r="J200" s="116" t="s">
        <v>96</v>
      </c>
      <c r="L200" s="116" t="str">
        <f t="shared" si="4"/>
        <v>Permeable Pavement Facility120.15Water Quality Treatment</v>
      </c>
    </row>
    <row r="201" spans="1:12" x14ac:dyDescent="0.25">
      <c r="A201" s="116" t="s">
        <v>23</v>
      </c>
      <c r="C201" s="116">
        <v>12</v>
      </c>
      <c r="D201" s="31">
        <v>0.3</v>
      </c>
      <c r="G201" s="30" t="s">
        <v>78</v>
      </c>
      <c r="H201" s="131">
        <v>0.2</v>
      </c>
      <c r="I201" s="131">
        <v>0</v>
      </c>
      <c r="J201" s="116" t="s">
        <v>96</v>
      </c>
      <c r="L201" s="116" t="str">
        <f t="shared" si="4"/>
        <v>Permeable Pavement Facility120.3Water Quality Treatment</v>
      </c>
    </row>
    <row r="202" spans="1:12" x14ac:dyDescent="0.25">
      <c r="A202" s="116" t="s">
        <v>23</v>
      </c>
      <c r="C202" s="116">
        <v>12</v>
      </c>
      <c r="D202" s="31">
        <v>0.6</v>
      </c>
      <c r="G202" s="30" t="s">
        <v>78</v>
      </c>
      <c r="H202" s="131">
        <v>0.2</v>
      </c>
      <c r="I202" s="131">
        <v>0</v>
      </c>
      <c r="J202" s="116" t="s">
        <v>96</v>
      </c>
      <c r="L202" s="116" t="str">
        <f t="shared" si="4"/>
        <v>Permeable Pavement Facility120.6Water Quality Treatment</v>
      </c>
    </row>
    <row r="203" spans="1:12" x14ac:dyDescent="0.25">
      <c r="A203" s="116" t="s">
        <v>23</v>
      </c>
      <c r="C203" s="116">
        <v>12</v>
      </c>
      <c r="D203" s="31">
        <v>1</v>
      </c>
      <c r="G203" s="30" t="s">
        <v>78</v>
      </c>
      <c r="H203" s="131">
        <v>0.2</v>
      </c>
      <c r="I203" s="131">
        <v>0</v>
      </c>
      <c r="J203" s="116" t="s">
        <v>96</v>
      </c>
      <c r="L203" s="116" t="str">
        <f t="shared" si="4"/>
        <v>Permeable Pavement Facility121Water Quality Treatment</v>
      </c>
    </row>
    <row r="204" spans="1:12" x14ac:dyDescent="0.25">
      <c r="A204" s="119" t="s">
        <v>23</v>
      </c>
      <c r="B204" s="119"/>
      <c r="C204" s="119">
        <v>12</v>
      </c>
      <c r="D204" s="38">
        <v>2.5</v>
      </c>
      <c r="E204" s="121"/>
      <c r="F204" s="121"/>
      <c r="G204" s="37" t="s">
        <v>78</v>
      </c>
      <c r="H204" s="125">
        <v>0.2</v>
      </c>
      <c r="I204" s="125">
        <v>0</v>
      </c>
      <c r="J204" s="119" t="s">
        <v>96</v>
      </c>
      <c r="K204" s="119"/>
      <c r="L204" s="119" t="str">
        <f t="shared" si="4"/>
        <v>Permeable Pavement Facility122.5Water Quality Treatment</v>
      </c>
    </row>
    <row r="205" spans="1:12" s="117" customFormat="1" x14ac:dyDescent="0.25">
      <c r="D205" s="44"/>
      <c r="E205" s="122"/>
      <c r="F205" s="122"/>
      <c r="G205" s="45"/>
      <c r="H205" s="134"/>
      <c r="I205" s="134"/>
    </row>
    <row r="206" spans="1:12" x14ac:dyDescent="0.25">
      <c r="A206" s="118" t="s">
        <v>159</v>
      </c>
      <c r="B206" s="119"/>
      <c r="C206" s="119"/>
      <c r="D206" s="38"/>
      <c r="E206" s="121"/>
      <c r="F206" s="121"/>
      <c r="G206" s="37"/>
      <c r="H206" s="125"/>
      <c r="I206" s="125"/>
      <c r="J206" s="119"/>
      <c r="K206" s="119"/>
      <c r="L206" s="119"/>
    </row>
    <row r="207" spans="1:12" x14ac:dyDescent="0.25">
      <c r="A207" s="39" t="s">
        <v>74</v>
      </c>
      <c r="B207" s="39" t="s">
        <v>135</v>
      </c>
      <c r="C207" s="39"/>
      <c r="D207" s="39"/>
      <c r="E207" s="39" t="s">
        <v>100</v>
      </c>
      <c r="F207" s="39"/>
      <c r="G207" s="39" t="s">
        <v>85</v>
      </c>
      <c r="H207" s="39" t="s">
        <v>79</v>
      </c>
      <c r="I207" s="39" t="s">
        <v>80</v>
      </c>
      <c r="J207" s="39" t="s">
        <v>40</v>
      </c>
      <c r="K207" s="39"/>
      <c r="L207" s="39" t="s">
        <v>86</v>
      </c>
    </row>
    <row r="208" spans="1:12" x14ac:dyDescent="0.25">
      <c r="A208" s="116" t="s">
        <v>70</v>
      </c>
      <c r="B208" s="116" t="s">
        <v>139</v>
      </c>
      <c r="E208" s="120" t="s">
        <v>99</v>
      </c>
      <c r="G208" s="116" t="s">
        <v>8</v>
      </c>
      <c r="H208" s="131">
        <v>0.25</v>
      </c>
      <c r="I208" s="131">
        <v>0</v>
      </c>
      <c r="L208" s="116" t="str">
        <f t="shared" si="4"/>
        <v>Permeable Pavement Surfacewithout check dams&lt;2Pre-developed Pasture Standard</v>
      </c>
    </row>
    <row r="209" spans="1:12" x14ac:dyDescent="0.25">
      <c r="A209" s="119" t="s">
        <v>70</v>
      </c>
      <c r="B209" s="119" t="s">
        <v>139</v>
      </c>
      <c r="C209" s="119"/>
      <c r="D209" s="119"/>
      <c r="E209" s="121" t="s">
        <v>97</v>
      </c>
      <c r="F209" s="121"/>
      <c r="G209" s="119" t="s">
        <v>8</v>
      </c>
      <c r="H209" s="125">
        <v>0</v>
      </c>
      <c r="I209" s="125">
        <v>0</v>
      </c>
      <c r="J209" s="119"/>
      <c r="K209" s="119"/>
      <c r="L209" s="119" t="str">
        <f t="shared" si="4"/>
        <v>Permeable Pavement Surfacewithout check dams&gt;2Pre-developed Pasture Standard</v>
      </c>
    </row>
    <row r="210" spans="1:12" x14ac:dyDescent="0.25">
      <c r="A210" s="116" t="s">
        <v>70</v>
      </c>
      <c r="B210" s="116" t="s">
        <v>139</v>
      </c>
      <c r="E210" s="120" t="s">
        <v>99</v>
      </c>
      <c r="G210" s="116" t="s">
        <v>77</v>
      </c>
      <c r="H210" s="131">
        <v>7.0000000000000007E-2</v>
      </c>
      <c r="I210" s="131">
        <v>0</v>
      </c>
      <c r="J210" s="116" t="s">
        <v>98</v>
      </c>
      <c r="L210" s="116" t="str">
        <f t="shared" si="4"/>
        <v>Permeable Pavement Surfacewithout check dams&lt;2Peak Control Standard</v>
      </c>
    </row>
    <row r="211" spans="1:12" x14ac:dyDescent="0.25">
      <c r="A211" s="119" t="s">
        <v>70</v>
      </c>
      <c r="B211" s="119" t="s">
        <v>139</v>
      </c>
      <c r="C211" s="119"/>
      <c r="D211" s="119"/>
      <c r="E211" s="121" t="s">
        <v>97</v>
      </c>
      <c r="F211" s="121"/>
      <c r="G211" s="119" t="s">
        <v>77</v>
      </c>
      <c r="H211" s="125">
        <v>0</v>
      </c>
      <c r="I211" s="125">
        <v>0</v>
      </c>
      <c r="J211" s="119"/>
      <c r="K211" s="119"/>
      <c r="L211" s="119" t="str">
        <f t="shared" si="4"/>
        <v>Permeable Pavement Surfacewithout check dams&gt;2Peak Control Standard</v>
      </c>
    </row>
    <row r="212" spans="1:12" x14ac:dyDescent="0.25">
      <c r="A212" s="116" t="s">
        <v>70</v>
      </c>
      <c r="B212" s="116" t="s">
        <v>139</v>
      </c>
      <c r="E212" s="120" t="s">
        <v>99</v>
      </c>
      <c r="G212" s="30" t="s">
        <v>78</v>
      </c>
      <c r="H212" s="131">
        <v>0.88</v>
      </c>
      <c r="I212" s="131">
        <v>0</v>
      </c>
      <c r="L212" s="116" t="str">
        <f t="shared" si="4"/>
        <v>Permeable Pavement Surfacewithout check dams&lt;2Water Quality Treatment</v>
      </c>
    </row>
    <row r="213" spans="1:12" x14ac:dyDescent="0.25">
      <c r="A213" s="119" t="s">
        <v>70</v>
      </c>
      <c r="B213" s="119" t="s">
        <v>139</v>
      </c>
      <c r="C213" s="119"/>
      <c r="D213" s="119"/>
      <c r="E213" s="121" t="s">
        <v>97</v>
      </c>
      <c r="F213" s="121"/>
      <c r="G213" s="37" t="s">
        <v>78</v>
      </c>
      <c r="H213" s="125">
        <v>0.06</v>
      </c>
      <c r="I213" s="125">
        <v>0</v>
      </c>
      <c r="J213" s="119"/>
      <c r="K213" s="119"/>
      <c r="L213" s="119" t="str">
        <f t="shared" si="4"/>
        <v>Permeable Pavement Surfacewithout check dams&gt;2Water Quality Treatment</v>
      </c>
    </row>
    <row r="214" spans="1:12" x14ac:dyDescent="0.25">
      <c r="A214" s="116" t="s">
        <v>70</v>
      </c>
      <c r="B214" s="117" t="s">
        <v>140</v>
      </c>
      <c r="C214" s="117"/>
      <c r="D214" s="117"/>
      <c r="E214" s="122" t="s">
        <v>99</v>
      </c>
      <c r="F214" s="122"/>
      <c r="G214" s="117" t="s">
        <v>8</v>
      </c>
      <c r="H214" s="134">
        <v>1</v>
      </c>
      <c r="I214" s="134">
        <v>0</v>
      </c>
      <c r="J214" s="117"/>
      <c r="K214" s="117"/>
      <c r="L214" s="117" t="str">
        <f t="shared" si="4"/>
        <v>Permeable Pavement Surfacewith check dams&lt;2Pre-developed Pasture Standard</v>
      </c>
    </row>
    <row r="215" spans="1:12" x14ac:dyDescent="0.25">
      <c r="A215" s="119" t="s">
        <v>70</v>
      </c>
      <c r="B215" s="119" t="s">
        <v>140</v>
      </c>
      <c r="C215" s="119"/>
      <c r="D215" s="119"/>
      <c r="E215" s="121" t="s">
        <v>97</v>
      </c>
      <c r="F215" s="121"/>
      <c r="G215" s="119" t="s">
        <v>8</v>
      </c>
      <c r="H215" s="125">
        <v>0.99</v>
      </c>
      <c r="I215" s="125">
        <v>0</v>
      </c>
      <c r="J215" s="119"/>
      <c r="K215" s="119"/>
      <c r="L215" s="119" t="str">
        <f t="shared" si="4"/>
        <v>Permeable Pavement Surfacewith check dams&gt;2Pre-developed Pasture Standard</v>
      </c>
    </row>
    <row r="216" spans="1:12" x14ac:dyDescent="0.25">
      <c r="A216" s="116" t="s">
        <v>70</v>
      </c>
      <c r="B216" s="117" t="s">
        <v>140</v>
      </c>
      <c r="C216" s="117"/>
      <c r="D216" s="117"/>
      <c r="E216" s="122" t="s">
        <v>99</v>
      </c>
      <c r="F216" s="122"/>
      <c r="G216" s="117" t="s">
        <v>77</v>
      </c>
      <c r="H216" s="134">
        <v>0.63</v>
      </c>
      <c r="I216" s="134">
        <v>0</v>
      </c>
      <c r="J216" s="117"/>
      <c r="K216" s="117"/>
      <c r="L216" s="117" t="str">
        <f t="shared" si="4"/>
        <v>Permeable Pavement Surfacewith check dams&lt;2Peak Control Standard</v>
      </c>
    </row>
    <row r="217" spans="1:12" x14ac:dyDescent="0.25">
      <c r="A217" s="119" t="s">
        <v>70</v>
      </c>
      <c r="B217" s="119" t="s">
        <v>140</v>
      </c>
      <c r="C217" s="119"/>
      <c r="D217" s="119"/>
      <c r="E217" s="121" t="s">
        <v>97</v>
      </c>
      <c r="F217" s="121"/>
      <c r="G217" s="119" t="s">
        <v>77</v>
      </c>
      <c r="H217" s="125">
        <v>0.68</v>
      </c>
      <c r="I217" s="125">
        <v>0</v>
      </c>
      <c r="J217" s="119"/>
      <c r="K217" s="119"/>
      <c r="L217" s="119" t="str">
        <f t="shared" si="4"/>
        <v>Permeable Pavement Surfacewith check dams&gt;2Peak Control Standard</v>
      </c>
    </row>
    <row r="218" spans="1:12" x14ac:dyDescent="0.25">
      <c r="A218" s="116" t="s">
        <v>70</v>
      </c>
      <c r="B218" s="116" t="s">
        <v>140</v>
      </c>
      <c r="E218" s="120" t="s">
        <v>99</v>
      </c>
      <c r="G218" s="30" t="s">
        <v>78</v>
      </c>
      <c r="H218" s="131">
        <v>1</v>
      </c>
      <c r="I218" s="131">
        <v>0</v>
      </c>
      <c r="L218" s="116" t="str">
        <f t="shared" si="4"/>
        <v>Permeable Pavement Surfacewith check dams&lt;2Water Quality Treatment</v>
      </c>
    </row>
    <row r="219" spans="1:12" x14ac:dyDescent="0.25">
      <c r="A219" s="119" t="s">
        <v>70</v>
      </c>
      <c r="B219" s="116" t="s">
        <v>140</v>
      </c>
      <c r="E219" s="121" t="s">
        <v>97</v>
      </c>
      <c r="G219" s="37" t="s">
        <v>78</v>
      </c>
      <c r="H219" s="131">
        <v>1</v>
      </c>
      <c r="I219" s="131">
        <v>0</v>
      </c>
      <c r="L219" s="116" t="str">
        <f t="shared" si="4"/>
        <v>Permeable Pavement Surfacewith check dams&gt;2Water Quality Treatment</v>
      </c>
    </row>
    <row r="220" spans="1:12" s="117" customFormat="1" x14ac:dyDescent="0.25">
      <c r="D220" s="44"/>
      <c r="E220" s="122"/>
      <c r="F220" s="122"/>
      <c r="G220" s="45"/>
      <c r="H220" s="134"/>
      <c r="I220" s="134"/>
    </row>
    <row r="221" spans="1:12" x14ac:dyDescent="0.25">
      <c r="A221" s="118" t="s">
        <v>160</v>
      </c>
      <c r="B221" s="119"/>
      <c r="C221" s="119"/>
      <c r="D221" s="38"/>
      <c r="E221" s="121"/>
      <c r="F221" s="121"/>
      <c r="G221" s="37"/>
      <c r="H221" s="125"/>
      <c r="I221" s="125"/>
      <c r="J221" s="119"/>
      <c r="K221" s="119"/>
      <c r="L221" s="119"/>
    </row>
    <row r="222" spans="1:12" x14ac:dyDescent="0.25">
      <c r="A222" s="39" t="s">
        <v>74</v>
      </c>
      <c r="B222" s="39"/>
      <c r="C222" s="39"/>
      <c r="D222" s="39"/>
      <c r="E222" s="39"/>
      <c r="F222" s="39"/>
      <c r="G222" s="39" t="s">
        <v>85</v>
      </c>
      <c r="H222" s="39" t="s">
        <v>79</v>
      </c>
      <c r="I222" s="39" t="s">
        <v>80</v>
      </c>
      <c r="J222" s="39" t="s">
        <v>40</v>
      </c>
      <c r="K222" s="39"/>
      <c r="L222" s="39" t="s">
        <v>86</v>
      </c>
    </row>
    <row r="223" spans="1:12" x14ac:dyDescent="0.25">
      <c r="A223" s="116" t="s">
        <v>58</v>
      </c>
      <c r="G223" s="120" t="s">
        <v>8</v>
      </c>
      <c r="H223" s="131">
        <v>0.16</v>
      </c>
      <c r="I223" s="131">
        <v>0</v>
      </c>
      <c r="L223" s="116" t="str">
        <f t="shared" si="4"/>
        <v>Vegetated Roof SystemPre-developed Pasture Standard</v>
      </c>
    </row>
    <row r="224" spans="1:12" x14ac:dyDescent="0.25">
      <c r="A224" s="119" t="s">
        <v>58</v>
      </c>
      <c r="B224" s="119"/>
      <c r="C224" s="119"/>
      <c r="D224" s="119"/>
      <c r="E224" s="121"/>
      <c r="F224" s="121"/>
      <c r="G224" s="121" t="s">
        <v>77</v>
      </c>
      <c r="H224" s="125">
        <v>0.8</v>
      </c>
      <c r="I224" s="125">
        <v>0</v>
      </c>
      <c r="J224" s="119"/>
      <c r="K224" s="119"/>
      <c r="L224" s="119" t="str">
        <f t="shared" si="4"/>
        <v>Vegetated Roof SystemPeak Control Standard</v>
      </c>
    </row>
    <row r="225" spans="1:12" x14ac:dyDescent="0.25">
      <c r="G225" s="120"/>
    </row>
    <row r="226" spans="1:12" x14ac:dyDescent="0.25">
      <c r="A226" s="118" t="s">
        <v>161</v>
      </c>
      <c r="B226" s="119"/>
      <c r="C226" s="119"/>
      <c r="D226" s="38"/>
      <c r="E226" s="121"/>
      <c r="F226" s="121"/>
      <c r="G226" s="37"/>
      <c r="H226" s="125"/>
      <c r="I226" s="125"/>
      <c r="J226" s="119"/>
      <c r="K226" s="119"/>
      <c r="L226" s="119"/>
    </row>
    <row r="227" spans="1:12" ht="45" x14ac:dyDescent="0.25">
      <c r="A227" s="39" t="s">
        <v>74</v>
      </c>
      <c r="B227" s="39" t="s">
        <v>60</v>
      </c>
      <c r="C227" s="39" t="s">
        <v>91</v>
      </c>
      <c r="D227" s="39"/>
      <c r="E227" s="49" t="s">
        <v>117</v>
      </c>
      <c r="F227" s="49" t="s">
        <v>118</v>
      </c>
      <c r="G227" s="39" t="s">
        <v>85</v>
      </c>
      <c r="H227" s="39" t="s">
        <v>79</v>
      </c>
      <c r="I227" s="39" t="s">
        <v>80</v>
      </c>
      <c r="J227" s="39" t="s">
        <v>82</v>
      </c>
      <c r="K227" s="39"/>
      <c r="L227" s="39" t="s">
        <v>86</v>
      </c>
    </row>
    <row r="228" spans="1:12" x14ac:dyDescent="0.25">
      <c r="A228" s="117" t="s">
        <v>126</v>
      </c>
      <c r="B228" s="47" t="s">
        <v>62</v>
      </c>
      <c r="C228" s="117">
        <v>2</v>
      </c>
      <c r="D228" s="117"/>
      <c r="E228" s="122">
        <v>0</v>
      </c>
      <c r="F228" s="122">
        <v>2000</v>
      </c>
      <c r="G228" s="117" t="s">
        <v>8</v>
      </c>
      <c r="H228" s="134" t="s">
        <v>76</v>
      </c>
      <c r="I228" s="134"/>
      <c r="J228" s="117" t="s">
        <v>111</v>
      </c>
      <c r="K228" s="117"/>
      <c r="L228" s="117" t="str">
        <f t="shared" si="4"/>
        <v>Bioretention with Underdrain2.5H:1V202000Pre-developed Pasture Standard</v>
      </c>
    </row>
    <row r="229" spans="1:12" x14ac:dyDescent="0.25">
      <c r="A229" s="116" t="s">
        <v>126</v>
      </c>
      <c r="B229" s="33" t="s">
        <v>62</v>
      </c>
      <c r="C229" s="116">
        <v>2</v>
      </c>
      <c r="E229" s="120">
        <v>2000</v>
      </c>
      <c r="F229" s="120">
        <v>10000</v>
      </c>
      <c r="G229" s="116" t="s">
        <v>8</v>
      </c>
      <c r="H229" s="131" t="s">
        <v>76</v>
      </c>
      <c r="J229" s="116" t="s">
        <v>111</v>
      </c>
      <c r="L229" s="116" t="str">
        <f t="shared" ref="L229:L283" si="5">A229&amp;B229&amp;C229&amp;D229&amp;E229&amp;F229&amp;G229</f>
        <v>Bioretention with Underdrain2.5H:1V2200010000Pre-developed Pasture Standard</v>
      </c>
    </row>
    <row r="230" spans="1:12" x14ac:dyDescent="0.25">
      <c r="A230" s="116" t="s">
        <v>126</v>
      </c>
      <c r="B230" s="33" t="s">
        <v>62</v>
      </c>
      <c r="C230" s="116">
        <v>6</v>
      </c>
      <c r="E230" s="120">
        <v>0</v>
      </c>
      <c r="F230" s="120">
        <v>2000</v>
      </c>
      <c r="G230" s="116" t="s">
        <v>8</v>
      </c>
      <c r="H230" s="131" t="s">
        <v>76</v>
      </c>
      <c r="J230" s="116" t="s">
        <v>111</v>
      </c>
      <c r="L230" s="116" t="str">
        <f t="shared" si="5"/>
        <v>Bioretention with Underdrain2.5H:1V602000Pre-developed Pasture Standard</v>
      </c>
    </row>
    <row r="231" spans="1:12" x14ac:dyDescent="0.25">
      <c r="A231" s="116" t="s">
        <v>126</v>
      </c>
      <c r="B231" s="33" t="s">
        <v>62</v>
      </c>
      <c r="C231" s="116">
        <v>6</v>
      </c>
      <c r="E231" s="120">
        <v>2000</v>
      </c>
      <c r="F231" s="120">
        <v>10000</v>
      </c>
      <c r="G231" s="116" t="s">
        <v>8</v>
      </c>
      <c r="H231" s="131" t="s">
        <v>76</v>
      </c>
      <c r="J231" s="116" t="s">
        <v>111</v>
      </c>
      <c r="L231" s="116" t="str">
        <f t="shared" si="5"/>
        <v>Bioretention with Underdrain2.5H:1V6200010000Pre-developed Pasture Standard</v>
      </c>
    </row>
    <row r="232" spans="1:12" x14ac:dyDescent="0.25">
      <c r="A232" s="116" t="s">
        <v>126</v>
      </c>
      <c r="B232" s="33" t="s">
        <v>62</v>
      </c>
      <c r="C232" s="116">
        <v>12</v>
      </c>
      <c r="E232" s="120">
        <v>0</v>
      </c>
      <c r="F232" s="120">
        <v>2000</v>
      </c>
      <c r="G232" s="116" t="s">
        <v>8</v>
      </c>
      <c r="H232" s="131" t="s">
        <v>76</v>
      </c>
      <c r="J232" s="116" t="s">
        <v>111</v>
      </c>
      <c r="L232" s="116" t="str">
        <f t="shared" si="5"/>
        <v>Bioretention with Underdrain2.5H:1V1202000Pre-developed Pasture Standard</v>
      </c>
    </row>
    <row r="233" spans="1:12" x14ac:dyDescent="0.25">
      <c r="A233" s="119" t="s">
        <v>126</v>
      </c>
      <c r="B233" s="35" t="s">
        <v>62</v>
      </c>
      <c r="C233" s="119">
        <v>12</v>
      </c>
      <c r="D233" s="119"/>
      <c r="E233" s="121">
        <v>2000</v>
      </c>
      <c r="F233" s="121">
        <v>10000</v>
      </c>
      <c r="G233" s="119" t="s">
        <v>8</v>
      </c>
      <c r="H233" s="125" t="s">
        <v>76</v>
      </c>
      <c r="I233" s="125"/>
      <c r="J233" s="119" t="s">
        <v>111</v>
      </c>
      <c r="K233" s="119"/>
      <c r="L233" s="119" t="str">
        <f t="shared" si="5"/>
        <v>Bioretention with Underdrain2.5H:1V12200010000Pre-developed Pasture Standard</v>
      </c>
    </row>
    <row r="234" spans="1:12" x14ac:dyDescent="0.25">
      <c r="A234" s="116" t="s">
        <v>126</v>
      </c>
      <c r="B234" s="33" t="s">
        <v>62</v>
      </c>
      <c r="C234" s="116">
        <v>2</v>
      </c>
      <c r="E234" s="120">
        <v>0</v>
      </c>
      <c r="F234" s="120">
        <v>2000</v>
      </c>
      <c r="G234" s="116" t="s">
        <v>77</v>
      </c>
      <c r="H234" s="131" t="s">
        <v>76</v>
      </c>
      <c r="J234" s="116" t="s">
        <v>119</v>
      </c>
      <c r="L234" s="116" t="str">
        <f t="shared" si="5"/>
        <v>Bioretention with Underdrain2.5H:1V202000Peak Control Standard</v>
      </c>
    </row>
    <row r="235" spans="1:12" x14ac:dyDescent="0.25">
      <c r="A235" s="116" t="s">
        <v>126</v>
      </c>
      <c r="B235" s="33" t="s">
        <v>62</v>
      </c>
      <c r="C235" s="116">
        <v>2</v>
      </c>
      <c r="E235" s="120">
        <v>2000</v>
      </c>
      <c r="F235" s="120">
        <v>10000</v>
      </c>
      <c r="G235" s="116" t="s">
        <v>77</v>
      </c>
      <c r="H235" s="131" t="s">
        <v>76</v>
      </c>
      <c r="J235" s="116" t="s">
        <v>119</v>
      </c>
      <c r="L235" s="116" t="str">
        <f t="shared" si="5"/>
        <v>Bioretention with Underdrain2.5H:1V2200010000Peak Control Standard</v>
      </c>
    </row>
    <row r="236" spans="1:12" x14ac:dyDescent="0.25">
      <c r="A236" s="116" t="s">
        <v>126</v>
      </c>
      <c r="B236" s="33" t="s">
        <v>62</v>
      </c>
      <c r="C236" s="116">
        <v>6</v>
      </c>
      <c r="E236" s="120">
        <v>0</v>
      </c>
      <c r="F236" s="120">
        <v>2000</v>
      </c>
      <c r="G236" s="116" t="s">
        <v>77</v>
      </c>
      <c r="H236" s="131" t="s">
        <v>76</v>
      </c>
      <c r="J236" s="116" t="s">
        <v>119</v>
      </c>
      <c r="L236" s="116" t="str">
        <f t="shared" si="5"/>
        <v>Bioretention with Underdrain2.5H:1V602000Peak Control Standard</v>
      </c>
    </row>
    <row r="237" spans="1:12" x14ac:dyDescent="0.25">
      <c r="A237" s="116" t="s">
        <v>126</v>
      </c>
      <c r="B237" s="33" t="s">
        <v>62</v>
      </c>
      <c r="C237" s="116">
        <v>6</v>
      </c>
      <c r="E237" s="120">
        <v>2000</v>
      </c>
      <c r="F237" s="120">
        <v>10000</v>
      </c>
      <c r="G237" s="116" t="s">
        <v>77</v>
      </c>
      <c r="H237" s="131" t="s">
        <v>76</v>
      </c>
      <c r="J237" s="116" t="s">
        <v>119</v>
      </c>
      <c r="L237" s="116" t="str">
        <f t="shared" si="5"/>
        <v>Bioretention with Underdrain2.5H:1V6200010000Peak Control Standard</v>
      </c>
    </row>
    <row r="238" spans="1:12" x14ac:dyDescent="0.25">
      <c r="A238" s="116" t="s">
        <v>126</v>
      </c>
      <c r="B238" s="33" t="s">
        <v>62</v>
      </c>
      <c r="C238" s="116">
        <v>12</v>
      </c>
      <c r="E238" s="120">
        <v>0</v>
      </c>
      <c r="F238" s="120">
        <v>2000</v>
      </c>
      <c r="G238" s="116" t="s">
        <v>77</v>
      </c>
      <c r="H238" s="131" t="s">
        <v>76</v>
      </c>
      <c r="J238" s="116" t="s">
        <v>119</v>
      </c>
      <c r="L238" s="116" t="str">
        <f t="shared" si="5"/>
        <v>Bioretention with Underdrain2.5H:1V1202000Peak Control Standard</v>
      </c>
    </row>
    <row r="239" spans="1:12" x14ac:dyDescent="0.25">
      <c r="A239" s="119" t="s">
        <v>126</v>
      </c>
      <c r="B239" s="119" t="s">
        <v>62</v>
      </c>
      <c r="C239" s="119">
        <v>12</v>
      </c>
      <c r="D239" s="119"/>
      <c r="E239" s="121">
        <v>2000</v>
      </c>
      <c r="F239" s="121">
        <v>10000</v>
      </c>
      <c r="G239" s="119" t="s">
        <v>77</v>
      </c>
      <c r="H239" s="125" t="s">
        <v>76</v>
      </c>
      <c r="I239" s="125"/>
      <c r="J239" s="119" t="s">
        <v>119</v>
      </c>
      <c r="K239" s="119"/>
      <c r="L239" s="119" t="str">
        <f t="shared" si="5"/>
        <v>Bioretention with Underdrain2.5H:1V12200010000Peak Control Standard</v>
      </c>
    </row>
    <row r="240" spans="1:12" x14ac:dyDescent="0.25">
      <c r="A240" s="116" t="s">
        <v>126</v>
      </c>
      <c r="B240" s="33" t="s">
        <v>62</v>
      </c>
      <c r="C240" s="116">
        <v>2</v>
      </c>
      <c r="E240" s="120">
        <v>0</v>
      </c>
      <c r="F240" s="120">
        <v>2000</v>
      </c>
      <c r="G240" s="116" t="s">
        <v>78</v>
      </c>
      <c r="H240" s="131">
        <v>1.2999999999999999E-2</v>
      </c>
      <c r="I240" s="131">
        <v>0</v>
      </c>
      <c r="L240" s="116" t="str">
        <f t="shared" si="5"/>
        <v>Bioretention with Underdrain2.5H:1V202000Water Quality Treatment</v>
      </c>
    </row>
    <row r="241" spans="1:12" x14ac:dyDescent="0.25">
      <c r="A241" s="116" t="s">
        <v>126</v>
      </c>
      <c r="B241" s="33" t="s">
        <v>62</v>
      </c>
      <c r="C241" s="116">
        <v>2</v>
      </c>
      <c r="E241" s="120">
        <v>2000</v>
      </c>
      <c r="F241" s="120">
        <v>10000</v>
      </c>
      <c r="G241" s="116" t="s">
        <v>78</v>
      </c>
      <c r="H241" s="131">
        <v>1.2999999999999999E-2</v>
      </c>
      <c r="I241" s="131">
        <v>0</v>
      </c>
      <c r="L241" s="116" t="str">
        <f t="shared" si="5"/>
        <v>Bioretention with Underdrain2.5H:1V2200010000Water Quality Treatment</v>
      </c>
    </row>
    <row r="242" spans="1:12" x14ac:dyDescent="0.25">
      <c r="A242" s="116" t="s">
        <v>126</v>
      </c>
      <c r="B242" s="33" t="s">
        <v>62</v>
      </c>
      <c r="C242" s="116">
        <v>6</v>
      </c>
      <c r="E242" s="120">
        <v>0</v>
      </c>
      <c r="F242" s="120">
        <v>2000</v>
      </c>
      <c r="G242" s="116" t="s">
        <v>78</v>
      </c>
      <c r="H242" s="131">
        <v>5.8999999999999999E-3</v>
      </c>
      <c r="I242" s="131">
        <v>-3.2149999999999999</v>
      </c>
      <c r="L242" s="116" t="str">
        <f t="shared" si="5"/>
        <v>Bioretention with Underdrain2.5H:1V602000Water Quality Treatment</v>
      </c>
    </row>
    <row r="243" spans="1:12" x14ac:dyDescent="0.25">
      <c r="A243" s="116" t="s">
        <v>126</v>
      </c>
      <c r="B243" s="33" t="s">
        <v>62</v>
      </c>
      <c r="C243" s="116">
        <v>6</v>
      </c>
      <c r="E243" s="120">
        <v>2000</v>
      </c>
      <c r="F243" s="120">
        <v>10000</v>
      </c>
      <c r="G243" s="116" t="s">
        <v>78</v>
      </c>
      <c r="H243" s="131">
        <v>9.7000000000000003E-3</v>
      </c>
      <c r="I243" s="131">
        <v>-11.297000000000001</v>
      </c>
      <c r="L243" s="116" t="str">
        <f t="shared" si="5"/>
        <v>Bioretention with Underdrain2.5H:1V6200010000Water Quality Treatment</v>
      </c>
    </row>
    <row r="244" spans="1:12" x14ac:dyDescent="0.25">
      <c r="A244" s="116" t="s">
        <v>126</v>
      </c>
      <c r="B244" s="33" t="s">
        <v>62</v>
      </c>
      <c r="C244" s="116">
        <v>12</v>
      </c>
      <c r="E244" s="120">
        <v>0</v>
      </c>
      <c r="F244" s="120">
        <v>2000</v>
      </c>
      <c r="G244" s="116" t="s">
        <v>78</v>
      </c>
      <c r="H244" s="131">
        <v>4.0000000000000001E-3</v>
      </c>
      <c r="I244" s="131">
        <v>0</v>
      </c>
      <c r="L244" s="116" t="str">
        <f t="shared" si="5"/>
        <v>Bioretention with Underdrain2.5H:1V1202000Water Quality Treatment</v>
      </c>
    </row>
    <row r="245" spans="1:12" x14ac:dyDescent="0.25">
      <c r="A245" s="119" t="s">
        <v>126</v>
      </c>
      <c r="B245" s="119" t="s">
        <v>62</v>
      </c>
      <c r="C245" s="116">
        <v>12</v>
      </c>
      <c r="E245" s="120">
        <v>2000</v>
      </c>
      <c r="F245" s="120">
        <v>10000</v>
      </c>
      <c r="G245" s="116" t="s">
        <v>78</v>
      </c>
      <c r="H245" s="131">
        <v>5.1999999999999998E-3</v>
      </c>
      <c r="I245" s="131">
        <v>-12.092000000000001</v>
      </c>
      <c r="L245" s="116" t="str">
        <f t="shared" si="5"/>
        <v>Bioretention with Underdrain2.5H:1V12200010000Water Quality Treatment</v>
      </c>
    </row>
    <row r="246" spans="1:12" x14ac:dyDescent="0.25">
      <c r="A246" s="117" t="s">
        <v>126</v>
      </c>
      <c r="B246" s="47" t="s">
        <v>61</v>
      </c>
      <c r="C246" s="117">
        <v>2</v>
      </c>
      <c r="D246" s="117"/>
      <c r="E246" s="122">
        <v>0</v>
      </c>
      <c r="F246" s="122">
        <v>2000</v>
      </c>
      <c r="G246" s="117" t="s">
        <v>8</v>
      </c>
      <c r="H246" s="134" t="s">
        <v>76</v>
      </c>
      <c r="I246" s="134"/>
      <c r="J246" s="117" t="s">
        <v>111</v>
      </c>
      <c r="K246" s="117"/>
      <c r="L246" s="117" t="str">
        <f>A246&amp;B246&amp;C246&amp;D246&amp;E246&amp;F246&amp;G246</f>
        <v>Bioretention with UnderdrainVertical202000Pre-developed Pasture Standard</v>
      </c>
    </row>
    <row r="247" spans="1:12" x14ac:dyDescent="0.25">
      <c r="A247" s="116" t="s">
        <v>126</v>
      </c>
      <c r="B247" s="33" t="s">
        <v>61</v>
      </c>
      <c r="C247" s="116">
        <v>2</v>
      </c>
      <c r="E247" s="120">
        <v>2000</v>
      </c>
      <c r="F247" s="120">
        <v>10000</v>
      </c>
      <c r="G247" s="116" t="s">
        <v>8</v>
      </c>
      <c r="H247" s="131" t="s">
        <v>76</v>
      </c>
      <c r="J247" s="116" t="s">
        <v>111</v>
      </c>
      <c r="L247" s="116" t="str">
        <f>A247&amp;B247&amp;C247&amp;D247&amp;E247&amp;F247&amp;G247</f>
        <v>Bioretention with UnderdrainVertical2200010000Pre-developed Pasture Standard</v>
      </c>
    </row>
    <row r="248" spans="1:12" x14ac:dyDescent="0.25">
      <c r="A248" s="116" t="s">
        <v>126</v>
      </c>
      <c r="B248" s="33" t="s">
        <v>61</v>
      </c>
      <c r="C248" s="116">
        <v>6</v>
      </c>
      <c r="E248" s="120">
        <v>0</v>
      </c>
      <c r="F248" s="120">
        <v>2000</v>
      </c>
      <c r="G248" s="116" t="s">
        <v>8</v>
      </c>
      <c r="H248" s="131" t="s">
        <v>76</v>
      </c>
      <c r="J248" s="116" t="s">
        <v>111</v>
      </c>
      <c r="L248" s="116" t="str">
        <f t="shared" si="5"/>
        <v>Bioretention with UnderdrainVertical602000Pre-developed Pasture Standard</v>
      </c>
    </row>
    <row r="249" spans="1:12" x14ac:dyDescent="0.25">
      <c r="A249" s="116" t="s">
        <v>126</v>
      </c>
      <c r="B249" s="33" t="s">
        <v>61</v>
      </c>
      <c r="C249" s="116">
        <v>6</v>
      </c>
      <c r="E249" s="120">
        <v>2000</v>
      </c>
      <c r="F249" s="120">
        <v>10000</v>
      </c>
      <c r="G249" s="116" t="s">
        <v>8</v>
      </c>
      <c r="H249" s="131" t="s">
        <v>76</v>
      </c>
      <c r="J249" s="116" t="s">
        <v>111</v>
      </c>
      <c r="L249" s="116" t="str">
        <f t="shared" si="5"/>
        <v>Bioretention with UnderdrainVertical6200010000Pre-developed Pasture Standard</v>
      </c>
    </row>
    <row r="250" spans="1:12" x14ac:dyDescent="0.25">
      <c r="A250" s="116" t="s">
        <v>126</v>
      </c>
      <c r="B250" s="33" t="s">
        <v>61</v>
      </c>
      <c r="C250" s="116">
        <v>12</v>
      </c>
      <c r="E250" s="120">
        <v>0</v>
      </c>
      <c r="F250" s="120">
        <v>2000</v>
      </c>
      <c r="G250" s="116" t="s">
        <v>8</v>
      </c>
      <c r="H250" s="131" t="s">
        <v>76</v>
      </c>
      <c r="J250" s="116" t="s">
        <v>111</v>
      </c>
      <c r="L250" s="116" t="str">
        <f t="shared" si="5"/>
        <v>Bioretention with UnderdrainVertical1202000Pre-developed Pasture Standard</v>
      </c>
    </row>
    <row r="251" spans="1:12" x14ac:dyDescent="0.25">
      <c r="A251" s="119" t="s">
        <v>126</v>
      </c>
      <c r="B251" s="35" t="s">
        <v>61</v>
      </c>
      <c r="C251" s="119">
        <v>12</v>
      </c>
      <c r="D251" s="119"/>
      <c r="E251" s="121">
        <v>2000</v>
      </c>
      <c r="F251" s="121">
        <v>10000</v>
      </c>
      <c r="G251" s="119" t="s">
        <v>8</v>
      </c>
      <c r="H251" s="125" t="s">
        <v>76</v>
      </c>
      <c r="I251" s="125"/>
      <c r="J251" s="119" t="s">
        <v>111</v>
      </c>
      <c r="K251" s="119"/>
      <c r="L251" s="119" t="str">
        <f t="shared" si="5"/>
        <v>Bioretention with UnderdrainVertical12200010000Pre-developed Pasture Standard</v>
      </c>
    </row>
    <row r="252" spans="1:12" x14ac:dyDescent="0.25">
      <c r="A252" s="117" t="s">
        <v>126</v>
      </c>
      <c r="B252" s="47" t="s">
        <v>61</v>
      </c>
      <c r="C252" s="117">
        <v>2</v>
      </c>
      <c r="D252" s="117"/>
      <c r="E252" s="122">
        <v>0</v>
      </c>
      <c r="F252" s="122">
        <v>2000</v>
      </c>
      <c r="G252" s="117" t="s">
        <v>77</v>
      </c>
      <c r="H252" s="134" t="s">
        <v>76</v>
      </c>
      <c r="I252" s="134"/>
      <c r="J252" s="117" t="s">
        <v>119</v>
      </c>
      <c r="K252" s="117"/>
      <c r="L252" s="117" t="str">
        <f>A252&amp;B252&amp;C252&amp;D252&amp;E252&amp;F252&amp;G252</f>
        <v>Bioretention with UnderdrainVertical202000Peak Control Standard</v>
      </c>
    </row>
    <row r="253" spans="1:12" x14ac:dyDescent="0.25">
      <c r="A253" s="116" t="s">
        <v>126</v>
      </c>
      <c r="B253" s="33" t="s">
        <v>61</v>
      </c>
      <c r="C253" s="116">
        <v>2</v>
      </c>
      <c r="E253" s="120">
        <v>2000</v>
      </c>
      <c r="F253" s="120">
        <v>10000</v>
      </c>
      <c r="G253" s="116" t="s">
        <v>77</v>
      </c>
      <c r="H253" s="131" t="s">
        <v>76</v>
      </c>
      <c r="J253" s="116" t="s">
        <v>119</v>
      </c>
      <c r="L253" s="116" t="str">
        <f>A253&amp;B253&amp;C253&amp;D253&amp;E253&amp;F253&amp;G253</f>
        <v>Bioretention with UnderdrainVertical2200010000Peak Control Standard</v>
      </c>
    </row>
    <row r="254" spans="1:12" x14ac:dyDescent="0.25">
      <c r="A254" s="116" t="s">
        <v>126</v>
      </c>
      <c r="B254" s="33" t="s">
        <v>61</v>
      </c>
      <c r="C254" s="116">
        <v>6</v>
      </c>
      <c r="E254" s="120">
        <v>0</v>
      </c>
      <c r="F254" s="120">
        <v>2000</v>
      </c>
      <c r="G254" s="116" t="s">
        <v>77</v>
      </c>
      <c r="H254" s="131" t="s">
        <v>76</v>
      </c>
      <c r="J254" s="116" t="s">
        <v>119</v>
      </c>
      <c r="L254" s="116" t="str">
        <f t="shared" si="5"/>
        <v>Bioretention with UnderdrainVertical602000Peak Control Standard</v>
      </c>
    </row>
    <row r="255" spans="1:12" x14ac:dyDescent="0.25">
      <c r="A255" s="116" t="s">
        <v>126</v>
      </c>
      <c r="B255" s="33" t="s">
        <v>61</v>
      </c>
      <c r="C255" s="116">
        <v>6</v>
      </c>
      <c r="E255" s="120">
        <v>2000</v>
      </c>
      <c r="F255" s="120">
        <v>10000</v>
      </c>
      <c r="G255" s="116" t="s">
        <v>77</v>
      </c>
      <c r="H255" s="131" t="s">
        <v>76</v>
      </c>
      <c r="J255" s="116" t="s">
        <v>119</v>
      </c>
      <c r="L255" s="116" t="str">
        <f t="shared" si="5"/>
        <v>Bioretention with UnderdrainVertical6200010000Peak Control Standard</v>
      </c>
    </row>
    <row r="256" spans="1:12" x14ac:dyDescent="0.25">
      <c r="A256" s="116" t="s">
        <v>126</v>
      </c>
      <c r="B256" s="33" t="s">
        <v>61</v>
      </c>
      <c r="C256" s="116">
        <v>12</v>
      </c>
      <c r="E256" s="120">
        <v>0</v>
      </c>
      <c r="F256" s="120">
        <v>2000</v>
      </c>
      <c r="G256" s="116" t="s">
        <v>77</v>
      </c>
      <c r="H256" s="131" t="s">
        <v>76</v>
      </c>
      <c r="J256" s="116" t="s">
        <v>119</v>
      </c>
      <c r="L256" s="116" t="str">
        <f t="shared" si="5"/>
        <v>Bioretention with UnderdrainVertical1202000Peak Control Standard</v>
      </c>
    </row>
    <row r="257" spans="1:12" x14ac:dyDescent="0.25">
      <c r="A257" s="119" t="s">
        <v>126</v>
      </c>
      <c r="B257" s="35" t="s">
        <v>61</v>
      </c>
      <c r="C257" s="119">
        <v>12</v>
      </c>
      <c r="D257" s="119"/>
      <c r="E257" s="121">
        <v>2000</v>
      </c>
      <c r="F257" s="121">
        <v>10000</v>
      </c>
      <c r="G257" s="119" t="s">
        <v>77</v>
      </c>
      <c r="H257" s="125" t="s">
        <v>76</v>
      </c>
      <c r="I257" s="125"/>
      <c r="J257" s="119" t="s">
        <v>119</v>
      </c>
      <c r="K257" s="119"/>
      <c r="L257" s="119" t="str">
        <f t="shared" si="5"/>
        <v>Bioretention with UnderdrainVertical12200010000Peak Control Standard</v>
      </c>
    </row>
    <row r="258" spans="1:12" x14ac:dyDescent="0.25">
      <c r="A258" s="117" t="s">
        <v>126</v>
      </c>
      <c r="B258" s="47" t="s">
        <v>61</v>
      </c>
      <c r="C258" s="117">
        <v>6</v>
      </c>
      <c r="D258" s="117"/>
      <c r="E258" s="122">
        <v>0</v>
      </c>
      <c r="F258" s="122">
        <v>10000</v>
      </c>
      <c r="G258" s="117" t="s">
        <v>78</v>
      </c>
      <c r="H258" s="134">
        <v>1.2E-2</v>
      </c>
      <c r="I258" s="134">
        <v>0</v>
      </c>
      <c r="J258" s="117"/>
      <c r="K258" s="117"/>
      <c r="L258" s="117" t="str">
        <f t="shared" si="5"/>
        <v>Bioretention with UnderdrainVertical6010000Water Quality Treatment</v>
      </c>
    </row>
    <row r="259" spans="1:12" x14ac:dyDescent="0.25">
      <c r="A259" s="119" t="s">
        <v>126</v>
      </c>
      <c r="B259" s="35" t="s">
        <v>61</v>
      </c>
      <c r="C259" s="119">
        <v>12</v>
      </c>
      <c r="D259" s="119"/>
      <c r="E259" s="121">
        <v>0</v>
      </c>
      <c r="F259" s="121">
        <v>10000</v>
      </c>
      <c r="G259" s="119" t="s">
        <v>78</v>
      </c>
      <c r="H259" s="125">
        <v>0.01</v>
      </c>
      <c r="I259" s="125">
        <v>0</v>
      </c>
      <c r="J259" s="119"/>
      <c r="K259" s="119"/>
      <c r="L259" s="119" t="str">
        <f t="shared" si="5"/>
        <v>Bioretention with UnderdrainVertical12010000Water Quality Treatment</v>
      </c>
    </row>
    <row r="260" spans="1:12" x14ac:dyDescent="0.25">
      <c r="B260" s="33"/>
    </row>
    <row r="261" spans="1:12" x14ac:dyDescent="0.25">
      <c r="B261" s="33"/>
    </row>
    <row r="262" spans="1:12" x14ac:dyDescent="0.25">
      <c r="A262" s="118" t="s">
        <v>162</v>
      </c>
      <c r="B262" s="35"/>
      <c r="C262" s="119"/>
      <c r="D262" s="119"/>
      <c r="E262" s="121"/>
      <c r="F262" s="121"/>
      <c r="G262" s="119"/>
      <c r="H262" s="125"/>
      <c r="I262" s="125"/>
      <c r="J262" s="119"/>
      <c r="K262" s="119"/>
      <c r="L262" s="119"/>
    </row>
    <row r="263" spans="1:12" ht="60" x14ac:dyDescent="0.25">
      <c r="A263" s="39" t="s">
        <v>74</v>
      </c>
      <c r="B263" s="119"/>
      <c r="C263" s="119"/>
      <c r="D263" s="39" t="s">
        <v>92</v>
      </c>
      <c r="E263" s="49" t="s">
        <v>117</v>
      </c>
      <c r="F263" s="49" t="s">
        <v>118</v>
      </c>
      <c r="G263" s="39" t="s">
        <v>85</v>
      </c>
      <c r="H263" s="39" t="s">
        <v>79</v>
      </c>
      <c r="I263" s="39" t="s">
        <v>80</v>
      </c>
      <c r="J263" s="39" t="s">
        <v>82</v>
      </c>
      <c r="K263" s="39"/>
      <c r="L263" s="39" t="s">
        <v>86</v>
      </c>
    </row>
    <row r="264" spans="1:12" x14ac:dyDescent="0.25">
      <c r="A264" s="116" t="s">
        <v>31</v>
      </c>
      <c r="D264" s="116">
        <v>0.15</v>
      </c>
      <c r="E264" s="120">
        <v>0</v>
      </c>
      <c r="F264" s="120">
        <v>2000</v>
      </c>
      <c r="G264" s="116" t="s">
        <v>8</v>
      </c>
      <c r="H264" s="131">
        <v>0.13100000000000001</v>
      </c>
      <c r="I264" s="131">
        <v>0</v>
      </c>
      <c r="L264" s="116" t="str">
        <f t="shared" si="5"/>
        <v>Infiltration Chamber0.1502000Pre-developed Pasture Standard</v>
      </c>
    </row>
    <row r="265" spans="1:12" x14ac:dyDescent="0.25">
      <c r="A265" s="116" t="s">
        <v>31</v>
      </c>
      <c r="D265" s="116">
        <v>0.15</v>
      </c>
      <c r="E265" s="120">
        <v>2000</v>
      </c>
      <c r="F265" s="120">
        <v>10000</v>
      </c>
      <c r="G265" s="116" t="s">
        <v>8</v>
      </c>
      <c r="H265" s="131">
        <v>8.7900000000000006E-2</v>
      </c>
      <c r="I265" s="131">
        <v>91.4</v>
      </c>
      <c r="L265" s="116" t="str">
        <f t="shared" si="5"/>
        <v>Infiltration Chamber0.15200010000Pre-developed Pasture Standard</v>
      </c>
    </row>
    <row r="266" spans="1:12" x14ac:dyDescent="0.25">
      <c r="A266" s="116" t="s">
        <v>31</v>
      </c>
      <c r="D266" s="116">
        <v>0.3</v>
      </c>
      <c r="E266" s="120">
        <v>0</v>
      </c>
      <c r="F266" s="120">
        <v>2000</v>
      </c>
      <c r="G266" s="116" t="s">
        <v>8</v>
      </c>
      <c r="H266" s="131">
        <v>0.111</v>
      </c>
      <c r="I266" s="131">
        <v>0</v>
      </c>
      <c r="L266" s="116" t="str">
        <f t="shared" si="5"/>
        <v>Infiltration Chamber0.302000Pre-developed Pasture Standard</v>
      </c>
    </row>
    <row r="267" spans="1:12" x14ac:dyDescent="0.25">
      <c r="A267" s="116" t="s">
        <v>31</v>
      </c>
      <c r="D267" s="116">
        <v>0.3</v>
      </c>
      <c r="E267" s="120">
        <v>2000</v>
      </c>
      <c r="F267" s="120">
        <v>10000</v>
      </c>
      <c r="G267" s="116" t="s">
        <v>8</v>
      </c>
      <c r="H267" s="131">
        <v>7.3300000000000004E-2</v>
      </c>
      <c r="I267" s="131">
        <v>79.900000000000006</v>
      </c>
      <c r="L267" s="116" t="str">
        <f t="shared" si="5"/>
        <v>Infiltration Chamber0.3200010000Pre-developed Pasture Standard</v>
      </c>
    </row>
    <row r="268" spans="1:12" x14ac:dyDescent="0.25">
      <c r="A268" s="116" t="s">
        <v>31</v>
      </c>
      <c r="D268" s="116">
        <v>0.6</v>
      </c>
      <c r="E268" s="120">
        <v>0</v>
      </c>
      <c r="F268" s="120">
        <v>2000</v>
      </c>
      <c r="G268" s="116" t="s">
        <v>8</v>
      </c>
      <c r="H268" s="131">
        <v>7.1999999999999995E-2</v>
      </c>
      <c r="I268" s="131">
        <v>0</v>
      </c>
      <c r="L268" s="116" t="str">
        <f t="shared" si="5"/>
        <v>Infiltration Chamber0.602000Pre-developed Pasture Standard</v>
      </c>
    </row>
    <row r="269" spans="1:12" x14ac:dyDescent="0.25">
      <c r="A269" s="116" t="s">
        <v>31</v>
      </c>
      <c r="D269" s="116">
        <v>0.6</v>
      </c>
      <c r="E269" s="120">
        <v>2000</v>
      </c>
      <c r="F269" s="120">
        <v>10000</v>
      </c>
      <c r="G269" s="116" t="s">
        <v>8</v>
      </c>
      <c r="H269" s="131">
        <v>4.41E-2</v>
      </c>
      <c r="I269" s="131">
        <v>56.8</v>
      </c>
      <c r="L269" s="116" t="str">
        <f t="shared" si="5"/>
        <v>Infiltration Chamber0.6200010000Pre-developed Pasture Standard</v>
      </c>
    </row>
    <row r="270" spans="1:12" x14ac:dyDescent="0.25">
      <c r="A270" s="116" t="s">
        <v>31</v>
      </c>
      <c r="D270" s="116">
        <v>1</v>
      </c>
      <c r="E270" s="120">
        <v>0</v>
      </c>
      <c r="F270" s="120">
        <v>2000</v>
      </c>
      <c r="G270" s="116" t="s">
        <v>8</v>
      </c>
      <c r="H270" s="131">
        <v>6.4000000000000001E-2</v>
      </c>
      <c r="I270" s="131">
        <v>0</v>
      </c>
      <c r="L270" s="116" t="str">
        <f t="shared" si="5"/>
        <v>Infiltration Chamber102000Pre-developed Pasture Standard</v>
      </c>
    </row>
    <row r="271" spans="1:12" x14ac:dyDescent="0.25">
      <c r="A271" s="116" t="s">
        <v>31</v>
      </c>
      <c r="D271" s="116">
        <v>1</v>
      </c>
      <c r="E271" s="120">
        <v>2000</v>
      </c>
      <c r="F271" s="120">
        <v>10000</v>
      </c>
      <c r="G271" s="116" t="s">
        <v>8</v>
      </c>
      <c r="H271" s="131">
        <v>3.9199999999999999E-2</v>
      </c>
      <c r="I271" s="131">
        <v>50.7</v>
      </c>
      <c r="L271" s="116" t="str">
        <f t="shared" si="5"/>
        <v>Infiltration Chamber1200010000Pre-developed Pasture Standard</v>
      </c>
    </row>
    <row r="272" spans="1:12" x14ac:dyDescent="0.25">
      <c r="A272" s="116" t="s">
        <v>31</v>
      </c>
      <c r="D272" s="116">
        <v>2.5</v>
      </c>
      <c r="E272" s="120">
        <v>0</v>
      </c>
      <c r="F272" s="120">
        <v>2000</v>
      </c>
      <c r="G272" s="116" t="s">
        <v>8</v>
      </c>
      <c r="H272" s="131">
        <v>3.4000000000000002E-2</v>
      </c>
      <c r="I272" s="131">
        <v>0</v>
      </c>
      <c r="L272" s="116" t="str">
        <f t="shared" si="5"/>
        <v>Infiltration Chamber2.502000Pre-developed Pasture Standard</v>
      </c>
    </row>
    <row r="273" spans="1:13" x14ac:dyDescent="0.25">
      <c r="A273" s="119" t="s">
        <v>31</v>
      </c>
      <c r="B273" s="119"/>
      <c r="C273" s="119"/>
      <c r="D273" s="119">
        <v>2.5</v>
      </c>
      <c r="E273" s="121">
        <v>2000</v>
      </c>
      <c r="F273" s="121">
        <v>10000</v>
      </c>
      <c r="G273" s="119" t="s">
        <v>8</v>
      </c>
      <c r="H273" s="125">
        <v>2.1000000000000001E-2</v>
      </c>
      <c r="I273" s="125">
        <v>28</v>
      </c>
      <c r="J273" s="119"/>
      <c r="K273" s="119"/>
      <c r="L273" s="119" t="str">
        <f t="shared" si="5"/>
        <v>Infiltration Chamber2.5200010000Pre-developed Pasture Standard</v>
      </c>
    </row>
    <row r="274" spans="1:13" x14ac:dyDescent="0.25">
      <c r="A274" s="116" t="s">
        <v>31</v>
      </c>
      <c r="D274" s="116">
        <v>0.15</v>
      </c>
      <c r="G274" s="116" t="s">
        <v>77</v>
      </c>
      <c r="H274" s="131">
        <v>0.126</v>
      </c>
      <c r="I274" s="131">
        <v>0</v>
      </c>
      <c r="L274" s="116" t="str">
        <f t="shared" si="5"/>
        <v>Infiltration Chamber0.15Peak Control Standard</v>
      </c>
    </row>
    <row r="275" spans="1:13" x14ac:dyDescent="0.25">
      <c r="A275" s="116" t="s">
        <v>31</v>
      </c>
      <c r="D275" s="116">
        <v>0.3</v>
      </c>
      <c r="G275" s="116" t="s">
        <v>77</v>
      </c>
      <c r="H275" s="131">
        <v>0.111</v>
      </c>
      <c r="I275" s="131">
        <v>0</v>
      </c>
      <c r="L275" s="116" t="str">
        <f t="shared" si="5"/>
        <v>Infiltration Chamber0.3Peak Control Standard</v>
      </c>
    </row>
    <row r="276" spans="1:13" x14ac:dyDescent="0.25">
      <c r="A276" s="116" t="s">
        <v>31</v>
      </c>
      <c r="D276" s="116">
        <v>0.6</v>
      </c>
      <c r="G276" s="116" t="s">
        <v>77</v>
      </c>
      <c r="H276" s="131">
        <v>0.08</v>
      </c>
      <c r="I276" s="131">
        <v>0</v>
      </c>
      <c r="L276" s="116" t="str">
        <f t="shared" si="5"/>
        <v>Infiltration Chamber0.6Peak Control Standard</v>
      </c>
    </row>
    <row r="277" spans="1:13" x14ac:dyDescent="0.25">
      <c r="A277" s="116" t="s">
        <v>31</v>
      </c>
      <c r="D277" s="116">
        <v>1</v>
      </c>
      <c r="G277" s="116" t="s">
        <v>77</v>
      </c>
      <c r="H277" s="131">
        <v>7.1999999999999995E-2</v>
      </c>
      <c r="I277" s="131">
        <v>0</v>
      </c>
      <c r="L277" s="116" t="str">
        <f t="shared" si="5"/>
        <v>Infiltration Chamber1Peak Control Standard</v>
      </c>
    </row>
    <row r="278" spans="1:13" x14ac:dyDescent="0.25">
      <c r="A278" s="119" t="s">
        <v>31</v>
      </c>
      <c r="B278" s="119"/>
      <c r="C278" s="119"/>
      <c r="D278" s="119">
        <v>2.5</v>
      </c>
      <c r="E278" s="121"/>
      <c r="F278" s="121"/>
      <c r="G278" s="119" t="s">
        <v>77</v>
      </c>
      <c r="H278" s="125">
        <v>4.2999999999999997E-2</v>
      </c>
      <c r="I278" s="125">
        <v>0</v>
      </c>
      <c r="J278" s="119"/>
      <c r="K278" s="119"/>
      <c r="L278" s="119" t="str">
        <f t="shared" si="5"/>
        <v>Infiltration Chamber2.5Peak Control Standard</v>
      </c>
    </row>
    <row r="279" spans="1:13" x14ac:dyDescent="0.25">
      <c r="A279" s="116" t="s">
        <v>31</v>
      </c>
      <c r="D279" s="116">
        <v>0.15</v>
      </c>
      <c r="G279" s="116" t="s">
        <v>78</v>
      </c>
      <c r="H279" s="131">
        <v>6.2E-2</v>
      </c>
      <c r="I279" s="131">
        <v>0</v>
      </c>
      <c r="L279" s="116" t="str">
        <f t="shared" si="5"/>
        <v>Infiltration Chamber0.15Water Quality Treatment</v>
      </c>
    </row>
    <row r="280" spans="1:13" x14ac:dyDescent="0.25">
      <c r="A280" s="116" t="s">
        <v>31</v>
      </c>
      <c r="D280" s="116">
        <v>0.3</v>
      </c>
      <c r="G280" s="116" t="s">
        <v>78</v>
      </c>
      <c r="H280" s="131">
        <v>5.0999999999999997E-2</v>
      </c>
      <c r="I280" s="131">
        <v>0</v>
      </c>
      <c r="L280" s="116" t="str">
        <f t="shared" si="5"/>
        <v>Infiltration Chamber0.3Water Quality Treatment</v>
      </c>
    </row>
    <row r="281" spans="1:13" x14ac:dyDescent="0.25">
      <c r="A281" s="116" t="s">
        <v>31</v>
      </c>
      <c r="D281" s="116">
        <v>0.6</v>
      </c>
      <c r="G281" s="116" t="s">
        <v>78</v>
      </c>
      <c r="H281" s="131">
        <v>0.03</v>
      </c>
      <c r="I281" s="131">
        <v>0</v>
      </c>
      <c r="L281" s="116" t="str">
        <f t="shared" si="5"/>
        <v>Infiltration Chamber0.6Water Quality Treatment</v>
      </c>
    </row>
    <row r="282" spans="1:13" x14ac:dyDescent="0.25">
      <c r="A282" s="116" t="s">
        <v>31</v>
      </c>
      <c r="D282" s="116">
        <v>1</v>
      </c>
      <c r="G282" s="116" t="s">
        <v>78</v>
      </c>
      <c r="H282" s="131">
        <v>2.5999999999999999E-2</v>
      </c>
      <c r="I282" s="131">
        <v>0</v>
      </c>
      <c r="L282" s="116" t="str">
        <f t="shared" si="5"/>
        <v>Infiltration Chamber1Water Quality Treatment</v>
      </c>
    </row>
    <row r="283" spans="1:13" x14ac:dyDescent="0.25">
      <c r="A283" s="119" t="s">
        <v>31</v>
      </c>
      <c r="B283" s="119"/>
      <c r="C283" s="119"/>
      <c r="D283" s="119">
        <v>2.5</v>
      </c>
      <c r="E283" s="121"/>
      <c r="F283" s="121"/>
      <c r="G283" s="119" t="s">
        <v>78</v>
      </c>
      <c r="H283" s="125">
        <v>1.4E-2</v>
      </c>
      <c r="I283" s="125">
        <v>0</v>
      </c>
      <c r="J283" s="119"/>
      <c r="K283" s="119"/>
      <c r="L283" s="119" t="str">
        <f t="shared" si="5"/>
        <v>Infiltration Chamber2.5Water Quality Treatment</v>
      </c>
    </row>
    <row r="285" spans="1:13" x14ac:dyDescent="0.25">
      <c r="A285" s="118" t="s">
        <v>163</v>
      </c>
      <c r="B285" s="119"/>
      <c r="C285" s="119"/>
      <c r="D285" s="119"/>
      <c r="E285" s="121"/>
      <c r="F285" s="121"/>
      <c r="G285" s="119"/>
      <c r="H285" s="125"/>
      <c r="I285" s="125"/>
      <c r="J285" s="119"/>
      <c r="K285" s="119"/>
      <c r="L285" s="119"/>
    </row>
    <row r="286" spans="1:13" ht="66.75" customHeight="1" x14ac:dyDescent="0.25">
      <c r="A286" s="49" t="s">
        <v>74</v>
      </c>
      <c r="B286" s="137"/>
      <c r="C286" s="49" t="s">
        <v>101</v>
      </c>
      <c r="D286" s="123"/>
      <c r="E286" s="49" t="s">
        <v>117</v>
      </c>
      <c r="F286" s="49" t="s">
        <v>118</v>
      </c>
      <c r="G286" s="49" t="s">
        <v>85</v>
      </c>
      <c r="H286" s="49" t="s">
        <v>79</v>
      </c>
      <c r="I286" s="49" t="s">
        <v>102</v>
      </c>
      <c r="J286" s="49" t="s">
        <v>82</v>
      </c>
      <c r="K286" s="39" t="s">
        <v>137</v>
      </c>
      <c r="L286" s="49" t="s">
        <v>86</v>
      </c>
      <c r="M286" s="82"/>
    </row>
    <row r="287" spans="1:13" x14ac:dyDescent="0.25">
      <c r="A287" s="117" t="s">
        <v>36</v>
      </c>
      <c r="B287" s="117"/>
      <c r="C287" s="117">
        <v>24</v>
      </c>
      <c r="D287" s="117"/>
      <c r="E287" s="122">
        <v>2000</v>
      </c>
      <c r="F287" s="122">
        <v>5000</v>
      </c>
      <c r="G287" s="116" t="s">
        <v>8</v>
      </c>
      <c r="H287" s="134">
        <v>5.7099999999999998E-2</v>
      </c>
      <c r="I287" s="134">
        <v>49.5</v>
      </c>
      <c r="J287" s="117" t="s">
        <v>113</v>
      </c>
      <c r="K287" s="134">
        <v>0.5</v>
      </c>
      <c r="L287" s="117" t="str">
        <f>A287&amp;B287&amp;C287&amp;D287&amp;E287&amp;F287&amp;G287</f>
        <v>Detention Pipe2420005000Pre-developed Pasture Standard</v>
      </c>
      <c r="M287" s="82"/>
    </row>
    <row r="288" spans="1:13" x14ac:dyDescent="0.25">
      <c r="A288" s="119" t="s">
        <v>36</v>
      </c>
      <c r="B288" s="119"/>
      <c r="C288" s="119">
        <v>24</v>
      </c>
      <c r="D288" s="119"/>
      <c r="E288" s="121">
        <v>5000</v>
      </c>
      <c r="F288" s="121">
        <v>10000</v>
      </c>
      <c r="G288" s="119" t="s">
        <v>8</v>
      </c>
      <c r="H288" s="125">
        <v>5.7099999999999998E-2</v>
      </c>
      <c r="I288" s="125">
        <v>49.5</v>
      </c>
      <c r="J288" s="119" t="s">
        <v>113</v>
      </c>
      <c r="K288" s="125">
        <v>0.5</v>
      </c>
      <c r="L288" s="119" t="str">
        <f t="shared" ref="L288:L298" si="6">A288&amp;B288&amp;C288&amp;D288&amp;E288&amp;F288&amp;G288</f>
        <v>Detention Pipe24500010000Pre-developed Pasture Standard</v>
      </c>
      <c r="M288" s="82"/>
    </row>
    <row r="289" spans="1:13" x14ac:dyDescent="0.25">
      <c r="A289" s="116" t="s">
        <v>36</v>
      </c>
      <c r="C289" s="116">
        <v>24</v>
      </c>
      <c r="E289" s="120">
        <v>2000</v>
      </c>
      <c r="F289" s="120">
        <v>6000</v>
      </c>
      <c r="G289" s="116" t="s">
        <v>77</v>
      </c>
      <c r="H289" s="131">
        <v>4.7500000000000001E-2</v>
      </c>
      <c r="I289" s="131">
        <v>27</v>
      </c>
      <c r="J289" s="116" t="s">
        <v>113</v>
      </c>
      <c r="K289" s="131">
        <v>0.5</v>
      </c>
      <c r="L289" s="116" t="str">
        <f t="shared" si="6"/>
        <v>Detention Pipe2420006000Peak Control Standard</v>
      </c>
      <c r="M289" s="82"/>
    </row>
    <row r="290" spans="1:13" x14ac:dyDescent="0.25">
      <c r="A290" s="116" t="s">
        <v>36</v>
      </c>
      <c r="C290" s="116">
        <v>24</v>
      </c>
      <c r="E290" s="120">
        <v>6000</v>
      </c>
      <c r="F290" s="120">
        <v>7000</v>
      </c>
      <c r="G290" s="116" t="s">
        <v>77</v>
      </c>
      <c r="H290" s="131">
        <v>4.7500000000000001E-2</v>
      </c>
      <c r="I290" s="131">
        <v>27</v>
      </c>
      <c r="J290" s="116" t="s">
        <v>113</v>
      </c>
      <c r="K290" s="131">
        <v>0.625</v>
      </c>
      <c r="L290" s="116" t="str">
        <f t="shared" si="6"/>
        <v>Detention Pipe2460007000Peak Control Standard</v>
      </c>
      <c r="M290" s="82"/>
    </row>
    <row r="291" spans="1:13" x14ac:dyDescent="0.25">
      <c r="A291" s="116" t="s">
        <v>36</v>
      </c>
      <c r="C291" s="116">
        <v>24</v>
      </c>
      <c r="E291" s="120">
        <v>7000</v>
      </c>
      <c r="F291" s="120">
        <v>8500</v>
      </c>
      <c r="G291" s="116" t="s">
        <v>77</v>
      </c>
      <c r="H291" s="131">
        <v>4.7500000000000001E-2</v>
      </c>
      <c r="I291" s="131">
        <v>27</v>
      </c>
      <c r="J291" s="116" t="s">
        <v>113</v>
      </c>
      <c r="K291" s="131">
        <v>0.625</v>
      </c>
      <c r="L291" s="116" t="str">
        <f t="shared" si="6"/>
        <v>Detention Pipe2470008500Peak Control Standard</v>
      </c>
      <c r="M291" s="82"/>
    </row>
    <row r="292" spans="1:13" x14ac:dyDescent="0.25">
      <c r="A292" s="119" t="s">
        <v>36</v>
      </c>
      <c r="B292" s="119"/>
      <c r="C292" s="119">
        <v>24</v>
      </c>
      <c r="D292" s="119"/>
      <c r="E292" s="121">
        <v>8500</v>
      </c>
      <c r="F292" s="121">
        <v>10000</v>
      </c>
      <c r="G292" s="119" t="s">
        <v>77</v>
      </c>
      <c r="H292" s="125">
        <v>4.7500000000000001E-2</v>
      </c>
      <c r="I292" s="125">
        <v>27</v>
      </c>
      <c r="J292" s="119" t="s">
        <v>113</v>
      </c>
      <c r="K292" s="125">
        <v>0.75</v>
      </c>
      <c r="L292" s="119" t="str">
        <f t="shared" si="6"/>
        <v>Detention Pipe24850010000Peak Control Standard</v>
      </c>
      <c r="M292" s="82"/>
    </row>
    <row r="293" spans="1:13" x14ac:dyDescent="0.25">
      <c r="A293" s="116" t="s">
        <v>36</v>
      </c>
      <c r="C293" s="116">
        <v>36</v>
      </c>
      <c r="E293" s="120">
        <v>2000</v>
      </c>
      <c r="F293" s="120">
        <v>5000</v>
      </c>
      <c r="G293" s="116" t="s">
        <v>8</v>
      </c>
      <c r="H293" s="134">
        <v>2.5700000000000001E-2</v>
      </c>
      <c r="I293" s="134">
        <v>21.84</v>
      </c>
      <c r="J293" s="116" t="s">
        <v>113</v>
      </c>
      <c r="K293" s="131">
        <v>0.5</v>
      </c>
      <c r="L293" s="116" t="str">
        <f t="shared" si="6"/>
        <v>Detention Pipe3620005000Pre-developed Pasture Standard</v>
      </c>
      <c r="M293" s="82"/>
    </row>
    <row r="294" spans="1:13" x14ac:dyDescent="0.25">
      <c r="A294" s="119" t="s">
        <v>36</v>
      </c>
      <c r="B294" s="119"/>
      <c r="C294" s="119">
        <v>36</v>
      </c>
      <c r="D294" s="119"/>
      <c r="E294" s="121">
        <v>5000</v>
      </c>
      <c r="F294" s="121">
        <v>10000</v>
      </c>
      <c r="G294" s="119" t="s">
        <v>8</v>
      </c>
      <c r="H294" s="125">
        <v>2.5700000000000001E-2</v>
      </c>
      <c r="I294" s="125">
        <v>21.84</v>
      </c>
      <c r="J294" s="119" t="s">
        <v>113</v>
      </c>
      <c r="K294" s="125">
        <v>0.5</v>
      </c>
      <c r="L294" s="119" t="str">
        <f t="shared" si="6"/>
        <v>Detention Pipe36500010000Pre-developed Pasture Standard</v>
      </c>
      <c r="M294" s="82"/>
    </row>
    <row r="295" spans="1:13" x14ac:dyDescent="0.25">
      <c r="A295" s="116" t="s">
        <v>36</v>
      </c>
      <c r="C295" s="116">
        <v>36</v>
      </c>
      <c r="E295" s="120">
        <v>2000</v>
      </c>
      <c r="F295" s="120">
        <v>6000</v>
      </c>
      <c r="G295" s="116" t="s">
        <v>77</v>
      </c>
      <c r="H295" s="131">
        <v>2.3599999999999999E-2</v>
      </c>
      <c r="I295" s="131">
        <v>6.75</v>
      </c>
      <c r="J295" s="116" t="s">
        <v>113</v>
      </c>
      <c r="K295" s="131">
        <v>0.5</v>
      </c>
      <c r="L295" s="116" t="str">
        <f t="shared" si="6"/>
        <v>Detention Pipe3620006000Peak Control Standard</v>
      </c>
      <c r="M295" s="82"/>
    </row>
    <row r="296" spans="1:13" x14ac:dyDescent="0.25">
      <c r="A296" s="116" t="s">
        <v>36</v>
      </c>
      <c r="C296" s="116">
        <v>36</v>
      </c>
      <c r="E296" s="120">
        <v>6000</v>
      </c>
      <c r="F296" s="120">
        <v>7000</v>
      </c>
      <c r="G296" s="116" t="s">
        <v>77</v>
      </c>
      <c r="H296" s="131">
        <v>2.3599999999999999E-2</v>
      </c>
      <c r="I296" s="131">
        <v>6.75</v>
      </c>
      <c r="J296" s="116" t="s">
        <v>113</v>
      </c>
      <c r="K296" s="131">
        <v>0.5</v>
      </c>
      <c r="L296" s="116" t="str">
        <f t="shared" si="6"/>
        <v>Detention Pipe3660007000Peak Control Standard</v>
      </c>
    </row>
    <row r="297" spans="1:13" x14ac:dyDescent="0.25">
      <c r="A297" s="116" t="s">
        <v>36</v>
      </c>
      <c r="C297" s="116">
        <v>36</v>
      </c>
      <c r="E297" s="120">
        <v>7000</v>
      </c>
      <c r="F297" s="120">
        <v>8500</v>
      </c>
      <c r="G297" s="116" t="s">
        <v>77</v>
      </c>
      <c r="H297" s="131">
        <v>2.3599999999999999E-2</v>
      </c>
      <c r="I297" s="131">
        <v>6.75</v>
      </c>
      <c r="J297" s="116" t="s">
        <v>113</v>
      </c>
      <c r="K297" s="131">
        <v>0.625</v>
      </c>
      <c r="L297" s="116" t="str">
        <f t="shared" si="6"/>
        <v>Detention Pipe3670008500Peak Control Standard</v>
      </c>
    </row>
    <row r="298" spans="1:13" x14ac:dyDescent="0.25">
      <c r="A298" s="119" t="s">
        <v>36</v>
      </c>
      <c r="B298" s="119"/>
      <c r="C298" s="119">
        <v>36</v>
      </c>
      <c r="D298" s="119"/>
      <c r="E298" s="121">
        <v>8500</v>
      </c>
      <c r="F298" s="121">
        <v>10000</v>
      </c>
      <c r="G298" s="119" t="s">
        <v>77</v>
      </c>
      <c r="H298" s="125">
        <v>2.3599999999999999E-2</v>
      </c>
      <c r="I298" s="125">
        <v>6.75</v>
      </c>
      <c r="J298" s="119" t="s">
        <v>113</v>
      </c>
      <c r="K298" s="125">
        <v>0.625</v>
      </c>
      <c r="L298" s="119" t="str">
        <f t="shared" si="6"/>
        <v>Detention Pipe36850010000Peak Control Standard</v>
      </c>
    </row>
    <row r="300" spans="1:13" x14ac:dyDescent="0.25">
      <c r="A300" s="124" t="s">
        <v>164</v>
      </c>
    </row>
    <row r="301" spans="1:13" ht="45" x14ac:dyDescent="0.25">
      <c r="A301" s="49" t="s">
        <v>74</v>
      </c>
      <c r="B301" s="137"/>
      <c r="C301" s="49" t="s">
        <v>104</v>
      </c>
      <c r="D301" s="137"/>
      <c r="E301" s="49" t="s">
        <v>117</v>
      </c>
      <c r="F301" s="49" t="s">
        <v>118</v>
      </c>
      <c r="G301" s="49" t="s">
        <v>85</v>
      </c>
      <c r="H301" s="49" t="s">
        <v>79</v>
      </c>
      <c r="I301" s="49" t="s">
        <v>102</v>
      </c>
      <c r="J301" s="49" t="s">
        <v>82</v>
      </c>
      <c r="K301" s="39" t="s">
        <v>137</v>
      </c>
      <c r="L301" s="49" t="s">
        <v>86</v>
      </c>
    </row>
    <row r="302" spans="1:13" x14ac:dyDescent="0.25">
      <c r="A302" s="117" t="s">
        <v>37</v>
      </c>
      <c r="B302" s="117"/>
      <c r="C302" s="117">
        <v>3</v>
      </c>
      <c r="D302" s="117"/>
      <c r="E302" s="122">
        <v>2000</v>
      </c>
      <c r="F302" s="122">
        <v>5000</v>
      </c>
      <c r="G302" s="117" t="s">
        <v>8</v>
      </c>
      <c r="H302" s="134">
        <v>6.6199999999999995E-2</v>
      </c>
      <c r="I302" s="134">
        <v>38.9</v>
      </c>
      <c r="J302" s="117" t="s">
        <v>113</v>
      </c>
      <c r="K302" s="138">
        <v>0.5</v>
      </c>
      <c r="L302" s="117" t="str">
        <f t="shared" ref="L302:L311" si="7">A302&amp;B302&amp;C302&amp;D302&amp;E302&amp;F302&amp;G302</f>
        <v>Detention Vault320005000Pre-developed Pasture Standard</v>
      </c>
    </row>
    <row r="303" spans="1:13" x14ac:dyDescent="0.25">
      <c r="A303" s="119" t="s">
        <v>37</v>
      </c>
      <c r="B303" s="119"/>
      <c r="C303" s="119">
        <v>3</v>
      </c>
      <c r="D303" s="119"/>
      <c r="E303" s="121">
        <v>5000</v>
      </c>
      <c r="F303" s="121">
        <v>10000</v>
      </c>
      <c r="G303" s="119" t="s">
        <v>8</v>
      </c>
      <c r="H303" s="125">
        <v>6.6199999999999995E-2</v>
      </c>
      <c r="I303" s="125">
        <v>38.9</v>
      </c>
      <c r="J303" s="119" t="s">
        <v>113</v>
      </c>
      <c r="K303" s="125">
        <v>0.5</v>
      </c>
      <c r="L303" s="119" t="str">
        <f t="shared" si="7"/>
        <v>Detention Vault3500010000Pre-developed Pasture Standard</v>
      </c>
    </row>
    <row r="304" spans="1:13" x14ac:dyDescent="0.25">
      <c r="A304" s="116" t="s">
        <v>37</v>
      </c>
      <c r="C304" s="116">
        <v>3</v>
      </c>
      <c r="E304" s="120">
        <v>2000</v>
      </c>
      <c r="F304" s="120">
        <v>7500</v>
      </c>
      <c r="G304" s="116" t="s">
        <v>77</v>
      </c>
      <c r="H304" s="131">
        <v>5.2499999999999998E-2</v>
      </c>
      <c r="I304" s="131">
        <v>27.25</v>
      </c>
      <c r="J304" s="116" t="s">
        <v>113</v>
      </c>
      <c r="K304" s="131">
        <v>0.5</v>
      </c>
      <c r="L304" s="116" t="str">
        <f t="shared" si="7"/>
        <v>Detention Vault320007500Peak Control Standard</v>
      </c>
    </row>
    <row r="305" spans="1:12" x14ac:dyDescent="0.25">
      <c r="A305" s="116" t="s">
        <v>37</v>
      </c>
      <c r="C305" s="116">
        <v>3</v>
      </c>
      <c r="E305" s="120">
        <v>7500</v>
      </c>
      <c r="F305" s="120">
        <v>8000</v>
      </c>
      <c r="G305" s="116" t="s">
        <v>77</v>
      </c>
      <c r="H305" s="131">
        <v>5.2499999999999998E-2</v>
      </c>
      <c r="I305" s="131">
        <v>27.25</v>
      </c>
      <c r="J305" s="116" t="s">
        <v>113</v>
      </c>
      <c r="K305" s="131">
        <v>0.625</v>
      </c>
      <c r="L305" s="116" t="str">
        <f t="shared" si="7"/>
        <v>Detention Vault375008000Peak Control Standard</v>
      </c>
    </row>
    <row r="306" spans="1:12" x14ac:dyDescent="0.25">
      <c r="A306" s="119" t="s">
        <v>37</v>
      </c>
      <c r="B306" s="119"/>
      <c r="C306" s="119">
        <v>3</v>
      </c>
      <c r="D306" s="119"/>
      <c r="E306" s="121">
        <v>8000</v>
      </c>
      <c r="F306" s="121">
        <v>10000</v>
      </c>
      <c r="G306" s="119" t="s">
        <v>77</v>
      </c>
      <c r="H306" s="125">
        <v>5.2499999999999998E-2</v>
      </c>
      <c r="I306" s="125">
        <v>27.25</v>
      </c>
      <c r="J306" s="119" t="s">
        <v>113</v>
      </c>
      <c r="K306" s="125">
        <v>0.625</v>
      </c>
      <c r="L306" s="119" t="str">
        <f t="shared" si="7"/>
        <v>Detention Vault3800010000Peak Control Standard</v>
      </c>
    </row>
    <row r="307" spans="1:12" x14ac:dyDescent="0.25">
      <c r="A307" s="117" t="s">
        <v>37</v>
      </c>
      <c r="B307" s="117"/>
      <c r="C307" s="117">
        <v>4</v>
      </c>
      <c r="D307" s="117"/>
      <c r="E307" s="122">
        <v>2000</v>
      </c>
      <c r="F307" s="122">
        <v>5000</v>
      </c>
      <c r="G307" s="117" t="s">
        <v>8</v>
      </c>
      <c r="H307" s="134" t="e">
        <f>NA()</f>
        <v>#N/A</v>
      </c>
      <c r="I307" s="134" t="e">
        <f>NA()</f>
        <v>#N/A</v>
      </c>
      <c r="J307" s="117" t="s">
        <v>128</v>
      </c>
      <c r="K307" s="138" t="s">
        <v>76</v>
      </c>
      <c r="L307" s="117" t="str">
        <f t="shared" si="7"/>
        <v>Detention Vault420005000Pre-developed Pasture Standard</v>
      </c>
    </row>
    <row r="308" spans="1:12" x14ac:dyDescent="0.25">
      <c r="A308" s="119" t="s">
        <v>37</v>
      </c>
      <c r="B308" s="119"/>
      <c r="C308" s="119">
        <v>4</v>
      </c>
      <c r="D308" s="119"/>
      <c r="E308" s="121">
        <v>5000</v>
      </c>
      <c r="F308" s="121">
        <v>10000</v>
      </c>
      <c r="G308" s="119" t="s">
        <v>8</v>
      </c>
      <c r="H308" s="125" t="e">
        <f>NA()</f>
        <v>#N/A</v>
      </c>
      <c r="I308" s="125" t="e">
        <f>NA()</f>
        <v>#N/A</v>
      </c>
      <c r="J308" s="119" t="s">
        <v>128</v>
      </c>
      <c r="K308" s="136" t="s">
        <v>76</v>
      </c>
      <c r="L308" s="119" t="str">
        <f t="shared" si="7"/>
        <v>Detention Vault4500010000Pre-developed Pasture Standard</v>
      </c>
    </row>
    <row r="309" spans="1:12" x14ac:dyDescent="0.25">
      <c r="A309" s="116" t="s">
        <v>37</v>
      </c>
      <c r="C309" s="116">
        <v>4</v>
      </c>
      <c r="E309" s="120">
        <v>2000</v>
      </c>
      <c r="F309" s="120">
        <v>7500</v>
      </c>
      <c r="G309" s="116" t="s">
        <v>77</v>
      </c>
      <c r="H309" s="131">
        <v>3.6499999999999998E-2</v>
      </c>
      <c r="I309" s="131">
        <v>19.16</v>
      </c>
      <c r="J309" s="116" t="s">
        <v>113</v>
      </c>
      <c r="K309" s="139">
        <v>0.5</v>
      </c>
      <c r="L309" s="116" t="str">
        <f t="shared" si="7"/>
        <v>Detention Vault420007500Peak Control Standard</v>
      </c>
    </row>
    <row r="310" spans="1:12" x14ac:dyDescent="0.25">
      <c r="A310" s="116" t="s">
        <v>37</v>
      </c>
      <c r="C310" s="116">
        <v>4</v>
      </c>
      <c r="E310" s="120">
        <v>7500</v>
      </c>
      <c r="F310" s="120">
        <v>8000</v>
      </c>
      <c r="G310" s="116" t="s">
        <v>77</v>
      </c>
      <c r="H310" s="131">
        <v>3.6499999999999998E-2</v>
      </c>
      <c r="I310" s="131">
        <v>19.16</v>
      </c>
      <c r="J310" s="116" t="s">
        <v>113</v>
      </c>
      <c r="K310" s="139">
        <v>0.5</v>
      </c>
      <c r="L310" s="116" t="str">
        <f t="shared" si="7"/>
        <v>Detention Vault475008000Peak Control Standard</v>
      </c>
    </row>
    <row r="311" spans="1:12" x14ac:dyDescent="0.25">
      <c r="A311" s="119" t="s">
        <v>37</v>
      </c>
      <c r="B311" s="119"/>
      <c r="C311" s="119">
        <v>4</v>
      </c>
      <c r="D311" s="119"/>
      <c r="E311" s="121">
        <v>8000</v>
      </c>
      <c r="F311" s="121">
        <v>10000</v>
      </c>
      <c r="G311" s="119" t="s">
        <v>77</v>
      </c>
      <c r="H311" s="125">
        <v>3.6499999999999998E-2</v>
      </c>
      <c r="I311" s="125">
        <v>19.16</v>
      </c>
      <c r="J311" s="119" t="s">
        <v>113</v>
      </c>
      <c r="K311" s="136">
        <v>0.625</v>
      </c>
      <c r="L311" s="116" t="str">
        <f t="shared" si="7"/>
        <v>Detention Vault4800010000Peak Control Standard</v>
      </c>
    </row>
    <row r="313" spans="1:12" x14ac:dyDescent="0.25">
      <c r="A313" s="124" t="s">
        <v>165</v>
      </c>
    </row>
    <row r="314" spans="1:12" ht="45" x14ac:dyDescent="0.25">
      <c r="A314" s="49" t="s">
        <v>74</v>
      </c>
      <c r="B314" s="137"/>
      <c r="C314" s="49" t="s">
        <v>104</v>
      </c>
      <c r="D314" s="137"/>
      <c r="E314" s="49" t="s">
        <v>117</v>
      </c>
      <c r="F314" s="49" t="s">
        <v>118</v>
      </c>
      <c r="G314" s="49" t="s">
        <v>85</v>
      </c>
      <c r="H314" s="49" t="s">
        <v>79</v>
      </c>
      <c r="I314" s="49" t="s">
        <v>102</v>
      </c>
      <c r="J314" s="49" t="s">
        <v>82</v>
      </c>
      <c r="K314" s="39" t="s">
        <v>137</v>
      </c>
      <c r="L314" s="49" t="s">
        <v>86</v>
      </c>
    </row>
    <row r="315" spans="1:12" x14ac:dyDescent="0.25">
      <c r="A315" s="117" t="s">
        <v>38</v>
      </c>
      <c r="B315" s="117"/>
      <c r="C315" s="117">
        <v>3</v>
      </c>
      <c r="D315" s="117"/>
      <c r="E315" s="122">
        <v>0</v>
      </c>
      <c r="F315" s="122">
        <v>3500</v>
      </c>
      <c r="G315" s="117" t="s">
        <v>8</v>
      </c>
      <c r="H315" s="134">
        <v>0.106</v>
      </c>
      <c r="I315" s="134">
        <v>0</v>
      </c>
      <c r="J315" s="117" t="s">
        <v>113</v>
      </c>
      <c r="K315" s="134">
        <v>0.25</v>
      </c>
      <c r="L315" s="117" t="str">
        <f t="shared" ref="L315:L330" si="8">A315&amp;B315&amp;C315&amp;D315&amp;E315&amp;F315&amp;G315</f>
        <v>Detention Cistern303500Pre-developed Pasture Standard</v>
      </c>
    </row>
    <row r="316" spans="1:12" x14ac:dyDescent="0.25">
      <c r="A316" s="116" t="s">
        <v>38</v>
      </c>
      <c r="C316" s="116">
        <v>3</v>
      </c>
      <c r="E316" s="120">
        <v>3500</v>
      </c>
      <c r="F316" s="120">
        <v>5000</v>
      </c>
      <c r="G316" s="116" t="s">
        <v>8</v>
      </c>
      <c r="H316" s="131">
        <v>0</v>
      </c>
      <c r="I316" s="131">
        <v>408</v>
      </c>
      <c r="J316" s="116" t="s">
        <v>113</v>
      </c>
      <c r="K316" s="131">
        <v>0.25</v>
      </c>
      <c r="L316" s="116" t="str">
        <f t="shared" si="8"/>
        <v>Detention Cistern335005000Pre-developed Pasture Standard</v>
      </c>
    </row>
    <row r="317" spans="1:12" x14ac:dyDescent="0.25">
      <c r="A317" s="116" t="s">
        <v>38</v>
      </c>
      <c r="C317" s="116">
        <v>3</v>
      </c>
      <c r="E317" s="120">
        <v>5000</v>
      </c>
      <c r="F317" s="120">
        <v>6000</v>
      </c>
      <c r="G317" s="116" t="s">
        <v>8</v>
      </c>
      <c r="H317" s="131">
        <v>1.4999999999999999E-4</v>
      </c>
      <c r="I317" s="131">
        <v>1.74</v>
      </c>
      <c r="J317" s="116" t="s">
        <v>112</v>
      </c>
      <c r="K317" s="131">
        <v>0.25</v>
      </c>
      <c r="L317" s="116" t="str">
        <f t="shared" si="8"/>
        <v>Detention Cistern350006000Pre-developed Pasture Standard</v>
      </c>
    </row>
    <row r="318" spans="1:12" x14ac:dyDescent="0.25">
      <c r="A318" s="119" t="s">
        <v>38</v>
      </c>
      <c r="B318" s="119"/>
      <c r="C318" s="119">
        <v>3</v>
      </c>
      <c r="D318" s="119"/>
      <c r="E318" s="121">
        <v>6000</v>
      </c>
      <c r="F318" s="121">
        <v>10000</v>
      </c>
      <c r="G318" s="119" t="s">
        <v>8</v>
      </c>
      <c r="H318" s="125">
        <v>1.4999999999999999E-4</v>
      </c>
      <c r="I318" s="125">
        <v>1.74</v>
      </c>
      <c r="J318" s="119" t="s">
        <v>112</v>
      </c>
      <c r="K318" s="125">
        <v>0.25</v>
      </c>
      <c r="L318" s="119" t="str">
        <f t="shared" si="8"/>
        <v>Detention Cistern3600010000Pre-developed Pasture Standard</v>
      </c>
    </row>
    <row r="319" spans="1:12" x14ac:dyDescent="0.25">
      <c r="A319" s="116" t="s">
        <v>38</v>
      </c>
      <c r="C319" s="116">
        <v>3</v>
      </c>
      <c r="E319" s="120">
        <v>0</v>
      </c>
      <c r="F319" s="120">
        <v>3500</v>
      </c>
      <c r="G319" s="120" t="s">
        <v>77</v>
      </c>
      <c r="H319" s="131">
        <v>5.5199999999999999E-2</v>
      </c>
      <c r="I319" s="131">
        <v>-2.3435000000000001</v>
      </c>
      <c r="J319" s="116" t="s">
        <v>113</v>
      </c>
      <c r="K319" s="131">
        <v>0.25</v>
      </c>
      <c r="L319" s="116" t="str">
        <f t="shared" si="8"/>
        <v>Detention Cistern303500Peak Control Standard</v>
      </c>
    </row>
    <row r="320" spans="1:12" x14ac:dyDescent="0.25">
      <c r="A320" s="116" t="s">
        <v>38</v>
      </c>
      <c r="C320" s="116">
        <v>3</v>
      </c>
      <c r="E320" s="120">
        <v>3500</v>
      </c>
      <c r="F320" s="120">
        <v>5000</v>
      </c>
      <c r="G320" s="120" t="s">
        <v>77</v>
      </c>
      <c r="H320" s="131">
        <v>5.5199999999999999E-2</v>
      </c>
      <c r="I320" s="131">
        <v>-2.3435000000000001</v>
      </c>
      <c r="J320" s="116" t="s">
        <v>113</v>
      </c>
      <c r="K320" s="131">
        <v>0.375</v>
      </c>
      <c r="L320" s="116" t="str">
        <f t="shared" si="8"/>
        <v>Detention Cistern335005000Peak Control Standard</v>
      </c>
    </row>
    <row r="321" spans="1:12" x14ac:dyDescent="0.25">
      <c r="A321" s="116" t="s">
        <v>38</v>
      </c>
      <c r="C321" s="116">
        <v>3</v>
      </c>
      <c r="E321" s="120">
        <v>5000</v>
      </c>
      <c r="F321" s="120">
        <v>9999</v>
      </c>
      <c r="G321" s="120" t="s">
        <v>77</v>
      </c>
      <c r="H321" s="131">
        <v>5.5199999999999999E-2</v>
      </c>
      <c r="I321" s="131">
        <v>-2.3435000000000001</v>
      </c>
      <c r="J321" s="116" t="s">
        <v>113</v>
      </c>
      <c r="K321" s="131">
        <v>0.5</v>
      </c>
      <c r="L321" s="116" t="str">
        <f t="shared" si="8"/>
        <v>Detention Cistern350009999Peak Control Standard</v>
      </c>
    </row>
    <row r="322" spans="1:12" x14ac:dyDescent="0.25">
      <c r="A322" s="119" t="s">
        <v>38</v>
      </c>
      <c r="B322" s="119"/>
      <c r="C322" s="119">
        <v>3</v>
      </c>
      <c r="D322" s="119"/>
      <c r="E322" s="121">
        <v>9999</v>
      </c>
      <c r="F322" s="121">
        <v>10000</v>
      </c>
      <c r="G322" s="121" t="s">
        <v>77</v>
      </c>
      <c r="H322" s="125">
        <v>5.5199999999999999E-2</v>
      </c>
      <c r="I322" s="125">
        <v>-2.3435000000000001</v>
      </c>
      <c r="J322" s="119" t="s">
        <v>113</v>
      </c>
      <c r="K322" s="125">
        <v>0.625</v>
      </c>
      <c r="L322" s="119" t="str">
        <f t="shared" si="8"/>
        <v>Detention Cistern3999910000Peak Control Standard</v>
      </c>
    </row>
    <row r="323" spans="1:12" x14ac:dyDescent="0.25">
      <c r="A323" s="117" t="s">
        <v>38</v>
      </c>
      <c r="B323" s="117"/>
      <c r="C323" s="117">
        <v>4</v>
      </c>
      <c r="D323" s="117"/>
      <c r="E323" s="122">
        <v>0</v>
      </c>
      <c r="F323" s="122">
        <v>3500</v>
      </c>
      <c r="G323" s="117" t="s">
        <v>8</v>
      </c>
      <c r="H323" s="134">
        <v>6.4000000000000001E-2</v>
      </c>
      <c r="I323" s="134">
        <v>0</v>
      </c>
      <c r="J323" s="117" t="s">
        <v>113</v>
      </c>
      <c r="K323" s="134">
        <v>0.25</v>
      </c>
      <c r="L323" s="117" t="str">
        <f t="shared" si="8"/>
        <v>Detention Cistern403500Pre-developed Pasture Standard</v>
      </c>
    </row>
    <row r="324" spans="1:12" x14ac:dyDescent="0.25">
      <c r="A324" s="116" t="s">
        <v>38</v>
      </c>
      <c r="C324" s="116">
        <v>4</v>
      </c>
      <c r="E324" s="120">
        <v>3500</v>
      </c>
      <c r="F324" s="120">
        <v>5000</v>
      </c>
      <c r="G324" s="116" t="s">
        <v>8</v>
      </c>
      <c r="H324" s="131">
        <v>6.4000000000000001E-2</v>
      </c>
      <c r="I324" s="131">
        <v>0</v>
      </c>
      <c r="J324" s="116" t="s">
        <v>113</v>
      </c>
      <c r="K324" s="131">
        <v>0.25</v>
      </c>
      <c r="L324" s="116" t="str">
        <f t="shared" si="8"/>
        <v>Detention Cistern435005000Pre-developed Pasture Standard</v>
      </c>
    </row>
    <row r="325" spans="1:12" x14ac:dyDescent="0.25">
      <c r="A325" s="116" t="s">
        <v>38</v>
      </c>
      <c r="C325" s="116">
        <v>4</v>
      </c>
      <c r="E325" s="120">
        <v>5000</v>
      </c>
      <c r="F325" s="120">
        <v>6000</v>
      </c>
      <c r="G325" s="116" t="s">
        <v>8</v>
      </c>
      <c r="H325" s="131">
        <v>0</v>
      </c>
      <c r="I325" s="131">
        <v>322</v>
      </c>
      <c r="J325" s="116" t="s">
        <v>113</v>
      </c>
      <c r="K325" s="131">
        <v>0.25</v>
      </c>
      <c r="L325" s="116" t="str">
        <f t="shared" si="8"/>
        <v>Detention Cistern450006000Pre-developed Pasture Standard</v>
      </c>
    </row>
    <row r="326" spans="1:12" x14ac:dyDescent="0.25">
      <c r="A326" s="119" t="s">
        <v>38</v>
      </c>
      <c r="B326" s="119"/>
      <c r="C326" s="119">
        <v>4</v>
      </c>
      <c r="D326" s="119"/>
      <c r="E326" s="121">
        <v>6000</v>
      </c>
      <c r="F326" s="121">
        <v>10000</v>
      </c>
      <c r="G326" s="119" t="s">
        <v>8</v>
      </c>
      <c r="H326" s="125">
        <v>1E-4</v>
      </c>
      <c r="I326" s="125">
        <v>1.73</v>
      </c>
      <c r="J326" s="119" t="s">
        <v>112</v>
      </c>
      <c r="K326" s="125">
        <v>0.25</v>
      </c>
      <c r="L326" s="119" t="str">
        <f t="shared" si="8"/>
        <v>Detention Cistern4600010000Pre-developed Pasture Standard</v>
      </c>
    </row>
    <row r="327" spans="1:12" x14ac:dyDescent="0.25">
      <c r="A327" s="116" t="s">
        <v>38</v>
      </c>
      <c r="C327" s="116">
        <v>4</v>
      </c>
      <c r="E327" s="120">
        <v>0</v>
      </c>
      <c r="F327" s="120">
        <v>3500</v>
      </c>
      <c r="G327" s="120" t="s">
        <v>77</v>
      </c>
      <c r="H327" s="131">
        <v>1.41E-2</v>
      </c>
      <c r="I327" s="131">
        <v>1.1289</v>
      </c>
      <c r="J327" s="116" t="s">
        <v>112</v>
      </c>
      <c r="K327" s="131">
        <v>0.25</v>
      </c>
      <c r="L327" s="116" t="str">
        <f t="shared" si="8"/>
        <v>Detention Cistern403500Peak Control Standard</v>
      </c>
    </row>
    <row r="328" spans="1:12" x14ac:dyDescent="0.25">
      <c r="A328" s="116" t="s">
        <v>38</v>
      </c>
      <c r="C328" s="116">
        <v>4</v>
      </c>
      <c r="E328" s="120">
        <v>3500</v>
      </c>
      <c r="F328" s="120">
        <v>5000</v>
      </c>
      <c r="G328" s="120" t="s">
        <v>77</v>
      </c>
      <c r="H328" s="131">
        <v>1.41E-2</v>
      </c>
      <c r="I328" s="131">
        <v>1.1289</v>
      </c>
      <c r="J328" s="116" t="s">
        <v>112</v>
      </c>
      <c r="K328" s="131">
        <v>0.375</v>
      </c>
      <c r="L328" s="116" t="str">
        <f t="shared" si="8"/>
        <v>Detention Cistern435005000Peak Control Standard</v>
      </c>
    </row>
    <row r="329" spans="1:12" x14ac:dyDescent="0.25">
      <c r="A329" s="116" t="s">
        <v>38</v>
      </c>
      <c r="C329" s="116">
        <v>4</v>
      </c>
      <c r="E329" s="120">
        <v>5000</v>
      </c>
      <c r="F329" s="120">
        <v>9999</v>
      </c>
      <c r="G329" s="120" t="s">
        <v>77</v>
      </c>
      <c r="H329" s="131">
        <v>1.41E-2</v>
      </c>
      <c r="I329" s="131">
        <v>1.1289</v>
      </c>
      <c r="J329" s="116" t="s">
        <v>112</v>
      </c>
      <c r="K329" s="131">
        <v>0.5</v>
      </c>
      <c r="L329" s="116" t="str">
        <f t="shared" si="8"/>
        <v>Detention Cistern450009999Peak Control Standard</v>
      </c>
    </row>
    <row r="330" spans="1:12" x14ac:dyDescent="0.25">
      <c r="A330" s="119" t="s">
        <v>38</v>
      </c>
      <c r="B330" s="119"/>
      <c r="C330" s="119">
        <v>4</v>
      </c>
      <c r="D330" s="119"/>
      <c r="E330" s="121">
        <v>9999</v>
      </c>
      <c r="F330" s="121">
        <v>10000</v>
      </c>
      <c r="G330" s="121" t="s">
        <v>77</v>
      </c>
      <c r="H330" s="125">
        <v>1.41E-2</v>
      </c>
      <c r="I330" s="125">
        <v>1.1289</v>
      </c>
      <c r="J330" s="119" t="s">
        <v>112</v>
      </c>
      <c r="K330" s="125">
        <v>0.625</v>
      </c>
      <c r="L330" s="119" t="str">
        <f t="shared" si="8"/>
        <v>Detention Cistern4999910000Peak Control Standard</v>
      </c>
    </row>
    <row r="332" spans="1:12" x14ac:dyDescent="0.25">
      <c r="A332" s="124"/>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C2A50ED32A10D4E9E3EDB447AEEF11A" ma:contentTypeVersion="" ma:contentTypeDescription="Create a new document." ma:contentTypeScope="" ma:versionID="57d8f33d171d54d192271b5d4cdac543">
  <xsd:schema xmlns:xsd="http://www.w3.org/2001/XMLSchema" xmlns:xs="http://www.w3.org/2001/XMLSchema" xmlns:p="http://schemas.microsoft.com/office/2006/metadata/properties" xmlns:ns2="3a9a7314-f08a-40d3-a4f8-12198e7dc1f5" targetNamespace="http://schemas.microsoft.com/office/2006/metadata/properties" ma:root="true" ma:fieldsID="777248a9f480240bd1f9f4b9371798c1" ns2:_="">
    <xsd:import namespace="3a9a7314-f08a-40d3-a4f8-12198e7dc1f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9a7314-f08a-40d3-a4f8-12198e7dc1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0F9513-729F-4C9F-8388-F417AF1FB96E}">
  <ds:schemaRefs>
    <ds:schemaRef ds:uri="http://schemas.microsoft.com/sharepoint/v3/contenttype/forms"/>
  </ds:schemaRefs>
</ds:datastoreItem>
</file>

<file path=customXml/itemProps2.xml><?xml version="1.0" encoding="utf-8"?>
<ds:datastoreItem xmlns:ds="http://schemas.openxmlformats.org/officeDocument/2006/customXml" ds:itemID="{1415982E-6C6D-4E1B-A185-E71B76F0313D}">
  <ds:schemaRefs>
    <ds:schemaRef ds:uri="3a9a7314-f08a-40d3-a4f8-12198e7dc1f5"/>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FDA9382D-F509-4E6A-AE0B-218F062F73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9a7314-f08a-40d3-a4f8-12198e7dc1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13</vt:i4>
      </vt:variant>
    </vt:vector>
  </HeadingPairs>
  <TitlesOfParts>
    <vt:vector size="16" baseType="lpstr">
      <vt:lpstr>Calculator</vt:lpstr>
      <vt:lpstr>Lists</vt:lpstr>
      <vt:lpstr>Sizing Factors</vt:lpstr>
      <vt:lpstr>DrywellDepth</vt:lpstr>
      <vt:lpstr>FCStandard</vt:lpstr>
      <vt:lpstr>InfRate</vt:lpstr>
      <vt:lpstr>InfRateLarge</vt:lpstr>
      <vt:lpstr>InfTrenchDepth</vt:lpstr>
      <vt:lpstr>PipeDiameter</vt:lpstr>
      <vt:lpstr>Ponding</vt:lpstr>
      <vt:lpstr>PondingVert</vt:lpstr>
      <vt:lpstr>Project</vt:lpstr>
      <vt:lpstr>Sideslopes</vt:lpstr>
      <vt:lpstr>Standard</vt:lpstr>
      <vt:lpstr>VaultDepth</vt:lpstr>
      <vt:lpstr>YesNo</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DCI - Pre-Sized Flow Control Calculator</dc:title>
  <dc:creator>Kristen Matsumura</dc:creator>
  <cp:lastModifiedBy>Kristen Matsumura</cp:lastModifiedBy>
  <cp:lastPrinted>2016-01-27T21:27:21Z</cp:lastPrinted>
  <dcterms:created xsi:type="dcterms:W3CDTF">2015-12-08T01:03:59Z</dcterms:created>
  <dcterms:modified xsi:type="dcterms:W3CDTF">2021-09-30T19:27:32Z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0x010100AC2A50ED32A10D4E9E3EDB447AEEF11A</vt:lpwstr>
  </property>
</Properties>
</file>