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X" sheetId="1" state="hidden" r:id="rId1"/>
    <sheet name="Pre-Sized Flow Control" sheetId="2" r:id="rId2"/>
    <sheet name="GSI Requirement" sheetId="3" state="hidden" r:id="rId3"/>
  </sheets>
  <definedNames>
    <definedName name="_Toc190234827" localSheetId="2">'GSI Requirement'!#REF!</definedName>
    <definedName name="_Toc190234827" localSheetId="1">'Pre-Sized Flow Control'!#REF!</definedName>
    <definedName name="Bioret">'X'!$B$18:$B$23</definedName>
    <definedName name="BioretDet">'X'!$B$67</definedName>
    <definedName name="Cistern">'X'!$B$78:$B$79</definedName>
    <definedName name="Drywell">'X'!$B$57:$B$58</definedName>
    <definedName name="Infilt">'X'!$D$18:$D$20</definedName>
    <definedName name="Parcel">'X'!$A$104:$A$105</definedName>
    <definedName name="Pipe">'X'!$B$70:$B$71</definedName>
    <definedName name="Planter">'X'!$B$50</definedName>
    <definedName name="PPFacility">'X'!$B$37:$B$40</definedName>
    <definedName name="_xlnm.Print_Area" localSheetId="2">'GSI Requirement'!$A$1:$R$75</definedName>
    <definedName name="_xlnm.Print_Area" localSheetId="1">'Pre-Sized Flow Control'!$A$1:$R$101</definedName>
    <definedName name="_xlnm.Print_Area" localSheetId="0">'X'!$A:$H</definedName>
    <definedName name="ProjectFC">'X'!$A$104:$A$105</definedName>
    <definedName name="Projects">'X'!$A$98:$A$102</definedName>
    <definedName name="Soil">'X'!$A$94:$A$95</definedName>
    <definedName name="Standards">'X'!$A$89:$A$91</definedName>
    <definedName name="Trench">'X'!$B$51:$B$52</definedName>
    <definedName name="Vault">'X'!$B$74:$B$75</definedName>
  </definedNames>
  <calcPr fullCalcOnLoad="1"/>
</workbook>
</file>

<file path=xl/comments1.xml><?xml version="1.0" encoding="utf-8"?>
<comments xmlns="http://schemas.openxmlformats.org/spreadsheetml/2006/main">
  <authors>
    <author>ALancaster</author>
  </authors>
  <commentList>
    <comment ref="H78" authorId="0">
      <text>
        <r>
          <rPr>
            <sz val="8"/>
            <rFont val="Tahoma"/>
            <family val="2"/>
          </rPr>
          <t>DR rounds to 1.35</t>
        </r>
      </text>
    </comment>
    <comment ref="G50" authorId="0">
      <text>
        <r>
          <rPr>
            <sz val="8"/>
            <rFont val="Tahoma"/>
            <family val="2"/>
          </rPr>
          <t>Tracy Tackett Professional Judgement</t>
        </r>
      </text>
    </comment>
  </commentList>
</comments>
</file>

<file path=xl/comments2.xml><?xml version="1.0" encoding="utf-8"?>
<comments xmlns="http://schemas.openxmlformats.org/spreadsheetml/2006/main">
  <authors>
    <author>alancaster</author>
  </authors>
  <commentList>
    <comment ref="K30" authorId="0">
      <text>
        <r>
          <rPr>
            <sz val="8"/>
            <rFont val="Tahoma"/>
            <family val="2"/>
          </rPr>
          <t>Had to break function into two parts because there is a maximum of 7 nested arguments (e.g., IF)</t>
        </r>
      </text>
    </comment>
  </commentList>
</comments>
</file>

<file path=xl/comments3.xml><?xml version="1.0" encoding="utf-8"?>
<comments xmlns="http://schemas.openxmlformats.org/spreadsheetml/2006/main">
  <authors>
    <author>alancaster</author>
  </authors>
  <commentList>
    <comment ref="K28" authorId="0">
      <text>
        <r>
          <rPr>
            <sz val="8"/>
            <rFont val="Tahoma"/>
            <family val="2"/>
          </rPr>
          <t>Had to break function into two parts because there is a maximum of 7 nested arguments (e.g., IF)</t>
        </r>
      </text>
    </comment>
  </commentList>
</comments>
</file>

<file path=xl/sharedStrings.xml><?xml version="1.0" encoding="utf-8"?>
<sst xmlns="http://schemas.openxmlformats.org/spreadsheetml/2006/main" count="589" uniqueCount="216">
  <si>
    <t>sf</t>
  </si>
  <si>
    <t>Facility Size</t>
  </si>
  <si>
    <t># Trees</t>
  </si>
  <si>
    <t>Downspout or Sheet Flow Dispersion</t>
  </si>
  <si>
    <t>Infiltrating Facilities</t>
  </si>
  <si>
    <t>Bioretention Cell (without Underdrain)</t>
  </si>
  <si>
    <t>Bioretention Bottom Area</t>
  </si>
  <si>
    <t>Ponding Depth</t>
  </si>
  <si>
    <t>in</t>
  </si>
  <si>
    <t>Design Infiltration Rate</t>
  </si>
  <si>
    <t>in/hr</t>
  </si>
  <si>
    <t>Infiltration Trench</t>
  </si>
  <si>
    <t>Trench Depth</t>
  </si>
  <si>
    <t>Non Infiltrating Facilities</t>
  </si>
  <si>
    <t>Cistern Area</t>
  </si>
  <si>
    <t>ft</t>
  </si>
  <si>
    <t>Design Variable</t>
  </si>
  <si>
    <t>Facility Overflow Depth</t>
  </si>
  <si>
    <t>NA</t>
  </si>
  <si>
    <t>Drywell</t>
  </si>
  <si>
    <t>Detention Vault</t>
  </si>
  <si>
    <t>Detention Pipe</t>
  </si>
  <si>
    <t>Pipe Length</t>
  </si>
  <si>
    <t>Max Head Above Orifice</t>
  </si>
  <si>
    <t>Vault Area</t>
  </si>
  <si>
    <t>x</t>
  </si>
  <si>
    <t>=</t>
  </si>
  <si>
    <t>50 sf</t>
  </si>
  <si>
    <t>Area Mitigated</t>
  </si>
  <si>
    <t>Alternative Pavement Surfaces</t>
  </si>
  <si>
    <t>Alternative Roof Surfaces</t>
  </si>
  <si>
    <t>Dispersion</t>
  </si>
  <si>
    <t>GSI Impervious Surface Reduction Methods</t>
  </si>
  <si>
    <t>÷</t>
  </si>
  <si>
    <t>Notes:</t>
  </si>
  <si>
    <t>Bioretention Planter (with underdrain)</t>
  </si>
  <si>
    <t>Traditional Facilities</t>
  </si>
  <si>
    <t>Dry Well</t>
  </si>
  <si>
    <t>Well Depth</t>
  </si>
  <si>
    <t>Well Area</t>
  </si>
  <si>
    <t>Detention Facilities</t>
  </si>
  <si>
    <t>Area Mitigated by Traditional Facilities</t>
  </si>
  <si>
    <t xml:space="preserve">Total Area Mitigated </t>
  </si>
  <si>
    <t>Green Roof</t>
  </si>
  <si>
    <t>Permeable Pavement Surface</t>
  </si>
  <si>
    <t>Bioretention Planter with Underdrain</t>
  </si>
  <si>
    <t>New Trees</t>
  </si>
  <si>
    <t>Retained Trees</t>
  </si>
  <si>
    <t>GSI - Green Stormwater Infrastructure</t>
  </si>
  <si>
    <t>Permeable Pavement Area</t>
  </si>
  <si>
    <t>BMP</t>
  </si>
  <si>
    <t>Evergreen</t>
  </si>
  <si>
    <t>Deciduous</t>
  </si>
  <si>
    <t>Single-Course / 4 inch Growth Medium</t>
  </si>
  <si>
    <t>Multi-Course / 4 inch Growth Medium</t>
  </si>
  <si>
    <t>Multi-Course / 8 inch Growth Medium</t>
  </si>
  <si>
    <t xml:space="preserve">Slope 2%-5% </t>
  </si>
  <si>
    <t>6 inch ponding depth</t>
  </si>
  <si>
    <t>12 inch ponding depth</t>
  </si>
  <si>
    <t>6 inch ponding depth in storage reservoir</t>
  </si>
  <si>
    <t>1.5 foot depth</t>
  </si>
  <si>
    <t>3.0 foot depth</t>
  </si>
  <si>
    <t>4.0 foot depth</t>
  </si>
  <si>
    <t>6.0 foot depth</t>
  </si>
  <si>
    <t>24 inch diameter</t>
  </si>
  <si>
    <t>36 inch diameter</t>
  </si>
  <si>
    <t>Existing Evergreen</t>
  </si>
  <si>
    <t>Existing Deciduous</t>
  </si>
  <si>
    <t>New Evergreen</t>
  </si>
  <si>
    <t>New Deciduous</t>
  </si>
  <si>
    <t>Pre-developed Pasture Standard</t>
  </si>
  <si>
    <t>Peak Flow Control Standard</t>
  </si>
  <si>
    <t>Green Roof (Single-Course / 4" Growth Medium)</t>
  </si>
  <si>
    <t>Green Roof Area</t>
  </si>
  <si>
    <t>Green Roof (Multi-Course / 4" Growth Medium)</t>
  </si>
  <si>
    <t>Green Roof (Multi-Course / 8" Growth Medium)</t>
  </si>
  <si>
    <t xml:space="preserve">Slope ≤ 2% </t>
  </si>
  <si>
    <t>Permeable Pavement Facility (May Receive Runon)</t>
  </si>
  <si>
    <t>Retained Tree</t>
  </si>
  <si>
    <t>New Tree</t>
  </si>
  <si>
    <t>Minimum</t>
  </si>
  <si>
    <t>20 sf</t>
  </si>
  <si>
    <t>Bioretention Cell</t>
  </si>
  <si>
    <t>2inch ponding depth</t>
  </si>
  <si>
    <t>Selection List</t>
  </si>
  <si>
    <t>Bioretention Cell with Detention</t>
  </si>
  <si>
    <t>Detention Cistern</t>
  </si>
  <si>
    <t>Credit</t>
  </si>
  <si>
    <t>-</t>
  </si>
  <si>
    <t>)</t>
  </si>
  <si>
    <t>(</t>
  </si>
  <si>
    <t xml:space="preserve"> </t>
  </si>
  <si>
    <t>Sizing Equation</t>
  </si>
  <si>
    <t>20% (or min 100 sf/tree)</t>
  </si>
  <si>
    <t>10% (or min 50 sf/tree)</t>
  </si>
  <si>
    <t>Sizing Factor Not Available</t>
  </si>
  <si>
    <t>6" NA for Peak Standard</t>
  </si>
  <si>
    <t>NA for Pasture Std</t>
  </si>
  <si>
    <t>Sizing Factor Not Available for Peak Std</t>
  </si>
  <si>
    <t>sf - square feet</t>
  </si>
  <si>
    <t>ft - feet</t>
  </si>
  <si>
    <t>in - inch</t>
  </si>
  <si>
    <t>in/hr - inch per hour</t>
  </si>
  <si>
    <t>Actual area requiring mitigation</t>
  </si>
  <si>
    <t>Contributing A</t>
  </si>
  <si>
    <t>Pre-developed Pasture and Peak Flow Control Standards</t>
  </si>
  <si>
    <t>Flow Control Standard(s)</t>
  </si>
  <si>
    <t>NA for Pasture Standard</t>
  </si>
  <si>
    <t>Permeable Pavement Facility (may receive run-on)</t>
  </si>
  <si>
    <t>%</t>
  </si>
  <si>
    <t>min -minimum</t>
  </si>
  <si>
    <t>Trench Area</t>
  </si>
  <si>
    <t>Dispersed Impervious Area</t>
  </si>
  <si>
    <t>Yes</t>
  </si>
  <si>
    <t>No</t>
  </si>
  <si>
    <t>Width</t>
  </si>
  <si>
    <t>Length</t>
  </si>
  <si>
    <t>Area Requiring Mitigation</t>
  </si>
  <si>
    <t>Maximum Unmitigated Impervious Area</t>
  </si>
  <si>
    <t>12 inch ponding depth in storage reservoir</t>
  </si>
  <si>
    <t>Infilt Rate or Contributing Area</t>
  </si>
  <si>
    <t>&lt;5,000sf</t>
  </si>
  <si>
    <t>5,000 - 10,000sf</t>
  </si>
  <si>
    <t>Contributing Area =</t>
  </si>
  <si>
    <t>ft diameter</t>
  </si>
  <si>
    <t>BMP Area Threshold 
(between values set to 5,000sf)</t>
  </si>
  <si>
    <t>ft head</t>
  </si>
  <si>
    <t>&lt;760</t>
  </si>
  <si>
    <t>&gt;760</t>
  </si>
  <si>
    <t>&lt;6,140sf</t>
  </si>
  <si>
    <t>&gt;8,000sf</t>
  </si>
  <si>
    <t>6,140 - 8,000sf</t>
  </si>
  <si>
    <t>Herrera Environmental Consultants</t>
  </si>
  <si>
    <t>Total Canopy Area of Trees</t>
  </si>
  <si>
    <t>This calculator does not provide conveyance flow calculations.</t>
  </si>
  <si>
    <t>Project Area</t>
  </si>
  <si>
    <t>Parcel</t>
  </si>
  <si>
    <t>Roadway</t>
  </si>
  <si>
    <t>Single Family</t>
  </si>
  <si>
    <t>Project Type</t>
  </si>
  <si>
    <t>Sidewalk</t>
  </si>
  <si>
    <t>Trail</t>
  </si>
  <si>
    <t>New plus Replaced Impervious Area</t>
  </si>
  <si>
    <t>Impervious Surface Reduction Methods</t>
  </si>
  <si>
    <t>Infiltrating and Reuse Facilities</t>
  </si>
  <si>
    <t>GSI Requirement Achieved?</t>
  </si>
  <si>
    <t>Runoff Reduction Methods</t>
  </si>
  <si>
    <t>Non-Infiltrating Facilities</t>
  </si>
  <si>
    <t>Reuse Facilities</t>
  </si>
  <si>
    <t>Rainwater Harvesting</t>
  </si>
  <si>
    <t>GSI Standard</t>
  </si>
  <si>
    <t>Flow Control Credits</t>
  </si>
  <si>
    <t>Sizing Factors for Infiltration Facilities</t>
  </si>
  <si>
    <r>
      <t>Pre-developed Pasture Standard</t>
    </r>
  </si>
  <si>
    <t>Sizing Factor</t>
  </si>
  <si>
    <t>Water Quality Treatment</t>
  </si>
  <si>
    <t>Design 
Infiltration Rate
(inch/hour)</t>
  </si>
  <si>
    <t>Sizing Equations for Detention Facilities</t>
  </si>
  <si>
    <t>Area Requiring Mitigation if Traditional Facilities Used (100% Impervious Area)</t>
  </si>
  <si>
    <t>Area Requiring Mitigation if Only GSI Used (70% Impervious area)</t>
  </si>
  <si>
    <t>Permeable Pavement Surface (Subgrade Slope ≤2%)</t>
  </si>
  <si>
    <t>Permeable Pavement Surface (Subgrade Slope 2-5%)</t>
  </si>
  <si>
    <t>eqn - equation</t>
  </si>
  <si>
    <t>min - minimum</t>
  </si>
  <si>
    <t>Contributing Area</t>
  </si>
  <si>
    <t>Applicant is responsible to ensure system overflow conveyance is provided per Section 4.2.5 of the Stormwater Manual Volume 3.</t>
  </si>
  <si>
    <t>NA (pool drawdown time exceeded)</t>
  </si>
  <si>
    <t>0.25*</t>
  </si>
  <si>
    <r>
      <t>Dispersion</t>
    </r>
    <r>
      <rPr>
        <vertAlign val="superscript"/>
        <sz val="9"/>
        <rFont val="Arial"/>
        <family val="2"/>
      </rPr>
      <t xml:space="preserve">   1</t>
    </r>
  </si>
  <si>
    <r>
      <t>Reuse Facilities</t>
    </r>
    <r>
      <rPr>
        <vertAlign val="superscript"/>
        <sz val="9"/>
        <rFont val="Arial"/>
        <family val="2"/>
      </rPr>
      <t xml:space="preserve"> 1</t>
    </r>
  </si>
  <si>
    <r>
      <t>Ponding Depth</t>
    </r>
    <r>
      <rPr>
        <vertAlign val="superscript"/>
        <sz val="11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</si>
  <si>
    <r>
      <t>Alternative Roof Surfaces</t>
    </r>
    <r>
      <rPr>
        <vertAlign val="superscript"/>
        <sz val="9"/>
        <rFont val="Arial"/>
        <family val="2"/>
      </rPr>
      <t xml:space="preserve">  1</t>
    </r>
  </si>
  <si>
    <r>
      <t>Bioretention Cell with Detention</t>
    </r>
    <r>
      <rPr>
        <vertAlign val="superscript"/>
        <sz val="9"/>
        <rFont val="Arial"/>
        <family val="2"/>
      </rPr>
      <t xml:space="preserve"> 1</t>
    </r>
    <r>
      <rPr>
        <sz val="8"/>
        <rFont val="Arial"/>
        <family val="2"/>
      </rPr>
      <t xml:space="preserve"> (without Underdrain)</t>
    </r>
  </si>
  <si>
    <t xml:space="preserve">1. Single family residential projects are not required to evaluate this BMP.  </t>
  </si>
  <si>
    <t xml:space="preserve">2. Average subsurface ponding depth in aggregate storage reservoir.  </t>
  </si>
  <si>
    <t>Min Cistern Area</t>
  </si>
  <si>
    <t>gal</t>
  </si>
  <si>
    <t>gal - gallons</t>
  </si>
  <si>
    <t>If area is at least 70% impervious area, no more mitigation is required</t>
  </si>
  <si>
    <t>NA - not applicable</t>
  </si>
  <si>
    <t>City of Seattle Stormwater BMP Flow Control Credits, Sizing Factors and Sizing Equations (11-23-09)</t>
  </si>
  <si>
    <t>Sizing Credit/Factor/Eqn</t>
  </si>
  <si>
    <t>Sizing Factor/Eqn</t>
  </si>
  <si>
    <t>GSI Runoff Reduction Methods</t>
  </si>
  <si>
    <t>GSI Infiltration and Reuse Facilities</t>
  </si>
  <si>
    <t>GSI Non-Infiltrating Facilities</t>
  </si>
  <si>
    <t>Percent Area Mitigated by GSI</t>
  </si>
  <si>
    <t>8inch ponding depth</t>
  </si>
  <si>
    <t>10inch ponding depth (interpolated)</t>
  </si>
  <si>
    <t>6 inch ponding depth (interpolated)</t>
  </si>
  <si>
    <t>4inch ponding depth (interpolated)</t>
  </si>
  <si>
    <t>Applicant must provide documentation of mitigation</t>
  </si>
  <si>
    <t>Flow Control Standard Achieved?</t>
  </si>
  <si>
    <t>Bioretention Cell with Detention (without underdrain)</t>
  </si>
  <si>
    <t>Bioretention Cell (without underdrain)</t>
  </si>
  <si>
    <r>
      <t>Ponding Depth</t>
    </r>
    <r>
      <rPr>
        <vertAlign val="superscript"/>
        <sz val="11"/>
        <rFont val="Arial"/>
        <family val="2"/>
      </rPr>
      <t xml:space="preserve"> </t>
    </r>
    <r>
      <rPr>
        <vertAlign val="superscript"/>
        <sz val="8"/>
        <rFont val="Arial"/>
        <family val="2"/>
      </rPr>
      <t>1</t>
    </r>
  </si>
  <si>
    <t xml:space="preserve">1. Average subsurface ponding depth in aggregate storage reservoir.  </t>
  </si>
  <si>
    <t>std - standard</t>
  </si>
  <si>
    <t>Area Mitigated by GSI</t>
  </si>
  <si>
    <t xml:space="preserve">Percent Area Mitigated by GSI </t>
  </si>
  <si>
    <t>Total Area Mitigated</t>
  </si>
  <si>
    <t>% Impervious Area Mitigated</t>
  </si>
  <si>
    <t>Factor Not Available for Peak Std</t>
  </si>
  <si>
    <t>8 inch ponding depth in storage reservoir  (interpolated)</t>
  </si>
  <si>
    <t>10 inch ponding depth in storage reservoir  (interpolated)</t>
  </si>
  <si>
    <t>6" NA for GSI Requirement</t>
  </si>
  <si>
    <t>Min Live Cistern Volume</t>
  </si>
  <si>
    <t>Aboveground Cistern</t>
  </si>
  <si>
    <r>
      <t xml:space="preserve">Detention Cistern with Harvesting Capacity </t>
    </r>
    <r>
      <rPr>
        <vertAlign val="superscript"/>
        <sz val="9"/>
        <rFont val="Arial"/>
        <family val="2"/>
      </rPr>
      <t>3</t>
    </r>
  </si>
  <si>
    <t>Sizing Factor/Credit</t>
  </si>
  <si>
    <t>Parcel-based Project</t>
  </si>
  <si>
    <t>Roadway Project</t>
  </si>
  <si>
    <t>City of Seattle Green Stormwater Infrastructure Requirement Calculator (11-25-09)</t>
  </si>
  <si>
    <t>City of Seattle Pre-Sized Flow Control Calculator (11-25-09)</t>
  </si>
  <si>
    <t>(1,500 sf credit for SFR projects)</t>
  </si>
  <si>
    <t xml:space="preserve">3. Cistern area must be rounded up to next commercially available product.  Cistern need not have more than 3 feet of live storage volume above orifice.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</si>
</sst>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  <numFmt numFmtId="174" formatCode="0.00000000"/>
    <numFmt numFmtId="175" formatCode="0.000000000"/>
    <numFmt numFmtId="176" formatCode="0.0000000"/>
    <numFmt numFmtId="177" formatCode="0.000000"/>
    <numFmt numFmtId="178" formatCode="#,##0.0"/>
    <numFmt numFmtId="179" formatCode="0.0E+00"/>
    <numFmt numFmtId="180" formatCode="#,##0.000"/>
    <numFmt numFmtId="181" formatCode="#,##0.0000"/>
    <numFmt numFmtId="182" formatCode="0.00000000000000%"/>
    <numFmt numFmtId="183" formatCode="0.0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0.0000000000"/>
    <numFmt numFmtId="195" formatCode="#,##0.00000"/>
    <numFmt numFmtId="196" formatCode="#,##0.000000"/>
    <numFmt numFmtId="197" formatCode="[$-409]h:mm:ss\ AM/PM"/>
  </numFmts>
  <fonts count="64">
    <font>
      <sz val="10"/>
      <name val="Arial"/>
      <family val="0"/>
    </font>
    <font>
      <sz val="10"/>
      <name val="Times New Roman"/>
      <family val="1"/>
    </font>
    <font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u val="single"/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Continuous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/>
      <protection/>
    </xf>
    <xf numFmtId="3" fontId="0" fillId="35" borderId="11" xfId="0" applyNumberFormat="1" applyFont="1" applyFill="1" applyBorder="1" applyAlignment="1" applyProtection="1">
      <alignment horizontal="righ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 quotePrefix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Continuous"/>
      <protection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 quotePrefix="1">
      <alignment horizontal="center" vertical="center" wrapText="1"/>
      <protection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/>
      <protection/>
    </xf>
    <xf numFmtId="3" fontId="0" fillId="35" borderId="16" xfId="0" applyNumberFormat="1" applyFont="1" applyFill="1" applyBorder="1" applyAlignment="1" applyProtection="1">
      <alignment horizontal="right" vertical="center" wrapText="1"/>
      <protection/>
    </xf>
    <xf numFmtId="3" fontId="0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35" borderId="17" xfId="0" applyFont="1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horizontal="left" vertical="center" indent="1"/>
      <protection/>
    </xf>
    <xf numFmtId="0" fontId="2" fillId="35" borderId="0" xfId="0" applyFont="1" applyFill="1" applyBorder="1" applyAlignment="1" applyProtection="1">
      <alignment horizontal="left" vertical="center" wrapText="1" inden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0" fillId="35" borderId="19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 indent="1"/>
      <protection/>
    </xf>
    <xf numFmtId="0" fontId="4" fillId="35" borderId="15" xfId="0" applyFont="1" applyFill="1" applyBorder="1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 horizontal="left" indent="1"/>
      <protection/>
    </xf>
    <xf numFmtId="0" fontId="14" fillId="35" borderId="0" xfId="0" applyFont="1" applyFill="1" applyBorder="1" applyAlignment="1" applyProtection="1">
      <alignment vertical="center" wrapText="1"/>
      <protection/>
    </xf>
    <xf numFmtId="0" fontId="14" fillId="35" borderId="0" xfId="0" applyFont="1" applyFill="1" applyBorder="1" applyAlignment="1" applyProtection="1">
      <alignment horizontal="right" vertical="center"/>
      <protection/>
    </xf>
    <xf numFmtId="3" fontId="14" fillId="35" borderId="0" xfId="0" applyNumberFormat="1" applyFont="1" applyFill="1" applyBorder="1" applyAlignment="1" applyProtection="1">
      <alignment horizontal="right" vertical="center" wrapText="1"/>
      <protection/>
    </xf>
    <xf numFmtId="0" fontId="14" fillId="35" borderId="18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Alignment="1">
      <alignment horizontal="center"/>
    </xf>
    <xf numFmtId="0" fontId="0" fillId="35" borderId="2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165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Border="1" applyAlignment="1" applyProtection="1">
      <alignment/>
      <protection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4" fillId="35" borderId="15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/>
    </xf>
    <xf numFmtId="0" fontId="0" fillId="35" borderId="15" xfId="0" applyFont="1" applyFill="1" applyBorder="1" applyAlignment="1" applyProtection="1">
      <alignment horizontal="right" vertical="center" wrapText="1"/>
      <protection/>
    </xf>
    <xf numFmtId="0" fontId="16" fillId="35" borderId="11" xfId="0" applyFont="1" applyFill="1" applyBorder="1" applyAlignment="1" applyProtection="1">
      <alignment horizontal="left" wrapText="1"/>
      <protection/>
    </xf>
    <xf numFmtId="0" fontId="16" fillId="35" borderId="11" xfId="0" applyFont="1" applyFill="1" applyBorder="1" applyAlignment="1" applyProtection="1">
      <alignment wrapText="1"/>
      <protection/>
    </xf>
    <xf numFmtId="0" fontId="16" fillId="35" borderId="11" xfId="0" applyFont="1" applyFill="1" applyBorder="1" applyAlignment="1" applyProtection="1">
      <alignment horizontal="center" wrapText="1"/>
      <protection/>
    </xf>
    <xf numFmtId="0" fontId="16" fillId="35" borderId="11" xfId="0" applyFont="1" applyFill="1" applyBorder="1" applyAlignment="1" applyProtection="1">
      <alignment horizontal="centerContinuous" wrapText="1"/>
      <protection/>
    </xf>
    <xf numFmtId="0" fontId="3" fillId="35" borderId="11" xfId="0" applyFont="1" applyFill="1" applyBorder="1" applyAlignment="1" applyProtection="1">
      <alignment horizontal="centerContinuous"/>
      <protection/>
    </xf>
    <xf numFmtId="0" fontId="16" fillId="35" borderId="21" xfId="0" applyFont="1" applyFill="1" applyBorder="1" applyAlignment="1" applyProtection="1">
      <alignment wrapText="1"/>
      <protection/>
    </xf>
    <xf numFmtId="3" fontId="0" fillId="35" borderId="13" xfId="0" applyNumberFormat="1" applyFont="1" applyFill="1" applyBorder="1" applyAlignment="1" applyProtection="1">
      <alignment horizontal="right" vertical="center" wrapText="1"/>
      <protection/>
    </xf>
    <xf numFmtId="0" fontId="0" fillId="35" borderId="19" xfId="0" applyFont="1" applyFill="1" applyBorder="1" applyAlignment="1" applyProtection="1">
      <alignment vertical="center" wrapText="1"/>
      <protection/>
    </xf>
    <xf numFmtId="0" fontId="5" fillId="35" borderId="15" xfId="0" applyFont="1" applyFill="1" applyBorder="1" applyAlignment="1" applyProtection="1">
      <alignment horizontal="right" vertical="center"/>
      <protection/>
    </xf>
    <xf numFmtId="0" fontId="0" fillId="35" borderId="18" xfId="0" applyFont="1" applyFill="1" applyBorder="1" applyAlignment="1" applyProtection="1">
      <alignment horizontal="right"/>
      <protection/>
    </xf>
    <xf numFmtId="0" fontId="17" fillId="35" borderId="22" xfId="0" applyFont="1" applyFill="1" applyBorder="1" applyAlignment="1" applyProtection="1">
      <alignment horizontal="centerContinuous" vertical="center"/>
      <protection/>
    </xf>
    <xf numFmtId="0" fontId="18" fillId="35" borderId="23" xfId="0" applyFont="1" applyFill="1" applyBorder="1" applyAlignment="1" applyProtection="1">
      <alignment vertical="center" wrapText="1"/>
      <protection/>
    </xf>
    <xf numFmtId="0" fontId="4" fillId="35" borderId="15" xfId="0" applyFont="1" applyFill="1" applyBorder="1" applyAlignment="1" applyProtection="1">
      <alignment horizontal="left" vertical="center" indent="1"/>
      <protection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4" fillId="35" borderId="0" xfId="0" applyFont="1" applyFill="1" applyBorder="1" applyAlignment="1" applyProtection="1">
      <alignment horizontal="right" vertical="center" wrapText="1" indent="1"/>
      <protection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18" fillId="35" borderId="15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4" fillId="35" borderId="23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164" fontId="4" fillId="35" borderId="16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16" xfId="0" applyFont="1" applyFill="1" applyBorder="1" applyAlignment="1" applyProtection="1">
      <alignment horizontal="centerContinuous" vertical="center" wrapText="1"/>
      <protection/>
    </xf>
    <xf numFmtId="0" fontId="4" fillId="35" borderId="16" xfId="0" applyFont="1" applyFill="1" applyBorder="1" applyAlignment="1" applyProtection="1">
      <alignment horizontal="centerContinuous"/>
      <protection/>
    </xf>
    <xf numFmtId="164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 quotePrefix="1">
      <alignment horizontal="center" vertical="center" wrapText="1"/>
      <protection/>
    </xf>
    <xf numFmtId="3" fontId="4" fillId="35" borderId="16" xfId="0" applyNumberFormat="1" applyFont="1" applyFill="1" applyBorder="1" applyAlignment="1" applyProtection="1">
      <alignment vertical="center" wrapText="1"/>
      <protection/>
    </xf>
    <xf numFmtId="0" fontId="4" fillId="35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4" fillId="35" borderId="16" xfId="0" applyNumberFormat="1" applyFont="1" applyFill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Border="1" applyAlignment="1" applyProtection="1">
      <alignment horizontal="right" vertical="center" wrapText="1"/>
      <protection/>
    </xf>
    <xf numFmtId="3" fontId="4" fillId="35" borderId="23" xfId="0" applyNumberFormat="1" applyFont="1" applyFill="1" applyBorder="1" applyAlignment="1" applyProtection="1">
      <alignment horizontal="right" vertical="center" wrapText="1"/>
      <protection/>
    </xf>
    <xf numFmtId="164" fontId="4" fillId="35" borderId="12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12" xfId="0" applyFont="1" applyFill="1" applyBorder="1" applyAlignment="1" applyProtection="1">
      <alignment horizontal="centerContinuous" vertical="center" wrapText="1"/>
      <protection/>
    </xf>
    <xf numFmtId="0" fontId="4" fillId="35" borderId="12" xfId="0" applyFont="1" applyFill="1" applyBorder="1" applyAlignment="1" applyProtection="1">
      <alignment horizontal="centerContinuous"/>
      <protection/>
    </xf>
    <xf numFmtId="0" fontId="4" fillId="35" borderId="25" xfId="0" applyFont="1" applyFill="1" applyBorder="1" applyAlignment="1" applyProtection="1">
      <alignment vertical="top" wrapText="1"/>
      <protection/>
    </xf>
    <xf numFmtId="0" fontId="4" fillId="35" borderId="16" xfId="0" applyFont="1" applyFill="1" applyBorder="1" applyAlignment="1" applyProtection="1">
      <alignment vertical="top" wrapText="1"/>
      <protection/>
    </xf>
    <xf numFmtId="0" fontId="4" fillId="35" borderId="16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/>
      <protection/>
    </xf>
    <xf numFmtId="3" fontId="4" fillId="35" borderId="16" xfId="0" applyNumberFormat="1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0" fontId="4" fillId="35" borderId="16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18" xfId="0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Border="1" applyAlignment="1" applyProtection="1" quotePrefix="1">
      <alignment horizontal="center"/>
      <protection/>
    </xf>
    <xf numFmtId="0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right" vertical="center" wrapText="1"/>
      <protection/>
    </xf>
    <xf numFmtId="171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horizontal="right" vertical="center" wrapText="1"/>
      <protection/>
    </xf>
    <xf numFmtId="0" fontId="4" fillId="35" borderId="16" xfId="0" applyFont="1" applyFill="1" applyBorder="1" applyAlignment="1" applyProtection="1" quotePrefix="1">
      <alignment horizontal="right"/>
      <protection/>
    </xf>
    <xf numFmtId="0" fontId="4" fillId="35" borderId="0" xfId="0" applyFont="1" applyFill="1" applyBorder="1" applyAlignment="1" applyProtection="1" quotePrefix="1">
      <alignment horizontal="left"/>
      <protection/>
    </xf>
    <xf numFmtId="3" fontId="4" fillId="35" borderId="16" xfId="0" applyNumberFormat="1" applyFont="1" applyFill="1" applyBorder="1" applyAlignment="1" applyProtection="1">
      <alignment horizontal="right" vertical="center"/>
      <protection/>
    </xf>
    <xf numFmtId="0" fontId="19" fillId="35" borderId="0" xfId="0" applyFont="1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horizontal="right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9" fillId="35" borderId="0" xfId="0" applyNumberFormat="1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 quotePrefix="1">
      <alignment horizontal="center" vertical="center" wrapText="1"/>
      <protection/>
    </xf>
    <xf numFmtId="3" fontId="19" fillId="35" borderId="0" xfId="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right"/>
      <protection/>
    </xf>
    <xf numFmtId="164" fontId="20" fillId="35" borderId="0" xfId="0" applyNumberFormat="1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left" vertical="center" indent="1"/>
      <protection/>
    </xf>
    <xf numFmtId="0" fontId="4" fillId="35" borderId="23" xfId="0" applyFont="1" applyFill="1" applyBorder="1" applyAlignment="1" applyProtection="1">
      <alignment horizontal="left" vertical="center" wrapText="1" inden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3" fontId="4" fillId="35" borderId="0" xfId="0" applyNumberFormat="1" applyFont="1" applyFill="1" applyBorder="1" applyAlignment="1" applyProtection="1">
      <alignment horizontal="right"/>
      <protection/>
    </xf>
    <xf numFmtId="0" fontId="4" fillId="35" borderId="18" xfId="0" applyFont="1" applyFill="1" applyBorder="1" applyAlignment="1" applyProtection="1">
      <alignment/>
      <protection/>
    </xf>
    <xf numFmtId="171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5" fillId="35" borderId="16" xfId="0" applyFont="1" applyFill="1" applyBorder="1" applyAlignment="1" applyProtection="1">
      <alignment horizontal="right" vertical="center" wrapText="1"/>
      <protection/>
    </xf>
    <xf numFmtId="3" fontId="16" fillId="35" borderId="11" xfId="0" applyNumberFormat="1" applyFont="1" applyFill="1" applyBorder="1" applyAlignment="1" applyProtection="1">
      <alignment wrapText="1"/>
      <protection/>
    </xf>
    <xf numFmtId="3" fontId="4" fillId="35" borderId="23" xfId="0" applyNumberFormat="1" applyFont="1" applyFill="1" applyBorder="1" applyAlignment="1" applyProtection="1">
      <alignment vertical="center" wrapText="1"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wrapText="1"/>
      <protection/>
    </xf>
    <xf numFmtId="0" fontId="4" fillId="35" borderId="16" xfId="0" applyFont="1" applyFill="1" applyBorder="1" applyAlignment="1" applyProtection="1">
      <alignment horizontal="center" wrapText="1"/>
      <protection/>
    </xf>
    <xf numFmtId="0" fontId="4" fillId="35" borderId="26" xfId="0" applyFont="1" applyFill="1" applyBorder="1" applyAlignment="1" applyProtection="1">
      <alignment vertical="center" wrapText="1"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 wrapText="1"/>
      <protection/>
    </xf>
    <xf numFmtId="0" fontId="4" fillId="35" borderId="23" xfId="0" applyFont="1" applyFill="1" applyBorder="1" applyAlignment="1" applyProtection="1">
      <alignment horizontal="center" wrapText="1"/>
      <protection/>
    </xf>
    <xf numFmtId="3" fontId="0" fillId="35" borderId="28" xfId="0" applyNumberFormat="1" applyFont="1" applyFill="1" applyBorder="1" applyAlignment="1" applyProtection="1">
      <alignment horizontal="right" vertical="center" wrapText="1"/>
      <protection/>
    </xf>
    <xf numFmtId="0" fontId="4" fillId="35" borderId="15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Continuous" wrapText="1"/>
    </xf>
    <xf numFmtId="0" fontId="1" fillId="0" borderId="16" xfId="0" applyFont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Continuous" wrapText="1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3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4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3" fontId="1" fillId="0" borderId="16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1" fontId="1" fillId="0" borderId="23" xfId="0" applyNumberFormat="1" applyFont="1" applyFill="1" applyBorder="1" applyAlignment="1">
      <alignment horizontal="center" vertical="center" wrapText="1"/>
    </xf>
    <xf numFmtId="177" fontId="1" fillId="0" borderId="2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171" fontId="1" fillId="0" borderId="16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6" borderId="22" xfId="0" applyFont="1" applyFill="1" applyBorder="1" applyAlignment="1" applyProtection="1">
      <alignment horizontal="centerContinuous" vertical="center"/>
      <protection/>
    </xf>
    <xf numFmtId="0" fontId="0" fillId="36" borderId="14" xfId="0" applyFont="1" applyFill="1" applyBorder="1" applyAlignment="1" applyProtection="1">
      <alignment horizontal="centerContinuous"/>
      <protection/>
    </xf>
    <xf numFmtId="0" fontId="13" fillId="36" borderId="15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 vertical="center" wrapText="1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 inden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16" fillId="36" borderId="11" xfId="0" applyFont="1" applyFill="1" applyBorder="1" applyAlignment="1" applyProtection="1">
      <alignment horizontal="left" wrapText="1"/>
      <protection/>
    </xf>
    <xf numFmtId="0" fontId="16" fillId="36" borderId="11" xfId="0" applyFont="1" applyFill="1" applyBorder="1" applyAlignment="1" applyProtection="1">
      <alignment wrapText="1"/>
      <protection/>
    </xf>
    <xf numFmtId="0" fontId="16" fillId="36" borderId="11" xfId="0" applyFont="1" applyFill="1" applyBorder="1" applyAlignment="1" applyProtection="1">
      <alignment horizontal="center" wrapText="1"/>
      <protection/>
    </xf>
    <xf numFmtId="0" fontId="16" fillId="36" borderId="11" xfId="0" applyFont="1" applyFill="1" applyBorder="1" applyAlignment="1" applyProtection="1">
      <alignment horizontal="centerContinuous" wrapText="1"/>
      <protection/>
    </xf>
    <xf numFmtId="0" fontId="3" fillId="36" borderId="11" xfId="0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Continuous" wrapText="1"/>
    </xf>
    <xf numFmtId="0" fontId="27" fillId="0" borderId="0" xfId="0" applyFont="1" applyAlignment="1">
      <alignment/>
    </xf>
    <xf numFmtId="0" fontId="0" fillId="36" borderId="0" xfId="0" applyFont="1" applyFill="1" applyBorder="1" applyAlignment="1" applyProtection="1">
      <alignment vertical="center" wrapText="1"/>
      <protection/>
    </xf>
    <xf numFmtId="0" fontId="15" fillId="36" borderId="0" xfId="0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 quotePrefix="1">
      <alignment horizontal="center" vertical="center" wrapText="1"/>
      <protection/>
    </xf>
    <xf numFmtId="0" fontId="18" fillId="36" borderId="23" xfId="0" applyFont="1" applyFill="1" applyBorder="1" applyAlignment="1" applyProtection="1">
      <alignment vertical="center" wrapText="1"/>
      <protection/>
    </xf>
    <xf numFmtId="0" fontId="4" fillId="36" borderId="23" xfId="0" applyFont="1" applyFill="1" applyBorder="1" applyAlignment="1" applyProtection="1">
      <alignment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0" fillId="36" borderId="18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vertical="center" wrapText="1"/>
      <protection/>
    </xf>
    <xf numFmtId="0" fontId="15" fillId="36" borderId="18" xfId="0" applyFont="1" applyFill="1" applyBorder="1" applyAlignment="1" applyProtection="1">
      <alignment vertical="center" wrapText="1"/>
      <protection/>
    </xf>
    <xf numFmtId="0" fontId="2" fillId="36" borderId="18" xfId="0" applyFont="1" applyFill="1" applyBorder="1" applyAlignment="1" applyProtection="1">
      <alignment vertical="center" wrapText="1"/>
      <protection/>
    </xf>
    <xf numFmtId="0" fontId="16" fillId="36" borderId="21" xfId="0" applyFont="1" applyFill="1" applyBorder="1" applyAlignment="1" applyProtection="1">
      <alignment wrapText="1"/>
      <protection/>
    </xf>
    <xf numFmtId="0" fontId="4" fillId="36" borderId="24" xfId="0" applyFont="1" applyFill="1" applyBorder="1" applyAlignment="1" applyProtection="1">
      <alignment vertical="center" wrapText="1"/>
      <protection/>
    </xf>
    <xf numFmtId="3" fontId="0" fillId="36" borderId="16" xfId="0" applyNumberFormat="1" applyFont="1" applyFill="1" applyBorder="1" applyAlignment="1" applyProtection="1">
      <alignment horizontal="right" vertical="center" wrapText="1"/>
      <protection/>
    </xf>
    <xf numFmtId="0" fontId="4" fillId="36" borderId="15" xfId="0" applyFont="1" applyFill="1" applyBorder="1" applyAlignment="1" applyProtection="1">
      <alignment horizontal="left" vertical="center" indent="1"/>
      <protection/>
    </xf>
    <xf numFmtId="0" fontId="4" fillId="36" borderId="0" xfId="0" applyFont="1" applyFill="1" applyBorder="1" applyAlignment="1" applyProtection="1">
      <alignment horizontal="left" vertical="center" wrapText="1" indent="1"/>
      <protection/>
    </xf>
    <xf numFmtId="0" fontId="4" fillId="36" borderId="0" xfId="0" applyFont="1" applyFill="1" applyBorder="1" applyAlignment="1" applyProtection="1">
      <alignment horizontal="right" vertical="center" wrapText="1" indent="1"/>
      <protection/>
    </xf>
    <xf numFmtId="0" fontId="18" fillId="36" borderId="15" xfId="0" applyFont="1" applyFill="1" applyBorder="1" applyAlignment="1" applyProtection="1">
      <alignment vertical="center" wrapText="1"/>
      <protection/>
    </xf>
    <xf numFmtId="0" fontId="18" fillId="36" borderId="0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4" fillId="36" borderId="15" xfId="0" applyFont="1" applyFill="1" applyBorder="1" applyAlignment="1" applyProtection="1">
      <alignment vertical="top" wrapText="1"/>
      <protection/>
    </xf>
    <xf numFmtId="0" fontId="4" fillId="36" borderId="0" xfId="0" applyFont="1" applyFill="1" applyBorder="1" applyAlignment="1" applyProtection="1">
      <alignment vertical="top" wrapText="1"/>
      <protection/>
    </xf>
    <xf numFmtId="0" fontId="2" fillId="36" borderId="20" xfId="0" applyFont="1" applyFill="1" applyBorder="1" applyAlignment="1" applyProtection="1">
      <alignment horizontal="left" vertical="center" wrapText="1" indent="1"/>
      <protection/>
    </xf>
    <xf numFmtId="0" fontId="2" fillId="36" borderId="13" xfId="0" applyFont="1" applyFill="1" applyBorder="1" applyAlignment="1" applyProtection="1">
      <alignment horizontal="left" vertical="center" wrapText="1" indent="1"/>
      <protection/>
    </xf>
    <xf numFmtId="0" fontId="2" fillId="36" borderId="13" xfId="0" applyFont="1" applyFill="1" applyBorder="1" applyAlignment="1" applyProtection="1">
      <alignment vertical="center" wrapText="1"/>
      <protection/>
    </xf>
    <xf numFmtId="0" fontId="2" fillId="36" borderId="19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vertical="center" wrapText="1"/>
      <protection/>
    </xf>
    <xf numFmtId="164" fontId="4" fillId="36" borderId="16" xfId="0" applyNumberFormat="1" applyFont="1" applyFill="1" applyBorder="1" applyAlignment="1" applyProtection="1">
      <alignment horizontal="centerContinuous" vertical="center" wrapText="1"/>
      <protection/>
    </xf>
    <xf numFmtId="0" fontId="4" fillId="36" borderId="16" xfId="0" applyFont="1" applyFill="1" applyBorder="1" applyAlignment="1" applyProtection="1">
      <alignment horizontal="centerContinuous" vertical="center" wrapText="1"/>
      <protection/>
    </xf>
    <xf numFmtId="0" fontId="4" fillId="36" borderId="16" xfId="0" applyFont="1" applyFill="1" applyBorder="1" applyAlignment="1" applyProtection="1">
      <alignment horizontal="centerContinuous"/>
      <protection/>
    </xf>
    <xf numFmtId="164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 quotePrefix="1">
      <alignment horizontal="center" vertical="center" wrapText="1"/>
      <protection/>
    </xf>
    <xf numFmtId="3" fontId="4" fillId="36" borderId="16" xfId="0" applyNumberFormat="1" applyFont="1" applyFill="1" applyBorder="1" applyAlignment="1" applyProtection="1">
      <alignment vertical="center" wrapText="1"/>
      <protection/>
    </xf>
    <xf numFmtId="164" fontId="20" fillId="36" borderId="0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/>
      <protection/>
    </xf>
    <xf numFmtId="3" fontId="4" fillId="36" borderId="0" xfId="0" applyNumberFormat="1" applyFont="1" applyFill="1" applyBorder="1" applyAlignment="1" applyProtection="1">
      <alignment vertical="center" wrapText="1"/>
      <protection/>
    </xf>
    <xf numFmtId="3" fontId="4" fillId="36" borderId="16" xfId="0" applyNumberFormat="1" applyFont="1" applyFill="1" applyBorder="1" applyAlignment="1" applyProtection="1">
      <alignment horizontal="right" vertical="center" wrapText="1"/>
      <protection/>
    </xf>
    <xf numFmtId="3" fontId="4" fillId="36" borderId="0" xfId="0" applyNumberFormat="1" applyFont="1" applyFill="1" applyBorder="1" applyAlignment="1" applyProtection="1">
      <alignment horizontal="right" vertical="center" wrapText="1"/>
      <protection/>
    </xf>
    <xf numFmtId="3" fontId="4" fillId="36" borderId="0" xfId="0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4" fillId="36" borderId="15" xfId="0" applyFont="1" applyFill="1" applyBorder="1" applyAlignment="1" applyProtection="1">
      <alignment vertical="center" wrapText="1"/>
      <protection/>
    </xf>
    <xf numFmtId="0" fontId="4" fillId="36" borderId="16" xfId="0" applyNumberFormat="1" applyFont="1" applyFill="1" applyBorder="1" applyAlignment="1" applyProtection="1">
      <alignment horizontal="centerContinuous" vertical="center" wrapText="1"/>
      <protection/>
    </xf>
    <xf numFmtId="3" fontId="4" fillId="36" borderId="23" xfId="0" applyNumberFormat="1" applyFont="1" applyFill="1" applyBorder="1" applyAlignment="1" applyProtection="1">
      <alignment horizontal="right" vertical="center" wrapText="1"/>
      <protection/>
    </xf>
    <xf numFmtId="0" fontId="4" fillId="36" borderId="12" xfId="0" applyFont="1" applyFill="1" applyBorder="1" applyAlignment="1" applyProtection="1">
      <alignment horizontal="centerContinuous" vertical="center" wrapText="1"/>
      <protection/>
    </xf>
    <xf numFmtId="0" fontId="4" fillId="36" borderId="12" xfId="0" applyFont="1" applyFill="1" applyBorder="1" applyAlignment="1" applyProtection="1">
      <alignment horizontal="centerContinuous"/>
      <protection/>
    </xf>
    <xf numFmtId="171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horizontal="right" vertical="center" wrapText="1"/>
      <protection/>
    </xf>
    <xf numFmtId="0" fontId="0" fillId="36" borderId="13" xfId="0" applyFont="1" applyFill="1" applyBorder="1" applyAlignment="1" applyProtection="1">
      <alignment horizontal="right" vertical="center" wrapText="1"/>
      <protection/>
    </xf>
    <xf numFmtId="0" fontId="4" fillId="36" borderId="0" xfId="0" applyFont="1" applyFill="1" applyBorder="1" applyAlignment="1" applyProtection="1">
      <alignment horizontal="right" vertical="center" wrapText="1"/>
      <protection/>
    </xf>
    <xf numFmtId="0" fontId="4" fillId="36" borderId="0" xfId="0" applyFont="1" applyFill="1" applyBorder="1" applyAlignment="1" applyProtection="1" quotePrefix="1">
      <alignment horizontal="center"/>
      <protection/>
    </xf>
    <xf numFmtId="0" fontId="0" fillId="36" borderId="19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 quotePrefix="1">
      <alignment horizontal="left"/>
      <protection/>
    </xf>
    <xf numFmtId="0" fontId="4" fillId="36" borderId="0" xfId="0" applyFont="1" applyFill="1" applyBorder="1" applyAlignment="1" applyProtection="1" quotePrefix="1">
      <alignment horizontal="right"/>
      <protection/>
    </xf>
    <xf numFmtId="3" fontId="4" fillId="36" borderId="0" xfId="0" applyNumberFormat="1" applyFont="1" applyFill="1" applyBorder="1" applyAlignment="1" applyProtection="1">
      <alignment horizontal="right" vertical="center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3" fontId="0" fillId="36" borderId="13" xfId="0" applyNumberFormat="1" applyFont="1" applyFill="1" applyBorder="1" applyAlignment="1" applyProtection="1">
      <alignment horizontal="right" vertical="center" wrapText="1"/>
      <protection/>
    </xf>
    <xf numFmtId="3" fontId="0" fillId="36" borderId="0" xfId="0" applyNumberFormat="1" applyFont="1" applyFill="1" applyBorder="1" applyAlignment="1" applyProtection="1">
      <alignment horizontal="right" vertical="center" wrapText="1"/>
      <protection/>
    </xf>
    <xf numFmtId="0" fontId="5" fillId="36" borderId="15" xfId="0" applyFont="1" applyFill="1" applyBorder="1" applyAlignment="1" applyProtection="1">
      <alignment horizontal="right" vertical="center"/>
      <protection/>
    </xf>
    <xf numFmtId="0" fontId="5" fillId="36" borderId="16" xfId="0" applyFont="1" applyFill="1" applyBorder="1" applyAlignment="1" applyProtection="1">
      <alignment horizontal="right" vertical="center"/>
      <protection/>
    </xf>
    <xf numFmtId="0" fontId="2" fillId="36" borderId="20" xfId="0" applyFont="1" applyFill="1" applyBorder="1" applyAlignment="1" applyProtection="1">
      <alignment horizontal="left" vertical="center" indent="1"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5" fillId="36" borderId="13" xfId="0" applyFont="1" applyFill="1" applyBorder="1" applyAlignment="1" applyProtection="1">
      <alignment horizontal="right" vertical="center"/>
      <protection/>
    </xf>
    <xf numFmtId="3" fontId="2" fillId="36" borderId="13" xfId="0" applyNumberFormat="1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 horizontal="left" indent="1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 indent="1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20" xfId="0" applyFont="1" applyFill="1" applyBorder="1" applyAlignment="1" applyProtection="1">
      <alignment horizontal="left" indent="1"/>
      <protection/>
    </xf>
    <xf numFmtId="0" fontId="4" fillId="36" borderId="13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right"/>
      <protection/>
    </xf>
    <xf numFmtId="164" fontId="4" fillId="35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0" xfId="0" applyFont="1" applyFill="1" applyBorder="1" applyAlignment="1" applyProtection="1">
      <alignment horizontal="centerContinuous" vertical="center" wrapText="1"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left" vertical="center" wrapText="1" indent="1"/>
      <protection/>
    </xf>
    <xf numFmtId="171" fontId="28" fillId="36" borderId="0" xfId="0" applyNumberFormat="1" applyFont="1" applyFill="1" applyBorder="1" applyAlignment="1" applyProtection="1">
      <alignment horizontal="right" vertical="center"/>
      <protection/>
    </xf>
    <xf numFmtId="0" fontId="0" fillId="36" borderId="17" xfId="0" applyFont="1" applyFill="1" applyBorder="1" applyAlignment="1" applyProtection="1">
      <alignment horizontal="right"/>
      <protection/>
    </xf>
    <xf numFmtId="0" fontId="5" fillId="35" borderId="15" xfId="0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top" wrapText="1"/>
      <protection/>
    </xf>
    <xf numFmtId="0" fontId="2" fillId="35" borderId="16" xfId="0" applyFont="1" applyFill="1" applyBorder="1" applyAlignment="1" applyProtection="1">
      <alignment vertical="top" wrapText="1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/>
      <protection/>
    </xf>
    <xf numFmtId="3" fontId="0" fillId="35" borderId="16" xfId="0" applyNumberFormat="1" applyFont="1" applyFill="1" applyBorder="1" applyAlignment="1" applyProtection="1">
      <alignment/>
      <protection/>
    </xf>
    <xf numFmtId="0" fontId="0" fillId="35" borderId="26" xfId="0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 horizontal="right" vertical="center" wrapText="1"/>
      <protection/>
    </xf>
    <xf numFmtId="0" fontId="4" fillId="36" borderId="0" xfId="0" applyFont="1" applyFill="1" applyBorder="1" applyAlignment="1" applyProtection="1">
      <alignment horizontal="right" vertical="center"/>
      <protection/>
    </xf>
    <xf numFmtId="0" fontId="20" fillId="36" borderId="0" xfId="0" applyFont="1" applyFill="1" applyBorder="1" applyAlignment="1" applyProtection="1">
      <alignment horizontal="left" vertical="top"/>
      <protection/>
    </xf>
    <xf numFmtId="0" fontId="4" fillId="36" borderId="0" xfId="0" applyFont="1" applyFill="1" applyBorder="1" applyAlignment="1" applyProtection="1">
      <alignment horizontal="center" vertical="top" wrapText="1"/>
      <protection/>
    </xf>
    <xf numFmtId="0" fontId="0" fillId="36" borderId="28" xfId="0" applyFont="1" applyFill="1" applyBorder="1" applyAlignment="1" applyProtection="1">
      <alignment/>
      <protection/>
    </xf>
    <xf numFmtId="3" fontId="15" fillId="36" borderId="16" xfId="0" applyNumberFormat="1" applyFont="1" applyFill="1" applyBorder="1" applyAlignment="1" applyProtection="1">
      <alignment horizontal="right" vertical="center" wrapText="1"/>
      <protection/>
    </xf>
    <xf numFmtId="164" fontId="20" fillId="35" borderId="0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 wrapText="1"/>
      <protection/>
    </xf>
    <xf numFmtId="0" fontId="20" fillId="35" borderId="16" xfId="0" applyFont="1" applyFill="1" applyBorder="1" applyAlignment="1" applyProtection="1">
      <alignment horizontal="left" vertical="top"/>
      <protection/>
    </xf>
    <xf numFmtId="0" fontId="0" fillId="35" borderId="16" xfId="0" applyFont="1" applyFill="1" applyBorder="1" applyAlignment="1" applyProtection="1">
      <alignment horizontal="center" vertical="top" wrapText="1"/>
      <protection/>
    </xf>
    <xf numFmtId="0" fontId="0" fillId="35" borderId="16" xfId="0" applyFont="1" applyFill="1" applyBorder="1" applyAlignment="1" applyProtection="1">
      <alignment vertical="top"/>
      <protection/>
    </xf>
    <xf numFmtId="164" fontId="20" fillId="36" borderId="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center" wrapText="1"/>
      <protection/>
    </xf>
    <xf numFmtId="0" fontId="4" fillId="35" borderId="18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>
      <alignment horizontal="centerContinuous" vertical="center"/>
    </xf>
    <xf numFmtId="178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6" xfId="0" applyFont="1" applyFill="1" applyBorder="1" applyAlignment="1" applyProtection="1" quotePrefix="1">
      <alignment horizontal="centerContinuous"/>
      <protection/>
    </xf>
    <xf numFmtId="3" fontId="4" fillId="36" borderId="16" xfId="0" applyNumberFormat="1" applyFont="1" applyFill="1" applyBorder="1" applyAlignment="1" applyProtection="1">
      <alignment horizontal="right" vertical="center"/>
      <protection/>
    </xf>
    <xf numFmtId="0" fontId="5" fillId="36" borderId="15" xfId="0" applyFont="1" applyFill="1" applyBorder="1" applyAlignment="1" applyProtection="1">
      <alignment/>
      <protection/>
    </xf>
    <xf numFmtId="164" fontId="4" fillId="36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 applyProtection="1">
      <alignment horizontal="right" vertical="center" wrapText="1"/>
      <protection/>
    </xf>
    <xf numFmtId="178" fontId="4" fillId="36" borderId="16" xfId="0" applyNumberFormat="1" applyFont="1" applyFill="1" applyBorder="1" applyAlignment="1" applyProtection="1">
      <alignment horizontal="right" vertical="center" wrapText="1"/>
      <protection/>
    </xf>
    <xf numFmtId="0" fontId="17" fillId="35" borderId="15" xfId="0" applyFont="1" applyFill="1" applyBorder="1" applyAlignment="1" applyProtection="1">
      <alignment horizontal="centerContinuous" vertical="center"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18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165" fontId="0" fillId="36" borderId="16" xfId="0" applyNumberFormat="1" applyFont="1" applyFill="1" applyBorder="1" applyAlignment="1" applyProtection="1">
      <alignment horizontal="right" vertical="center" wrapText="1"/>
      <protection/>
    </xf>
    <xf numFmtId="0" fontId="3" fillId="36" borderId="13" xfId="0" applyFont="1" applyFill="1" applyBorder="1" applyAlignment="1" applyProtection="1">
      <alignment horizontal="centerContinuous" vertical="center"/>
      <protection/>
    </xf>
    <xf numFmtId="0" fontId="0" fillId="36" borderId="13" xfId="0" applyFont="1" applyFill="1" applyBorder="1" applyAlignment="1" applyProtection="1">
      <alignment horizontal="centerContinuous" vertical="center" wrapText="1"/>
      <protection/>
    </xf>
    <xf numFmtId="0" fontId="2" fillId="36" borderId="13" xfId="0" applyFont="1" applyFill="1" applyBorder="1" applyAlignment="1" applyProtection="1">
      <alignment horizontal="centerContinuous" vertical="center" wrapText="1"/>
      <protection/>
    </xf>
    <xf numFmtId="0" fontId="0" fillId="36" borderId="13" xfId="0" applyFont="1" applyFill="1" applyBorder="1" applyAlignment="1" applyProtection="1" quotePrefix="1">
      <alignment horizontal="centerContinuous" vertical="center" wrapText="1"/>
      <protection/>
    </xf>
    <xf numFmtId="178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4" borderId="22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35" borderId="15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4" fillId="35" borderId="15" xfId="0" applyFont="1" applyFill="1" applyBorder="1" applyAlignment="1" applyProtection="1">
      <alignment horizontal="left" vertical="center" wrapText="1" indent="1"/>
      <protection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18" fillId="35" borderId="15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18" fillId="35" borderId="23" xfId="0" applyFont="1" applyFill="1" applyBorder="1" applyAlignment="1" applyProtection="1">
      <alignment vertical="center" wrapText="1"/>
      <protection/>
    </xf>
    <xf numFmtId="0" fontId="18" fillId="35" borderId="27" xfId="0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 indent="1"/>
      <protection/>
    </xf>
    <xf numFmtId="0" fontId="0" fillId="35" borderId="15" xfId="0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16" fillId="35" borderId="29" xfId="0" applyFont="1" applyFill="1" applyBorder="1" applyAlignment="1" applyProtection="1">
      <alignment horizontal="left" wrapText="1"/>
      <protection/>
    </xf>
    <xf numFmtId="0" fontId="16" fillId="35" borderId="11" xfId="0" applyFont="1" applyFill="1" applyBorder="1" applyAlignment="1" applyProtection="1">
      <alignment horizontal="left" wrapText="1"/>
      <protection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right" vertical="center" wrapText="1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0" fillId="36" borderId="30" xfId="0" applyFont="1" applyFill="1" applyBorder="1" applyAlignment="1" applyProtection="1">
      <alignment vertical="center" wrapText="1"/>
      <protection/>
    </xf>
    <xf numFmtId="0" fontId="0" fillId="36" borderId="28" xfId="0" applyFont="1" applyFill="1" applyBorder="1" applyAlignment="1" applyProtection="1">
      <alignment vertical="center" wrapText="1"/>
      <protection/>
    </xf>
    <xf numFmtId="0" fontId="15" fillId="36" borderId="15" xfId="0" applyFont="1" applyFill="1" applyBorder="1" applyAlignment="1" applyProtection="1">
      <alignment horizontal="right" vertical="center"/>
      <protection/>
    </xf>
    <xf numFmtId="0" fontId="18" fillId="36" borderId="15" xfId="0" applyFont="1" applyFill="1" applyBorder="1" applyAlignment="1" applyProtection="1">
      <alignment vertical="center" wrapText="1"/>
      <protection/>
    </xf>
    <xf numFmtId="0" fontId="18" fillId="36" borderId="0" xfId="0" applyFont="1" applyFill="1" applyBorder="1" applyAlignment="1" applyProtection="1">
      <alignment vertical="center" wrapText="1"/>
      <protection/>
    </xf>
    <xf numFmtId="0" fontId="4" fillId="36" borderId="15" xfId="0" applyFont="1" applyFill="1" applyBorder="1" applyAlignment="1" applyProtection="1">
      <alignment horizontal="left" vertical="center" wrapText="1" indent="1"/>
      <protection/>
    </xf>
    <xf numFmtId="0" fontId="4" fillId="36" borderId="0" xfId="0" applyFont="1" applyFill="1" applyBorder="1" applyAlignment="1" applyProtection="1">
      <alignment horizontal="left" vertical="center" wrapText="1" indent="1"/>
      <protection/>
    </xf>
    <xf numFmtId="0" fontId="18" fillId="36" borderId="27" xfId="0" applyFont="1" applyFill="1" applyBorder="1" applyAlignment="1" applyProtection="1">
      <alignment vertical="center" wrapText="1"/>
      <protection/>
    </xf>
    <xf numFmtId="0" fontId="18" fillId="36" borderId="23" xfId="0" applyFont="1" applyFill="1" applyBorder="1" applyAlignment="1" applyProtection="1">
      <alignment vertical="center" wrapText="1"/>
      <protection/>
    </xf>
    <xf numFmtId="0" fontId="16" fillId="36" borderId="29" xfId="0" applyFont="1" applyFill="1" applyBorder="1" applyAlignment="1" applyProtection="1">
      <alignment horizontal="left" wrapText="1"/>
      <protection/>
    </xf>
    <xf numFmtId="0" fontId="16" fillId="36" borderId="11" xfId="0" applyFont="1" applyFill="1" applyBorder="1" applyAlignment="1" applyProtection="1">
      <alignment horizontal="left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87</xdr:row>
      <xdr:rowOff>95250</xdr:rowOff>
    </xdr:from>
    <xdr:to>
      <xdr:col>15</xdr:col>
      <xdr:colOff>142875</xdr:colOff>
      <xdr:row>87</xdr:row>
      <xdr:rowOff>95250</xdr:rowOff>
    </xdr:to>
    <xdr:sp>
      <xdr:nvSpPr>
        <xdr:cNvPr id="1" name="Line 8"/>
        <xdr:cNvSpPr>
          <a:spLocks/>
        </xdr:cNvSpPr>
      </xdr:nvSpPr>
      <xdr:spPr>
        <a:xfrm>
          <a:off x="7400925" y="13220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90</xdr:row>
      <xdr:rowOff>95250</xdr:rowOff>
    </xdr:from>
    <xdr:to>
      <xdr:col>15</xdr:col>
      <xdr:colOff>142875</xdr:colOff>
      <xdr:row>90</xdr:row>
      <xdr:rowOff>95250</xdr:rowOff>
    </xdr:to>
    <xdr:sp>
      <xdr:nvSpPr>
        <xdr:cNvPr id="2" name="Line 9"/>
        <xdr:cNvSpPr>
          <a:spLocks/>
        </xdr:cNvSpPr>
      </xdr:nvSpPr>
      <xdr:spPr>
        <a:xfrm>
          <a:off x="7419975" y="13535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148</xdr:row>
      <xdr:rowOff>114300</xdr:rowOff>
    </xdr:from>
    <xdr:to>
      <xdr:col>15</xdr:col>
      <xdr:colOff>85725</xdr:colOff>
      <xdr:row>148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1219200" y="228504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104775</xdr:rowOff>
    </xdr:from>
    <xdr:to>
      <xdr:col>15</xdr:col>
      <xdr:colOff>142875</xdr:colOff>
      <xdr:row>56</xdr:row>
      <xdr:rowOff>104775</xdr:rowOff>
    </xdr:to>
    <xdr:sp>
      <xdr:nvSpPr>
        <xdr:cNvPr id="4" name="Line 161"/>
        <xdr:cNvSpPr>
          <a:spLocks/>
        </xdr:cNvSpPr>
      </xdr:nvSpPr>
      <xdr:spPr>
        <a:xfrm>
          <a:off x="7429500" y="9286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57</xdr:row>
      <xdr:rowOff>95250</xdr:rowOff>
    </xdr:from>
    <xdr:to>
      <xdr:col>15</xdr:col>
      <xdr:colOff>142875</xdr:colOff>
      <xdr:row>57</xdr:row>
      <xdr:rowOff>95250</xdr:rowOff>
    </xdr:to>
    <xdr:sp>
      <xdr:nvSpPr>
        <xdr:cNvPr id="5" name="Line 162"/>
        <xdr:cNvSpPr>
          <a:spLocks/>
        </xdr:cNvSpPr>
      </xdr:nvSpPr>
      <xdr:spPr>
        <a:xfrm>
          <a:off x="7429500" y="9439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85725</xdr:rowOff>
    </xdr:from>
    <xdr:to>
      <xdr:col>15</xdr:col>
      <xdr:colOff>123825</xdr:colOff>
      <xdr:row>7</xdr:row>
      <xdr:rowOff>85725</xdr:rowOff>
    </xdr:to>
    <xdr:sp>
      <xdr:nvSpPr>
        <xdr:cNvPr id="6" name="Line 164"/>
        <xdr:cNvSpPr>
          <a:spLocks/>
        </xdr:cNvSpPr>
      </xdr:nvSpPr>
      <xdr:spPr>
        <a:xfrm>
          <a:off x="7410450" y="1028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8</xdr:row>
      <xdr:rowOff>85725</xdr:rowOff>
    </xdr:from>
    <xdr:to>
      <xdr:col>15</xdr:col>
      <xdr:colOff>123825</xdr:colOff>
      <xdr:row>8</xdr:row>
      <xdr:rowOff>85725</xdr:rowOff>
    </xdr:to>
    <xdr:sp>
      <xdr:nvSpPr>
        <xdr:cNvPr id="7" name="Line 165"/>
        <xdr:cNvSpPr>
          <a:spLocks/>
        </xdr:cNvSpPr>
      </xdr:nvSpPr>
      <xdr:spPr>
        <a:xfrm>
          <a:off x="7410450" y="119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76200</xdr:rowOff>
    </xdr:from>
    <xdr:to>
      <xdr:col>15</xdr:col>
      <xdr:colOff>123825</xdr:colOff>
      <xdr:row>6</xdr:row>
      <xdr:rowOff>76200</xdr:rowOff>
    </xdr:to>
    <xdr:sp>
      <xdr:nvSpPr>
        <xdr:cNvPr id="8" name="Line 166"/>
        <xdr:cNvSpPr>
          <a:spLocks/>
        </xdr:cNvSpPr>
      </xdr:nvSpPr>
      <xdr:spPr>
        <a:xfrm>
          <a:off x="7410450" y="847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</xdr:row>
      <xdr:rowOff>85725</xdr:rowOff>
    </xdr:from>
    <xdr:to>
      <xdr:col>8</xdr:col>
      <xdr:colOff>200025</xdr:colOff>
      <xdr:row>4</xdr:row>
      <xdr:rowOff>85725</xdr:rowOff>
    </xdr:to>
    <xdr:sp>
      <xdr:nvSpPr>
        <xdr:cNvPr id="9" name="Line 169"/>
        <xdr:cNvSpPr>
          <a:spLocks/>
        </xdr:cNvSpPr>
      </xdr:nvSpPr>
      <xdr:spPr>
        <a:xfrm>
          <a:off x="4848225" y="609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11</xdr:row>
      <xdr:rowOff>76200</xdr:rowOff>
    </xdr:from>
    <xdr:to>
      <xdr:col>15</xdr:col>
      <xdr:colOff>123825</xdr:colOff>
      <xdr:row>11</xdr:row>
      <xdr:rowOff>76200</xdr:rowOff>
    </xdr:to>
    <xdr:sp>
      <xdr:nvSpPr>
        <xdr:cNvPr id="10" name="Line 171"/>
        <xdr:cNvSpPr>
          <a:spLocks/>
        </xdr:cNvSpPr>
      </xdr:nvSpPr>
      <xdr:spPr>
        <a:xfrm>
          <a:off x="7410450" y="1419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91</xdr:row>
      <xdr:rowOff>85725</xdr:rowOff>
    </xdr:from>
    <xdr:to>
      <xdr:col>15</xdr:col>
      <xdr:colOff>142875</xdr:colOff>
      <xdr:row>91</xdr:row>
      <xdr:rowOff>85725</xdr:rowOff>
    </xdr:to>
    <xdr:sp>
      <xdr:nvSpPr>
        <xdr:cNvPr id="11" name="Line 182"/>
        <xdr:cNvSpPr>
          <a:spLocks/>
        </xdr:cNvSpPr>
      </xdr:nvSpPr>
      <xdr:spPr>
        <a:xfrm>
          <a:off x="7419975" y="13687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93</xdr:row>
      <xdr:rowOff>85725</xdr:rowOff>
    </xdr:from>
    <xdr:to>
      <xdr:col>15</xdr:col>
      <xdr:colOff>142875</xdr:colOff>
      <xdr:row>93</xdr:row>
      <xdr:rowOff>85725</xdr:rowOff>
    </xdr:to>
    <xdr:sp>
      <xdr:nvSpPr>
        <xdr:cNvPr id="12" name="Line 183"/>
        <xdr:cNvSpPr>
          <a:spLocks/>
        </xdr:cNvSpPr>
      </xdr:nvSpPr>
      <xdr:spPr>
        <a:xfrm>
          <a:off x="7419975" y="13925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2</xdr:row>
      <xdr:rowOff>85725</xdr:rowOff>
    </xdr:from>
    <xdr:to>
      <xdr:col>12</xdr:col>
      <xdr:colOff>190500</xdr:colOff>
      <xdr:row>2</xdr:row>
      <xdr:rowOff>85725</xdr:rowOff>
    </xdr:to>
    <xdr:sp>
      <xdr:nvSpPr>
        <xdr:cNvPr id="13" name="Line 195"/>
        <xdr:cNvSpPr>
          <a:spLocks/>
        </xdr:cNvSpPr>
      </xdr:nvSpPr>
      <xdr:spPr>
        <a:xfrm>
          <a:off x="5934075" y="361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4</xdr:row>
      <xdr:rowOff>76200</xdr:rowOff>
    </xdr:from>
    <xdr:to>
      <xdr:col>15</xdr:col>
      <xdr:colOff>123825</xdr:colOff>
      <xdr:row>4</xdr:row>
      <xdr:rowOff>76200</xdr:rowOff>
    </xdr:to>
    <xdr:sp>
      <xdr:nvSpPr>
        <xdr:cNvPr id="1" name="Line 198"/>
        <xdr:cNvSpPr>
          <a:spLocks/>
        </xdr:cNvSpPr>
      </xdr:nvSpPr>
      <xdr:spPr>
        <a:xfrm>
          <a:off x="7467600" y="542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76200</xdr:rowOff>
    </xdr:from>
    <xdr:to>
      <xdr:col>15</xdr:col>
      <xdr:colOff>123825</xdr:colOff>
      <xdr:row>6</xdr:row>
      <xdr:rowOff>76200</xdr:rowOff>
    </xdr:to>
    <xdr:sp>
      <xdr:nvSpPr>
        <xdr:cNvPr id="2" name="Line 199"/>
        <xdr:cNvSpPr>
          <a:spLocks/>
        </xdr:cNvSpPr>
      </xdr:nvSpPr>
      <xdr:spPr>
        <a:xfrm>
          <a:off x="7467600" y="762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9</xdr:row>
      <xdr:rowOff>85725</xdr:rowOff>
    </xdr:from>
    <xdr:to>
      <xdr:col>15</xdr:col>
      <xdr:colOff>123825</xdr:colOff>
      <xdr:row>9</xdr:row>
      <xdr:rowOff>85725</xdr:rowOff>
    </xdr:to>
    <xdr:sp>
      <xdr:nvSpPr>
        <xdr:cNvPr id="3" name="Line 200"/>
        <xdr:cNvSpPr>
          <a:spLocks/>
        </xdr:cNvSpPr>
      </xdr:nvSpPr>
      <xdr:spPr>
        <a:xfrm>
          <a:off x="7467600" y="990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104775</xdr:rowOff>
    </xdr:from>
    <xdr:to>
      <xdr:col>15</xdr:col>
      <xdr:colOff>123825</xdr:colOff>
      <xdr:row>61</xdr:row>
      <xdr:rowOff>104775</xdr:rowOff>
    </xdr:to>
    <xdr:sp>
      <xdr:nvSpPr>
        <xdr:cNvPr id="4" name="Line 205"/>
        <xdr:cNvSpPr>
          <a:spLocks/>
        </xdr:cNvSpPr>
      </xdr:nvSpPr>
      <xdr:spPr>
        <a:xfrm>
          <a:off x="7467600" y="9677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95250</xdr:rowOff>
    </xdr:from>
    <xdr:to>
      <xdr:col>15</xdr:col>
      <xdr:colOff>123825</xdr:colOff>
      <xdr:row>63</xdr:row>
      <xdr:rowOff>95250</xdr:rowOff>
    </xdr:to>
    <xdr:sp>
      <xdr:nvSpPr>
        <xdr:cNvPr id="5" name="Line 206"/>
        <xdr:cNvSpPr>
          <a:spLocks/>
        </xdr:cNvSpPr>
      </xdr:nvSpPr>
      <xdr:spPr>
        <a:xfrm>
          <a:off x="7467600" y="9991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65</xdr:row>
      <xdr:rowOff>85725</xdr:rowOff>
    </xdr:from>
    <xdr:to>
      <xdr:col>15</xdr:col>
      <xdr:colOff>133350</xdr:colOff>
      <xdr:row>65</xdr:row>
      <xdr:rowOff>85725</xdr:rowOff>
    </xdr:to>
    <xdr:sp>
      <xdr:nvSpPr>
        <xdr:cNvPr id="6" name="Line 207"/>
        <xdr:cNvSpPr>
          <a:spLocks/>
        </xdr:cNvSpPr>
      </xdr:nvSpPr>
      <xdr:spPr>
        <a:xfrm>
          <a:off x="7477125" y="10220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66675</xdr:rowOff>
    </xdr:from>
    <xdr:to>
      <xdr:col>15</xdr:col>
      <xdr:colOff>133350</xdr:colOff>
      <xdr:row>2</xdr:row>
      <xdr:rowOff>66675</xdr:rowOff>
    </xdr:to>
    <xdr:sp>
      <xdr:nvSpPr>
        <xdr:cNvPr id="7" name="Line 215"/>
        <xdr:cNvSpPr>
          <a:spLocks/>
        </xdr:cNvSpPr>
      </xdr:nvSpPr>
      <xdr:spPr>
        <a:xfrm>
          <a:off x="7477125" y="314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62</xdr:row>
      <xdr:rowOff>95250</xdr:rowOff>
    </xdr:from>
    <xdr:to>
      <xdr:col>15</xdr:col>
      <xdr:colOff>123825</xdr:colOff>
      <xdr:row>62</xdr:row>
      <xdr:rowOff>95250</xdr:rowOff>
    </xdr:to>
    <xdr:sp>
      <xdr:nvSpPr>
        <xdr:cNvPr id="8" name="Line 226"/>
        <xdr:cNvSpPr>
          <a:spLocks/>
        </xdr:cNvSpPr>
      </xdr:nvSpPr>
      <xdr:spPr>
        <a:xfrm>
          <a:off x="7467600" y="9829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80" zoomScaleNormal="80" zoomScaleSheetLayoutView="75" zoomScalePageLayoutView="0" workbookViewId="0" topLeftCell="A6">
      <selection activeCell="B10" sqref="B10"/>
    </sheetView>
  </sheetViews>
  <sheetFormatPr defaultColWidth="9.140625" defaultRowHeight="12.75"/>
  <cols>
    <col min="1" max="1" width="17.140625" style="2" customWidth="1"/>
    <col min="2" max="2" width="12.00390625" style="11" bestFit="1" customWidth="1"/>
    <col min="3" max="3" width="18.28125" style="3" customWidth="1"/>
    <col min="4" max="4" width="20.421875" style="2" customWidth="1"/>
    <col min="5" max="5" width="24.00390625" style="2" customWidth="1"/>
    <col min="6" max="6" width="24.8515625" style="2" customWidth="1"/>
    <col min="7" max="7" width="24.421875" style="2" bestFit="1" customWidth="1"/>
    <col min="8" max="8" width="23.421875" style="2" customWidth="1"/>
    <col min="9" max="10" width="18.28125" style="2" customWidth="1"/>
    <col min="11" max="12" width="9.57421875" style="2" customWidth="1"/>
    <col min="13" max="13" width="12.7109375" style="2" customWidth="1"/>
    <col min="14" max="16384" width="9.140625" style="2" customWidth="1"/>
  </cols>
  <sheetData>
    <row r="1" spans="1:8" s="270" customFormat="1" ht="18.75">
      <c r="A1" s="267" t="s">
        <v>180</v>
      </c>
      <c r="B1" s="268"/>
      <c r="C1" s="269"/>
      <c r="D1" s="268"/>
      <c r="E1" s="268"/>
      <c r="F1" s="268"/>
      <c r="G1" s="268"/>
      <c r="H1" s="268"/>
    </row>
    <row r="2" spans="1:3" ht="15.75">
      <c r="A2" s="1" t="s">
        <v>151</v>
      </c>
      <c r="B2" s="8"/>
      <c r="C2" s="9"/>
    </row>
    <row r="3" spans="1:9" ht="25.5">
      <c r="A3" s="190" t="s">
        <v>50</v>
      </c>
      <c r="B3" s="191"/>
      <c r="C3" s="190" t="s">
        <v>16</v>
      </c>
      <c r="D3" s="192" t="s">
        <v>70</v>
      </c>
      <c r="E3" s="192" t="s">
        <v>71</v>
      </c>
      <c r="F3" s="192" t="s">
        <v>150</v>
      </c>
      <c r="G3" s="192" t="s">
        <v>80</v>
      </c>
      <c r="I3" s="10" t="s">
        <v>91</v>
      </c>
    </row>
    <row r="4" spans="1:9" ht="12.75">
      <c r="A4" s="408" t="s">
        <v>78</v>
      </c>
      <c r="B4" s="176"/>
      <c r="C4" s="177" t="s">
        <v>51</v>
      </c>
      <c r="D4" s="5">
        <v>0.2</v>
      </c>
      <c r="E4" s="5">
        <v>0.2</v>
      </c>
      <c r="F4" s="5">
        <v>0.2</v>
      </c>
      <c r="G4" s="178">
        <v>100</v>
      </c>
      <c r="I4" s="10" t="s">
        <v>91</v>
      </c>
    </row>
    <row r="5" spans="1:9" ht="12.75">
      <c r="A5" s="409"/>
      <c r="B5" s="180"/>
      <c r="C5" s="182" t="s">
        <v>52</v>
      </c>
      <c r="D5" s="183">
        <v>0.1</v>
      </c>
      <c r="E5" s="183">
        <v>0.1</v>
      </c>
      <c r="F5" s="183">
        <v>0.1</v>
      </c>
      <c r="G5" s="184">
        <v>50</v>
      </c>
      <c r="I5" s="15"/>
    </row>
    <row r="6" spans="1:9" ht="12.75">
      <c r="A6" s="407" t="s">
        <v>79</v>
      </c>
      <c r="B6" s="186"/>
      <c r="C6" s="185" t="s">
        <v>51</v>
      </c>
      <c r="D6" s="187">
        <v>50</v>
      </c>
      <c r="E6" s="187">
        <v>50</v>
      </c>
      <c r="F6" s="187">
        <v>50</v>
      </c>
      <c r="G6" s="188"/>
      <c r="I6" s="15"/>
    </row>
    <row r="7" spans="1:9" ht="12.75">
      <c r="A7" s="409"/>
      <c r="B7" s="180"/>
      <c r="C7" s="182" t="s">
        <v>52</v>
      </c>
      <c r="D7" s="184">
        <v>20</v>
      </c>
      <c r="E7" s="184">
        <v>20</v>
      </c>
      <c r="F7" s="184">
        <v>20</v>
      </c>
      <c r="G7" s="189"/>
      <c r="I7" s="15"/>
    </row>
    <row r="8" spans="1:9" ht="12.75">
      <c r="A8" s="194" t="s">
        <v>31</v>
      </c>
      <c r="B8" s="191"/>
      <c r="C8" s="195"/>
      <c r="D8" s="196">
        <v>0.9</v>
      </c>
      <c r="E8" s="196">
        <v>1</v>
      </c>
      <c r="F8" s="196">
        <v>0.86</v>
      </c>
      <c r="G8" s="197"/>
      <c r="I8" s="5"/>
    </row>
    <row r="9" spans="1:9" ht="12.75">
      <c r="A9" s="405" t="s">
        <v>44</v>
      </c>
      <c r="B9" s="186"/>
      <c r="C9" s="198" t="s">
        <v>76</v>
      </c>
      <c r="D9" s="193">
        <v>1</v>
      </c>
      <c r="E9" s="193">
        <v>1</v>
      </c>
      <c r="F9" s="193">
        <v>1</v>
      </c>
      <c r="G9" s="188"/>
      <c r="I9" s="5"/>
    </row>
    <row r="10" spans="1:9" ht="12.75">
      <c r="A10" s="406"/>
      <c r="B10" s="180"/>
      <c r="C10" s="199" t="s">
        <v>56</v>
      </c>
      <c r="D10" s="183">
        <v>0.45</v>
      </c>
      <c r="E10" s="183">
        <v>0.7</v>
      </c>
      <c r="F10" s="183">
        <v>0.6</v>
      </c>
      <c r="G10" s="189"/>
      <c r="I10" s="5"/>
    </row>
    <row r="11" spans="1:9" ht="12.75">
      <c r="A11" s="407" t="s">
        <v>43</v>
      </c>
      <c r="B11" s="186"/>
      <c r="C11" s="185" t="s">
        <v>53</v>
      </c>
      <c r="D11" s="193">
        <v>0.46</v>
      </c>
      <c r="E11" s="193">
        <v>0.71</v>
      </c>
      <c r="F11" s="193">
        <v>0.59</v>
      </c>
      <c r="G11" s="188"/>
      <c r="I11" s="5"/>
    </row>
    <row r="12" spans="1:9" ht="12.75">
      <c r="A12" s="408"/>
      <c r="B12" s="176"/>
      <c r="C12" s="177" t="s">
        <v>54</v>
      </c>
      <c r="D12" s="5">
        <v>0.46</v>
      </c>
      <c r="E12" s="5">
        <v>0.71</v>
      </c>
      <c r="F12" s="5">
        <v>0.59</v>
      </c>
      <c r="G12" s="9"/>
      <c r="I12" s="5"/>
    </row>
    <row r="13" spans="1:9" ht="12.75">
      <c r="A13" s="409"/>
      <c r="B13" s="180"/>
      <c r="C13" s="182" t="s">
        <v>55</v>
      </c>
      <c r="D13" s="183">
        <v>0.54</v>
      </c>
      <c r="E13" s="183">
        <v>0.79</v>
      </c>
      <c r="F13" s="183">
        <v>0.7</v>
      </c>
      <c r="G13" s="189"/>
      <c r="I13" s="5"/>
    </row>
    <row r="14" spans="8:9" ht="12.75">
      <c r="H14" s="15"/>
      <c r="I14" s="14"/>
    </row>
    <row r="15" spans="1:8" ht="15.75">
      <c r="A15" s="217" t="s">
        <v>152</v>
      </c>
      <c r="B15" s="218"/>
      <c r="C15" s="206"/>
      <c r="D15" s="189"/>
      <c r="E15" s="189"/>
      <c r="F15" s="189"/>
      <c r="G15" s="189"/>
      <c r="H15" s="183"/>
    </row>
    <row r="16" spans="1:9" ht="12.75">
      <c r="A16" s="410" t="s">
        <v>50</v>
      </c>
      <c r="B16" s="415" t="s">
        <v>84</v>
      </c>
      <c r="C16" s="414" t="s">
        <v>17</v>
      </c>
      <c r="D16" s="415" t="s">
        <v>156</v>
      </c>
      <c r="E16" s="181" t="s">
        <v>154</v>
      </c>
      <c r="F16" s="181"/>
      <c r="G16" s="181"/>
      <c r="H16" s="181"/>
      <c r="I16" s="5"/>
    </row>
    <row r="17" spans="1:9" ht="25.5">
      <c r="A17" s="411"/>
      <c r="B17" s="416"/>
      <c r="C17" s="402"/>
      <c r="D17" s="417"/>
      <c r="E17" s="181" t="s">
        <v>153</v>
      </c>
      <c r="F17" s="181" t="s">
        <v>71</v>
      </c>
      <c r="G17" s="181" t="s">
        <v>150</v>
      </c>
      <c r="H17" s="181" t="s">
        <v>155</v>
      </c>
      <c r="I17" s="5"/>
    </row>
    <row r="18" spans="1:13" ht="15" customHeight="1">
      <c r="A18" s="405" t="s">
        <v>82</v>
      </c>
      <c r="B18" s="207">
        <v>2</v>
      </c>
      <c r="C18" s="400" t="s">
        <v>83</v>
      </c>
      <c r="D18" s="207">
        <v>0.25</v>
      </c>
      <c r="E18" s="193">
        <v>0.23</v>
      </c>
      <c r="F18" s="208" t="s">
        <v>202</v>
      </c>
      <c r="G18" s="193">
        <v>0.126</v>
      </c>
      <c r="H18" s="208" t="s">
        <v>95</v>
      </c>
      <c r="M18" s="5"/>
    </row>
    <row r="19" spans="1:19" ht="15" customHeight="1">
      <c r="A19" s="412"/>
      <c r="B19" s="59">
        <v>4</v>
      </c>
      <c r="C19" s="401"/>
      <c r="D19" s="59">
        <v>0.5</v>
      </c>
      <c r="E19" s="5">
        <v>0.158</v>
      </c>
      <c r="F19" s="208" t="s">
        <v>202</v>
      </c>
      <c r="G19" s="5">
        <v>0.078</v>
      </c>
      <c r="H19" s="203" t="s">
        <v>95</v>
      </c>
      <c r="M19" s="347"/>
      <c r="N19" s="346"/>
      <c r="O19" s="346"/>
      <c r="P19" s="346"/>
      <c r="Q19" s="346"/>
      <c r="R19" s="346"/>
      <c r="S19" s="346"/>
    </row>
    <row r="20" spans="1:19" ht="15" customHeight="1">
      <c r="A20" s="412"/>
      <c r="B20" s="59">
        <v>6</v>
      </c>
      <c r="C20" s="402"/>
      <c r="D20" s="209">
        <v>1</v>
      </c>
      <c r="E20" s="183">
        <v>0.093</v>
      </c>
      <c r="F20" s="208" t="s">
        <v>202</v>
      </c>
      <c r="G20" s="183">
        <v>0.046</v>
      </c>
      <c r="H20" s="210" t="s">
        <v>95</v>
      </c>
      <c r="M20" s="347"/>
      <c r="N20" s="346"/>
      <c r="O20" s="346"/>
      <c r="P20" s="346"/>
      <c r="Q20" s="346"/>
      <c r="R20" s="346"/>
      <c r="S20" s="346"/>
    </row>
    <row r="21" spans="1:19" ht="15" customHeight="1">
      <c r="A21" s="412"/>
      <c r="B21" s="59">
        <v>8</v>
      </c>
      <c r="C21" s="400" t="s">
        <v>190</v>
      </c>
      <c r="D21" s="207">
        <v>0.25</v>
      </c>
      <c r="E21" s="5">
        <f>ROUND(AVERAGE(E18,E24),3)</f>
        <v>0.188</v>
      </c>
      <c r="F21" s="208" t="s">
        <v>98</v>
      </c>
      <c r="G21" s="5">
        <f>ROUND(AVERAGE(G18,G24),3)</f>
        <v>0.1</v>
      </c>
      <c r="H21" s="208" t="s">
        <v>95</v>
      </c>
      <c r="M21" s="347"/>
      <c r="N21" s="346"/>
      <c r="O21" s="346"/>
      <c r="P21" s="346"/>
      <c r="Q21" s="346"/>
      <c r="R21" s="346"/>
      <c r="S21" s="346"/>
    </row>
    <row r="22" spans="1:19" ht="15" customHeight="1">
      <c r="A22" s="412"/>
      <c r="B22" s="59">
        <v>10</v>
      </c>
      <c r="C22" s="401"/>
      <c r="D22" s="59">
        <v>0.5</v>
      </c>
      <c r="E22" s="5">
        <f>ROUND(AVERAGE(E19,E25),3)</f>
        <v>0.129</v>
      </c>
      <c r="F22" s="203" t="s">
        <v>98</v>
      </c>
      <c r="G22" s="5">
        <f>ROUND(AVERAGE(G19,G25),3)</f>
        <v>0.062</v>
      </c>
      <c r="H22" s="203" t="s">
        <v>95</v>
      </c>
      <c r="M22" s="347"/>
      <c r="O22" s="346"/>
      <c r="P22" s="346"/>
      <c r="R22" s="346"/>
      <c r="S22" s="346"/>
    </row>
    <row r="23" spans="1:19" ht="15" customHeight="1">
      <c r="A23" s="412"/>
      <c r="B23" s="59">
        <v>12</v>
      </c>
      <c r="C23" s="402"/>
      <c r="D23" s="209">
        <v>1</v>
      </c>
      <c r="E23" s="5">
        <f>ROUND(AVERAGE(E20,E26),3)</f>
        <v>0.079</v>
      </c>
      <c r="F23" s="210" t="s">
        <v>98</v>
      </c>
      <c r="G23" s="5">
        <f>ROUND(AVERAGE(G20,G26),3)</f>
        <v>0.037</v>
      </c>
      <c r="H23" s="210" t="s">
        <v>95</v>
      </c>
      <c r="M23" s="347"/>
      <c r="O23" s="346"/>
      <c r="P23" s="346"/>
      <c r="R23" s="346"/>
      <c r="S23" s="346"/>
    </row>
    <row r="24" spans="1:19" ht="15" customHeight="1">
      <c r="A24" s="412"/>
      <c r="B24" s="204"/>
      <c r="C24" s="400" t="s">
        <v>189</v>
      </c>
      <c r="D24" s="207">
        <v>0.25</v>
      </c>
      <c r="E24" s="193">
        <v>0.146</v>
      </c>
      <c r="F24" s="5">
        <v>0.331</v>
      </c>
      <c r="G24" s="193">
        <v>0.074</v>
      </c>
      <c r="H24" s="193">
        <v>0.05</v>
      </c>
      <c r="M24" s="347"/>
      <c r="O24" s="346"/>
      <c r="P24" s="346"/>
      <c r="Q24" s="346"/>
      <c r="R24" s="346"/>
      <c r="S24" s="346"/>
    </row>
    <row r="25" spans="1:9" ht="15" customHeight="1">
      <c r="A25" s="412"/>
      <c r="B25" s="204"/>
      <c r="C25" s="401"/>
      <c r="D25" s="59">
        <v>0.5</v>
      </c>
      <c r="E25" s="5">
        <v>0.099</v>
      </c>
      <c r="F25" s="5">
        <v>0.205</v>
      </c>
      <c r="G25" s="5">
        <v>0.046</v>
      </c>
      <c r="H25" s="5">
        <v>0.029</v>
      </c>
      <c r="I25" s="5"/>
    </row>
    <row r="26" spans="1:9" ht="15" customHeight="1">
      <c r="A26" s="412"/>
      <c r="B26" s="204"/>
      <c r="C26" s="402"/>
      <c r="D26" s="209">
        <v>1</v>
      </c>
      <c r="E26" s="183">
        <v>0.064</v>
      </c>
      <c r="F26" s="183">
        <v>0.106</v>
      </c>
      <c r="G26" s="183">
        <v>0.028</v>
      </c>
      <c r="H26" s="183">
        <v>0.016</v>
      </c>
      <c r="I26" s="5"/>
    </row>
    <row r="27" spans="1:9" ht="15" customHeight="1">
      <c r="A27" s="412"/>
      <c r="B27" s="204"/>
      <c r="C27" s="400" t="s">
        <v>187</v>
      </c>
      <c r="D27" s="207">
        <v>0.25</v>
      </c>
      <c r="E27" s="193" t="s">
        <v>166</v>
      </c>
      <c r="F27" s="193" t="s">
        <v>166</v>
      </c>
      <c r="G27" s="193" t="s">
        <v>166</v>
      </c>
      <c r="H27" s="193" t="s">
        <v>166</v>
      </c>
      <c r="I27" s="5"/>
    </row>
    <row r="28" spans="1:9" ht="15" customHeight="1">
      <c r="A28" s="412"/>
      <c r="B28" s="204"/>
      <c r="C28" s="401"/>
      <c r="D28" s="59">
        <v>0.5</v>
      </c>
      <c r="E28" s="5">
        <f aca="true" t="shared" si="0" ref="E28:H29">ROUND(E35+((E25-E35)/(8-6)),3)</f>
        <v>0.082</v>
      </c>
      <c r="F28" s="5">
        <f t="shared" si="0"/>
        <v>0.17</v>
      </c>
      <c r="G28" s="5">
        <f t="shared" si="0"/>
        <v>0.037</v>
      </c>
      <c r="H28" s="5">
        <f t="shared" si="0"/>
        <v>0.023</v>
      </c>
      <c r="I28" s="5"/>
    </row>
    <row r="29" spans="1:9" ht="15" customHeight="1">
      <c r="A29" s="412"/>
      <c r="B29" s="204"/>
      <c r="C29" s="402"/>
      <c r="D29" s="209">
        <v>1</v>
      </c>
      <c r="E29" s="5">
        <f t="shared" si="0"/>
        <v>0.053</v>
      </c>
      <c r="F29" s="5">
        <f t="shared" si="0"/>
        <v>0.087</v>
      </c>
      <c r="G29" s="5">
        <f t="shared" si="0"/>
        <v>0.023</v>
      </c>
      <c r="H29" s="5">
        <f t="shared" si="0"/>
        <v>0.013</v>
      </c>
      <c r="I29" s="5"/>
    </row>
    <row r="30" spans="1:9" ht="15" customHeight="1">
      <c r="A30" s="412"/>
      <c r="B30" s="204"/>
      <c r="C30" s="400" t="s">
        <v>188</v>
      </c>
      <c r="D30" s="207">
        <v>0.25</v>
      </c>
      <c r="E30" s="193" t="s">
        <v>166</v>
      </c>
      <c r="F30" s="193" t="s">
        <v>166</v>
      </c>
      <c r="G30" s="193" t="s">
        <v>166</v>
      </c>
      <c r="H30" s="193" t="s">
        <v>166</v>
      </c>
      <c r="I30" s="5"/>
    </row>
    <row r="31" spans="1:9" ht="15" customHeight="1">
      <c r="A31" s="412"/>
      <c r="B31" s="204"/>
      <c r="C31" s="401"/>
      <c r="D31" s="59">
        <v>0.5</v>
      </c>
      <c r="E31" s="5">
        <f aca="true" t="shared" si="1" ref="E31:H32">ROUND(E35+((E25-E35)/(10-6)),3)</f>
        <v>0.074</v>
      </c>
      <c r="F31" s="5">
        <f t="shared" si="1"/>
        <v>0.152</v>
      </c>
      <c r="G31" s="5">
        <f t="shared" si="1"/>
        <v>0.033</v>
      </c>
      <c r="H31" s="5">
        <f t="shared" si="1"/>
        <v>0.02</v>
      </c>
      <c r="I31" s="5"/>
    </row>
    <row r="32" spans="1:9" ht="15" customHeight="1">
      <c r="A32" s="412"/>
      <c r="B32" s="204"/>
      <c r="C32" s="402"/>
      <c r="D32" s="209">
        <v>1</v>
      </c>
      <c r="E32" s="5">
        <f t="shared" si="1"/>
        <v>0.047</v>
      </c>
      <c r="F32" s="5">
        <f t="shared" si="1"/>
        <v>0.077</v>
      </c>
      <c r="G32" s="5">
        <f t="shared" si="1"/>
        <v>0.02</v>
      </c>
      <c r="H32" s="5">
        <f t="shared" si="1"/>
        <v>0.011</v>
      </c>
      <c r="I32" s="5"/>
    </row>
    <row r="33" spans="1:9" ht="15" customHeight="1">
      <c r="A33" s="412"/>
      <c r="B33" s="204"/>
      <c r="C33" s="400" t="s">
        <v>58</v>
      </c>
      <c r="D33" s="207">
        <v>0.25</v>
      </c>
      <c r="E33" s="193" t="s">
        <v>166</v>
      </c>
      <c r="F33" s="193" t="s">
        <v>166</v>
      </c>
      <c r="G33" s="193" t="s">
        <v>166</v>
      </c>
      <c r="H33" s="193" t="s">
        <v>166</v>
      </c>
      <c r="I33" s="5"/>
    </row>
    <row r="34" spans="1:9" ht="15" customHeight="1">
      <c r="A34" s="412"/>
      <c r="B34" s="204"/>
      <c r="C34" s="403"/>
      <c r="D34" s="59" t="s">
        <v>167</v>
      </c>
      <c r="E34" s="5">
        <v>0.089</v>
      </c>
      <c r="F34" s="5">
        <v>0.193</v>
      </c>
      <c r="G34" s="5">
        <v>0.046</v>
      </c>
      <c r="H34" s="5">
        <v>0.03</v>
      </c>
      <c r="I34" s="5"/>
    </row>
    <row r="35" spans="1:9" ht="15" customHeight="1">
      <c r="A35" s="412"/>
      <c r="B35" s="204"/>
      <c r="C35" s="401"/>
      <c r="D35" s="59">
        <v>0.5</v>
      </c>
      <c r="E35" s="5">
        <v>0.065</v>
      </c>
      <c r="F35" s="5">
        <v>0.134</v>
      </c>
      <c r="G35" s="5">
        <v>0.028</v>
      </c>
      <c r="H35" s="5">
        <v>0.017</v>
      </c>
      <c r="I35" s="5"/>
    </row>
    <row r="36" spans="1:9" ht="15" customHeight="1">
      <c r="A36" s="413"/>
      <c r="B36" s="216"/>
      <c r="C36" s="402"/>
      <c r="D36" s="209">
        <v>1</v>
      </c>
      <c r="E36" s="183">
        <v>0.041</v>
      </c>
      <c r="F36" s="183">
        <v>0.067</v>
      </c>
      <c r="G36" s="183">
        <v>0.017</v>
      </c>
      <c r="H36" s="183">
        <v>0.009</v>
      </c>
      <c r="I36" s="5"/>
    </row>
    <row r="37" spans="1:10" ht="19.5" customHeight="1">
      <c r="A37" s="405" t="s">
        <v>77</v>
      </c>
      <c r="B37" s="213">
        <v>6</v>
      </c>
      <c r="C37" s="400" t="s">
        <v>59</v>
      </c>
      <c r="D37" s="207">
        <v>0.25</v>
      </c>
      <c r="E37" s="193">
        <v>0.606</v>
      </c>
      <c r="F37" s="193">
        <v>1.314</v>
      </c>
      <c r="G37" s="193">
        <v>0.333</v>
      </c>
      <c r="H37" s="208" t="s">
        <v>95</v>
      </c>
      <c r="I37" s="5"/>
      <c r="J37" s="4"/>
    </row>
    <row r="38" spans="1:9" ht="19.5" customHeight="1">
      <c r="A38" s="412"/>
      <c r="B38" s="64">
        <v>8</v>
      </c>
      <c r="C38" s="401"/>
      <c r="D38" s="201">
        <v>0.5</v>
      </c>
      <c r="E38" s="5">
        <v>0.345</v>
      </c>
      <c r="F38" s="5">
        <v>0.524</v>
      </c>
      <c r="G38" s="5">
        <v>0.333</v>
      </c>
      <c r="H38" s="203" t="s">
        <v>95</v>
      </c>
      <c r="I38" s="5"/>
    </row>
    <row r="39" spans="1:9" ht="19.5" customHeight="1">
      <c r="A39" s="412"/>
      <c r="B39" s="64">
        <v>10</v>
      </c>
      <c r="C39" s="402"/>
      <c r="D39" s="209">
        <v>1</v>
      </c>
      <c r="E39" s="183">
        <v>0.333</v>
      </c>
      <c r="F39" s="183">
        <v>0.333</v>
      </c>
      <c r="G39" s="183">
        <v>0.333</v>
      </c>
      <c r="H39" s="210" t="s">
        <v>95</v>
      </c>
      <c r="I39" s="5"/>
    </row>
    <row r="40" spans="1:9" ht="19.5" customHeight="1">
      <c r="A40" s="412"/>
      <c r="B40" s="205">
        <v>12</v>
      </c>
      <c r="C40" s="400" t="s">
        <v>203</v>
      </c>
      <c r="D40" s="207">
        <v>0.25</v>
      </c>
      <c r="E40" s="193">
        <f>ROUND(E46+((E37-E46)/(8-6)),3)</f>
        <v>0.494</v>
      </c>
      <c r="F40" s="193">
        <f>ROUND(F46+((F37-F46)/(8-6)),3)</f>
        <v>1.036</v>
      </c>
      <c r="G40" s="193">
        <f>ROUND(G46+((G37-G46)/(8-6)),3)</f>
        <v>0.333</v>
      </c>
      <c r="H40" s="208" t="s">
        <v>95</v>
      </c>
      <c r="I40" s="5"/>
    </row>
    <row r="41" spans="1:9" ht="19.5" customHeight="1">
      <c r="A41" s="412"/>
      <c r="B41" s="205"/>
      <c r="C41" s="401"/>
      <c r="D41" s="201">
        <v>0.5</v>
      </c>
      <c r="E41" s="5">
        <f aca="true" t="shared" si="2" ref="E41:G42">ROUND(E47+((E38-E47)/(8-6)),3)</f>
        <v>0.339</v>
      </c>
      <c r="F41" s="5">
        <f t="shared" si="2"/>
        <v>0.456</v>
      </c>
      <c r="G41" s="5">
        <f t="shared" si="2"/>
        <v>0.333</v>
      </c>
      <c r="H41" s="203" t="s">
        <v>95</v>
      </c>
      <c r="I41" s="5"/>
    </row>
    <row r="42" spans="1:9" ht="19.5" customHeight="1">
      <c r="A42" s="412"/>
      <c r="B42" s="205"/>
      <c r="C42" s="402"/>
      <c r="D42" s="209">
        <v>1</v>
      </c>
      <c r="E42" s="183">
        <f t="shared" si="2"/>
        <v>0.333</v>
      </c>
      <c r="F42" s="183">
        <f t="shared" si="2"/>
        <v>0.333</v>
      </c>
      <c r="G42" s="183">
        <f t="shared" si="2"/>
        <v>0.333</v>
      </c>
      <c r="H42" s="210" t="s">
        <v>95</v>
      </c>
      <c r="I42" s="5"/>
    </row>
    <row r="43" spans="1:9" ht="19.5" customHeight="1">
      <c r="A43" s="412"/>
      <c r="B43" s="205"/>
      <c r="C43" s="400" t="s">
        <v>204</v>
      </c>
      <c r="D43" s="207">
        <v>0.25</v>
      </c>
      <c r="E43" s="5">
        <f>ROUND(E46+((E37-E46)/(10-6)),3)</f>
        <v>0.438</v>
      </c>
      <c r="F43" s="5">
        <f>ROUND(F46+((F37-F46)/(10-6)),3)</f>
        <v>0.897</v>
      </c>
      <c r="G43" s="5">
        <f>ROUND(G46+((G37-G46)/(10-6)),3)</f>
        <v>0.333</v>
      </c>
      <c r="H43" s="208" t="s">
        <v>95</v>
      </c>
      <c r="I43" s="5"/>
    </row>
    <row r="44" spans="1:9" ht="19.5" customHeight="1">
      <c r="A44" s="412"/>
      <c r="B44" s="205"/>
      <c r="C44" s="401"/>
      <c r="D44" s="201">
        <v>0.5</v>
      </c>
      <c r="E44" s="5">
        <f aca="true" t="shared" si="3" ref="E44:G45">ROUND(E47+((E38-E47)/(10-6)),3)</f>
        <v>0.336</v>
      </c>
      <c r="F44" s="5">
        <f t="shared" si="3"/>
        <v>0.421</v>
      </c>
      <c r="G44" s="5">
        <f t="shared" si="3"/>
        <v>0.333</v>
      </c>
      <c r="H44" s="203" t="s">
        <v>95</v>
      </c>
      <c r="I44" s="5"/>
    </row>
    <row r="45" spans="1:9" ht="19.5" customHeight="1">
      <c r="A45" s="412"/>
      <c r="B45" s="205"/>
      <c r="C45" s="402"/>
      <c r="D45" s="209">
        <v>1</v>
      </c>
      <c r="E45" s="5">
        <f t="shared" si="3"/>
        <v>0.333</v>
      </c>
      <c r="F45" s="5">
        <f t="shared" si="3"/>
        <v>0.333</v>
      </c>
      <c r="G45" s="5">
        <f t="shared" si="3"/>
        <v>0.333</v>
      </c>
      <c r="H45" s="210" t="s">
        <v>95</v>
      </c>
      <c r="I45" s="5"/>
    </row>
    <row r="46" spans="1:9" ht="19.5" customHeight="1">
      <c r="A46" s="412"/>
      <c r="B46" s="205"/>
      <c r="C46" s="400" t="s">
        <v>119</v>
      </c>
      <c r="D46" s="207">
        <v>0.25</v>
      </c>
      <c r="E46" s="193">
        <v>0.382</v>
      </c>
      <c r="F46" s="193">
        <v>0.758</v>
      </c>
      <c r="G46" s="193">
        <v>0.333</v>
      </c>
      <c r="H46" s="208" t="s">
        <v>95</v>
      </c>
      <c r="I46" s="5"/>
    </row>
    <row r="47" spans="1:9" ht="19.5" customHeight="1">
      <c r="A47" s="412"/>
      <c r="B47" s="205"/>
      <c r="C47" s="401"/>
      <c r="D47" s="201">
        <v>0.5</v>
      </c>
      <c r="E47" s="5">
        <v>0.333</v>
      </c>
      <c r="F47" s="5">
        <v>0.387</v>
      </c>
      <c r="G47" s="5">
        <v>0.333</v>
      </c>
      <c r="H47" s="203" t="s">
        <v>95</v>
      </c>
      <c r="I47" s="5"/>
    </row>
    <row r="48" spans="1:9" ht="19.5" customHeight="1">
      <c r="A48" s="413"/>
      <c r="B48" s="215"/>
      <c r="C48" s="402"/>
      <c r="D48" s="209">
        <v>1</v>
      </c>
      <c r="E48" s="183">
        <v>0.333</v>
      </c>
      <c r="F48" s="183">
        <v>0.333</v>
      </c>
      <c r="G48" s="183">
        <v>0.333</v>
      </c>
      <c r="H48" s="210" t="s">
        <v>95</v>
      </c>
      <c r="I48" s="5"/>
    </row>
    <row r="49" spans="1:8" ht="25.5" customHeight="1">
      <c r="A49" s="400" t="s">
        <v>45</v>
      </c>
      <c r="B49" s="213">
        <v>6</v>
      </c>
      <c r="C49" s="179" t="s">
        <v>57</v>
      </c>
      <c r="D49" s="59" t="s">
        <v>18</v>
      </c>
      <c r="E49" s="69" t="s">
        <v>107</v>
      </c>
      <c r="F49" s="69" t="s">
        <v>96</v>
      </c>
      <c r="G49" s="69" t="s">
        <v>205</v>
      </c>
      <c r="H49" s="5">
        <v>0.026</v>
      </c>
    </row>
    <row r="50" spans="1:8" ht="27" customHeight="1">
      <c r="A50" s="404"/>
      <c r="B50" s="214">
        <v>12</v>
      </c>
      <c r="C50" s="195" t="s">
        <v>58</v>
      </c>
      <c r="D50" s="211" t="s">
        <v>18</v>
      </c>
      <c r="E50" s="212" t="s">
        <v>107</v>
      </c>
      <c r="F50" s="212">
        <v>0.065</v>
      </c>
      <c r="G50" s="196">
        <v>0.06</v>
      </c>
      <c r="H50" s="196">
        <v>0.02</v>
      </c>
    </row>
    <row r="51" spans="1:8" ht="15" customHeight="1">
      <c r="A51" s="407" t="s">
        <v>11</v>
      </c>
      <c r="B51" s="207">
        <v>1.5</v>
      </c>
      <c r="C51" s="400" t="s">
        <v>60</v>
      </c>
      <c r="D51" s="207">
        <v>0.25</v>
      </c>
      <c r="E51" s="193">
        <v>0.273</v>
      </c>
      <c r="F51" s="193">
        <v>0.551</v>
      </c>
      <c r="G51" s="193" t="s">
        <v>18</v>
      </c>
      <c r="H51" s="193">
        <v>0.127</v>
      </c>
    </row>
    <row r="52" spans="1:8" ht="15" customHeight="1">
      <c r="A52" s="422"/>
      <c r="B52" s="176">
        <v>3</v>
      </c>
      <c r="C52" s="401"/>
      <c r="D52" s="59">
        <v>0.5</v>
      </c>
      <c r="E52" s="5">
        <v>0.168</v>
      </c>
      <c r="F52" s="5">
        <v>0.3</v>
      </c>
      <c r="G52" s="5" t="s">
        <v>18</v>
      </c>
      <c r="H52" s="5">
        <v>0.0828</v>
      </c>
    </row>
    <row r="53" spans="1:8" ht="15" customHeight="1">
      <c r="A53" s="422"/>
      <c r="B53" s="176"/>
      <c r="C53" s="402"/>
      <c r="D53" s="209">
        <v>1</v>
      </c>
      <c r="E53" s="183">
        <v>0.107</v>
      </c>
      <c r="F53" s="183">
        <v>0.174</v>
      </c>
      <c r="G53" s="183" t="s">
        <v>18</v>
      </c>
      <c r="H53" s="183">
        <v>0.0525</v>
      </c>
    </row>
    <row r="54" spans="1:8" ht="15" customHeight="1">
      <c r="A54" s="422"/>
      <c r="B54" s="176"/>
      <c r="C54" s="400" t="s">
        <v>61</v>
      </c>
      <c r="D54" s="207">
        <v>0.25</v>
      </c>
      <c r="E54" s="193">
        <v>0.17</v>
      </c>
      <c r="F54" s="193">
        <v>0.319</v>
      </c>
      <c r="G54" s="193" t="s">
        <v>18</v>
      </c>
      <c r="H54" s="193">
        <v>0.086</v>
      </c>
    </row>
    <row r="55" spans="1:8" ht="15" customHeight="1">
      <c r="A55" s="422"/>
      <c r="B55" s="176"/>
      <c r="C55" s="401"/>
      <c r="D55" s="59">
        <v>0.5</v>
      </c>
      <c r="E55" s="5">
        <v>0.12</v>
      </c>
      <c r="F55" s="5">
        <v>0.201</v>
      </c>
      <c r="G55" s="5" t="s">
        <v>18</v>
      </c>
      <c r="H55" s="5">
        <v>0.059</v>
      </c>
    </row>
    <row r="56" spans="1:8" ht="15" customHeight="1">
      <c r="A56" s="411"/>
      <c r="B56" s="180"/>
      <c r="C56" s="402"/>
      <c r="D56" s="209">
        <v>1</v>
      </c>
      <c r="E56" s="183">
        <v>0.078</v>
      </c>
      <c r="F56" s="183">
        <v>0.131</v>
      </c>
      <c r="G56" s="183" t="s">
        <v>18</v>
      </c>
      <c r="H56" s="183">
        <v>0.04</v>
      </c>
    </row>
    <row r="57" spans="1:8" ht="15" customHeight="1">
      <c r="A57" s="407" t="s">
        <v>19</v>
      </c>
      <c r="B57" s="207">
        <v>4</v>
      </c>
      <c r="C57" s="400" t="s">
        <v>62</v>
      </c>
      <c r="D57" s="207">
        <v>0.25</v>
      </c>
      <c r="E57" s="193">
        <v>0.136</v>
      </c>
      <c r="F57" s="193">
        <v>0.249</v>
      </c>
      <c r="G57" s="193" t="s">
        <v>18</v>
      </c>
      <c r="H57" s="193">
        <v>0.075</v>
      </c>
    </row>
    <row r="58" spans="1:8" ht="15" customHeight="1">
      <c r="A58" s="422"/>
      <c r="B58" s="176">
        <v>6</v>
      </c>
      <c r="C58" s="401"/>
      <c r="D58" s="59">
        <v>0.5</v>
      </c>
      <c r="E58" s="5">
        <v>0.101</v>
      </c>
      <c r="F58" s="5">
        <v>0.176</v>
      </c>
      <c r="G58" s="5" t="s">
        <v>18</v>
      </c>
      <c r="H58" s="5">
        <v>0.051</v>
      </c>
    </row>
    <row r="59" spans="1:8" ht="15" customHeight="1">
      <c r="A59" s="422"/>
      <c r="B59" s="176"/>
      <c r="C59" s="402"/>
      <c r="D59" s="209">
        <v>1</v>
      </c>
      <c r="E59" s="183">
        <v>0.067</v>
      </c>
      <c r="F59" s="183">
        <v>0.111</v>
      </c>
      <c r="G59" s="183" t="s">
        <v>18</v>
      </c>
      <c r="H59" s="183">
        <v>0.035</v>
      </c>
    </row>
    <row r="60" spans="1:8" ht="15" customHeight="1">
      <c r="A60" s="422"/>
      <c r="B60" s="176"/>
      <c r="C60" s="400" t="s">
        <v>63</v>
      </c>
      <c r="D60" s="207">
        <v>0.25</v>
      </c>
      <c r="E60" s="193">
        <v>0.097</v>
      </c>
      <c r="F60" s="193">
        <v>0.175</v>
      </c>
      <c r="G60" s="193" t="s">
        <v>18</v>
      </c>
      <c r="H60" s="193">
        <v>0.061</v>
      </c>
    </row>
    <row r="61" spans="1:8" ht="15" customHeight="1">
      <c r="A61" s="422"/>
      <c r="B61" s="176"/>
      <c r="C61" s="401"/>
      <c r="D61" s="59">
        <v>0.5</v>
      </c>
      <c r="E61" s="5">
        <v>0.079</v>
      </c>
      <c r="F61" s="5">
        <v>0.132</v>
      </c>
      <c r="G61" s="5" t="s">
        <v>18</v>
      </c>
      <c r="H61" s="5">
        <v>0.042</v>
      </c>
    </row>
    <row r="62" spans="1:8" ht="15" customHeight="1">
      <c r="A62" s="411"/>
      <c r="B62" s="180"/>
      <c r="C62" s="402"/>
      <c r="D62" s="209">
        <v>1</v>
      </c>
      <c r="E62" s="183">
        <v>0.057</v>
      </c>
      <c r="F62" s="183">
        <v>0.089</v>
      </c>
      <c r="G62" s="183" t="s">
        <v>18</v>
      </c>
      <c r="H62" s="183">
        <v>0.028</v>
      </c>
    </row>
    <row r="63" spans="1:8" ht="15" customHeight="1">
      <c r="A63" s="14"/>
      <c r="B63" s="176"/>
      <c r="C63" s="200"/>
      <c r="D63" s="201"/>
      <c r="E63" s="5"/>
      <c r="F63" s="5"/>
      <c r="G63" s="5"/>
      <c r="H63" s="5"/>
    </row>
    <row r="64" spans="1:10" ht="15.75">
      <c r="A64" s="217" t="s">
        <v>157</v>
      </c>
      <c r="B64" s="180"/>
      <c r="C64" s="206"/>
      <c r="D64" s="209"/>
      <c r="E64" s="183"/>
      <c r="F64" s="183"/>
      <c r="G64" s="5"/>
      <c r="H64" s="5"/>
      <c r="I64" s="9"/>
      <c r="J64" s="9"/>
    </row>
    <row r="65" spans="1:10" ht="31.5" customHeight="1">
      <c r="A65" s="410" t="s">
        <v>50</v>
      </c>
      <c r="B65" s="219"/>
      <c r="C65" s="414" t="s">
        <v>17</v>
      </c>
      <c r="D65" s="415" t="s">
        <v>120</v>
      </c>
      <c r="E65" s="181" t="s">
        <v>125</v>
      </c>
      <c r="F65" s="181"/>
      <c r="G65" s="192" t="s">
        <v>92</v>
      </c>
      <c r="H65" s="192"/>
      <c r="I65" s="192"/>
      <c r="J65" s="376"/>
    </row>
    <row r="66" spans="1:10" ht="27" customHeight="1">
      <c r="A66" s="422"/>
      <c r="B66" s="202" t="s">
        <v>84</v>
      </c>
      <c r="C66" s="401"/>
      <c r="D66" s="418"/>
      <c r="E66" s="10" t="s">
        <v>70</v>
      </c>
      <c r="F66" s="10" t="s">
        <v>71</v>
      </c>
      <c r="G66" s="10" t="s">
        <v>70</v>
      </c>
      <c r="H66" s="16"/>
      <c r="I66" s="10" t="s">
        <v>71</v>
      </c>
      <c r="J66" s="16"/>
    </row>
    <row r="67" spans="1:10" ht="18" customHeight="1">
      <c r="A67" s="419" t="s">
        <v>85</v>
      </c>
      <c r="B67" s="213">
        <v>12</v>
      </c>
      <c r="C67" s="400" t="s">
        <v>58</v>
      </c>
      <c r="D67" s="207">
        <v>0.25</v>
      </c>
      <c r="E67" s="207" t="s">
        <v>18</v>
      </c>
      <c r="F67" s="207" t="s">
        <v>18</v>
      </c>
      <c r="G67" s="226" t="s">
        <v>18</v>
      </c>
      <c r="H67" s="226" t="s">
        <v>97</v>
      </c>
      <c r="I67" s="227">
        <v>199</v>
      </c>
      <c r="J67" s="228">
        <v>0.0382</v>
      </c>
    </row>
    <row r="68" spans="1:10" ht="18" customHeight="1">
      <c r="A68" s="420"/>
      <c r="B68" s="64"/>
      <c r="C68" s="403"/>
      <c r="D68" s="59">
        <v>0.5</v>
      </c>
      <c r="E68" s="59" t="s">
        <v>18</v>
      </c>
      <c r="F68" s="59" t="s">
        <v>18</v>
      </c>
      <c r="G68" s="69" t="s">
        <v>18</v>
      </c>
      <c r="H68" s="69" t="s">
        <v>97</v>
      </c>
      <c r="I68" s="71">
        <v>129</v>
      </c>
      <c r="J68" s="70">
        <v>0.0297</v>
      </c>
    </row>
    <row r="69" spans="1:12" ht="18" customHeight="1">
      <c r="A69" s="421"/>
      <c r="B69" s="214"/>
      <c r="C69" s="423"/>
      <c r="D69" s="209">
        <v>1</v>
      </c>
      <c r="E69" s="209" t="s">
        <v>18</v>
      </c>
      <c r="F69" s="209" t="s">
        <v>18</v>
      </c>
      <c r="G69" s="223" t="s">
        <v>18</v>
      </c>
      <c r="H69" s="223" t="s">
        <v>97</v>
      </c>
      <c r="I69" s="224">
        <v>97</v>
      </c>
      <c r="J69" s="225">
        <v>0.0208</v>
      </c>
      <c r="K69" s="9"/>
      <c r="L69" s="9"/>
    </row>
    <row r="70" spans="1:12" ht="18" customHeight="1">
      <c r="A70" s="407" t="s">
        <v>21</v>
      </c>
      <c r="B70" s="207">
        <v>24</v>
      </c>
      <c r="C70" s="400" t="s">
        <v>64</v>
      </c>
      <c r="D70" s="213" t="s">
        <v>121</v>
      </c>
      <c r="E70" s="229">
        <v>380</v>
      </c>
      <c r="F70" s="230">
        <v>298</v>
      </c>
      <c r="G70" s="231">
        <v>2.63E-05</v>
      </c>
      <c r="H70" s="232">
        <v>1.94</v>
      </c>
      <c r="I70" s="233">
        <v>5.08E-06</v>
      </c>
      <c r="J70" s="234">
        <v>2.1</v>
      </c>
      <c r="K70" s="60"/>
      <c r="L70" s="9"/>
    </row>
    <row r="71" spans="1:12" ht="18" customHeight="1">
      <c r="A71" s="408"/>
      <c r="B71" s="59">
        <v>36</v>
      </c>
      <c r="C71" s="424"/>
      <c r="D71" s="235" t="s">
        <v>122</v>
      </c>
      <c r="E71" s="235">
        <v>379</v>
      </c>
      <c r="F71" s="236">
        <v>301</v>
      </c>
      <c r="G71" s="224">
        <v>-235</v>
      </c>
      <c r="H71" s="247">
        <v>0.12</v>
      </c>
      <c r="I71" s="224">
        <v>-314</v>
      </c>
      <c r="J71" s="247">
        <v>0.123</v>
      </c>
      <c r="K71" s="9"/>
      <c r="L71" s="9"/>
    </row>
    <row r="72" spans="1:12" ht="18" customHeight="1">
      <c r="A72" s="425"/>
      <c r="B72" s="59"/>
      <c r="C72" s="403" t="s">
        <v>65</v>
      </c>
      <c r="D72" s="64" t="s">
        <v>121</v>
      </c>
      <c r="E72" s="220">
        <v>157</v>
      </c>
      <c r="F72" s="221">
        <f>ROUND(I72*POWER(5000,J72),0)</f>
        <v>106</v>
      </c>
      <c r="G72" s="61">
        <v>2.19E-07</v>
      </c>
      <c r="H72" s="222">
        <v>2.4</v>
      </c>
      <c r="I72" s="63">
        <v>2.77E-06</v>
      </c>
      <c r="J72" s="71">
        <v>2.05</v>
      </c>
      <c r="K72" s="9"/>
      <c r="L72" s="9"/>
    </row>
    <row r="73" spans="1:12" ht="18" customHeight="1">
      <c r="A73" s="426"/>
      <c r="B73" s="235"/>
      <c r="C73" s="404"/>
      <c r="D73" s="235" t="s">
        <v>122</v>
      </c>
      <c r="E73" s="235">
        <v>156</v>
      </c>
      <c r="F73" s="236">
        <f>ROUND(J73*5000+I73,0)</f>
        <v>106</v>
      </c>
      <c r="G73" s="224">
        <v>-110</v>
      </c>
      <c r="H73" s="237">
        <v>0.0515</v>
      </c>
      <c r="I73" s="224">
        <v>-167</v>
      </c>
      <c r="J73" s="237">
        <v>0.0546</v>
      </c>
      <c r="K73" s="64"/>
      <c r="L73" s="9"/>
    </row>
    <row r="74" spans="1:13" ht="18" customHeight="1">
      <c r="A74" s="407" t="s">
        <v>20</v>
      </c>
      <c r="B74" s="207">
        <v>3</v>
      </c>
      <c r="C74" s="400" t="s">
        <v>61</v>
      </c>
      <c r="D74" s="213" t="s">
        <v>121</v>
      </c>
      <c r="E74" s="229">
        <v>353</v>
      </c>
      <c r="F74" s="230">
        <v>218</v>
      </c>
      <c r="G74" s="238">
        <v>4.28E-05</v>
      </c>
      <c r="H74" s="239">
        <v>1.87</v>
      </c>
      <c r="I74" s="231">
        <v>6.16E-05</v>
      </c>
      <c r="J74" s="234">
        <v>1.77</v>
      </c>
      <c r="K74" s="64"/>
      <c r="L74" s="9"/>
      <c r="M74" s="9"/>
    </row>
    <row r="75" spans="1:13" ht="18" customHeight="1">
      <c r="A75" s="425"/>
      <c r="B75" s="59">
        <v>4</v>
      </c>
      <c r="C75" s="424"/>
      <c r="D75" s="235" t="s">
        <v>122</v>
      </c>
      <c r="E75" s="235">
        <v>352</v>
      </c>
      <c r="F75" s="236">
        <v>220</v>
      </c>
      <c r="G75" s="235">
        <v>-255</v>
      </c>
      <c r="H75" s="245">
        <v>0.121</v>
      </c>
      <c r="I75" s="224">
        <v>-130</v>
      </c>
      <c r="J75" s="237">
        <v>0.07</v>
      </c>
      <c r="K75" s="60"/>
      <c r="L75" s="9"/>
      <c r="M75" s="9"/>
    </row>
    <row r="76" spans="1:11" ht="18" customHeight="1">
      <c r="A76" s="425"/>
      <c r="B76" s="59"/>
      <c r="C76" s="403" t="s">
        <v>62</v>
      </c>
      <c r="D76" s="64" t="s">
        <v>121</v>
      </c>
      <c r="E76" s="59" t="s">
        <v>18</v>
      </c>
      <c r="F76" s="221">
        <f>ROUND(I76*POWER(5000,J76),0)</f>
        <v>155</v>
      </c>
      <c r="G76" s="69" t="s">
        <v>18</v>
      </c>
      <c r="H76" s="69" t="s">
        <v>97</v>
      </c>
      <c r="I76" s="63">
        <v>4.41E-06</v>
      </c>
      <c r="J76" s="71">
        <v>2.04</v>
      </c>
      <c r="K76" s="9"/>
    </row>
    <row r="77" spans="1:11" ht="18" customHeight="1">
      <c r="A77" s="426"/>
      <c r="B77" s="235"/>
      <c r="C77" s="404"/>
      <c r="D77" s="235" t="s">
        <v>122</v>
      </c>
      <c r="E77" s="209" t="s">
        <v>18</v>
      </c>
      <c r="F77" s="236">
        <f>ROUND(J77*5000+I77,0)</f>
        <v>156</v>
      </c>
      <c r="G77" s="223" t="s">
        <v>18</v>
      </c>
      <c r="H77" s="223" t="s">
        <v>97</v>
      </c>
      <c r="I77" s="224">
        <v>-98</v>
      </c>
      <c r="J77" s="237">
        <v>0.0508</v>
      </c>
      <c r="K77" s="9"/>
    </row>
    <row r="78" spans="1:11" ht="18" customHeight="1">
      <c r="A78" s="407" t="s">
        <v>86</v>
      </c>
      <c r="B78" s="207">
        <v>3</v>
      </c>
      <c r="C78" s="427" t="s">
        <v>61</v>
      </c>
      <c r="D78" s="213" t="s">
        <v>129</v>
      </c>
      <c r="E78" s="213" t="s">
        <v>127</v>
      </c>
      <c r="F78" s="240" t="s">
        <v>18</v>
      </c>
      <c r="G78" s="240">
        <v>0.00599</v>
      </c>
      <c r="H78" s="241">
        <v>1.347</v>
      </c>
      <c r="I78" s="242">
        <v>0.000531</v>
      </c>
      <c r="J78" s="232">
        <v>1.59</v>
      </c>
      <c r="K78" s="9"/>
    </row>
    <row r="79" spans="1:10" ht="18" customHeight="1">
      <c r="A79" s="408"/>
      <c r="B79" s="59">
        <v>4</v>
      </c>
      <c r="C79" s="428"/>
      <c r="D79" s="64" t="s">
        <v>130</v>
      </c>
      <c r="E79" s="64" t="s">
        <v>128</v>
      </c>
      <c r="F79" s="59"/>
      <c r="G79" s="59">
        <v>-289</v>
      </c>
      <c r="H79" s="66">
        <v>0.131</v>
      </c>
      <c r="I79" s="72"/>
      <c r="J79" s="75"/>
    </row>
    <row r="80" spans="1:10" ht="18" customHeight="1">
      <c r="A80" s="408"/>
      <c r="B80" s="59"/>
      <c r="C80" s="429"/>
      <c r="D80" s="214" t="s">
        <v>131</v>
      </c>
      <c r="E80" s="214">
        <f>760</f>
        <v>760</v>
      </c>
      <c r="F80" s="235"/>
      <c r="G80" s="245">
        <v>0</v>
      </c>
      <c r="H80" s="235">
        <v>8000</v>
      </c>
      <c r="I80" s="246"/>
      <c r="J80" s="236"/>
    </row>
    <row r="81" spans="1:10" ht="18" customHeight="1">
      <c r="A81" s="409"/>
      <c r="B81" s="235"/>
      <c r="C81" s="243" t="s">
        <v>62</v>
      </c>
      <c r="D81" s="214" t="s">
        <v>18</v>
      </c>
      <c r="E81" s="214" t="s">
        <v>18</v>
      </c>
      <c r="F81" s="223" t="s">
        <v>18</v>
      </c>
      <c r="G81" s="223" t="s">
        <v>18</v>
      </c>
      <c r="H81" s="223" t="s">
        <v>97</v>
      </c>
      <c r="I81" s="244">
        <v>0.000417</v>
      </c>
      <c r="J81" s="236">
        <v>1.58</v>
      </c>
    </row>
    <row r="82" ht="12.75">
      <c r="C82" s="2"/>
    </row>
    <row r="83" spans="1:3" ht="12.75">
      <c r="A83" s="266" t="s">
        <v>104</v>
      </c>
      <c r="B83" s="11" t="s">
        <v>50</v>
      </c>
      <c r="C83" s="6"/>
    </row>
    <row r="84" spans="1:11" ht="14.25" customHeight="1">
      <c r="A84" s="266">
        <v>6140</v>
      </c>
      <c r="B84" s="53">
        <f>H78*POWER(A84,G78)</f>
        <v>1.4192494162429585</v>
      </c>
      <c r="C84" s="6"/>
      <c r="D84" s="9"/>
      <c r="E84" s="9"/>
      <c r="F84" s="73"/>
      <c r="G84" s="74"/>
      <c r="H84" s="73"/>
      <c r="I84" s="73"/>
      <c r="J84" s="9"/>
      <c r="K84" s="9"/>
    </row>
    <row r="85" spans="1:11" ht="12.75">
      <c r="A85" s="266">
        <v>8000</v>
      </c>
      <c r="B85" s="53">
        <f>G79*A84+H79</f>
        <v>-1774459.869</v>
      </c>
      <c r="C85" s="2"/>
      <c r="D85" s="64"/>
      <c r="E85" s="64"/>
      <c r="F85" s="75"/>
      <c r="G85" s="65"/>
      <c r="H85" s="72"/>
      <c r="I85" s="72"/>
      <c r="J85" s="59"/>
      <c r="K85" s="9"/>
    </row>
    <row r="86" spans="1:11" ht="12.75">
      <c r="A86" s="266">
        <v>8000</v>
      </c>
      <c r="B86" s="53">
        <f>G80*A85+H80</f>
        <v>8000</v>
      </c>
      <c r="C86" s="2"/>
      <c r="D86" s="64"/>
      <c r="E86" s="64"/>
      <c r="F86" s="75"/>
      <c r="G86" s="66"/>
      <c r="H86" s="75"/>
      <c r="I86" s="72"/>
      <c r="J86" s="59"/>
      <c r="K86" s="9"/>
    </row>
    <row r="87" spans="1:11" ht="13.5">
      <c r="A87" s="7"/>
      <c r="B87" s="12"/>
      <c r="C87" s="6"/>
      <c r="D87" s="9"/>
      <c r="E87" s="9"/>
      <c r="F87" s="73"/>
      <c r="G87" s="66"/>
      <c r="H87" s="75"/>
      <c r="I87" s="73"/>
      <c r="J87" s="9"/>
      <c r="K87" s="9"/>
    </row>
    <row r="88" spans="1:9" ht="13.5">
      <c r="A88" s="7"/>
      <c r="B88" s="12"/>
      <c r="F88" s="73"/>
      <c r="G88" s="73"/>
      <c r="H88" s="73"/>
      <c r="I88" s="73"/>
    </row>
    <row r="89" spans="1:8" ht="14.25" customHeight="1">
      <c r="A89" s="2" t="s">
        <v>70</v>
      </c>
      <c r="B89" s="12"/>
      <c r="E89" s="9"/>
      <c r="F89" s="9"/>
      <c r="G89" s="9"/>
      <c r="H89" s="9"/>
    </row>
    <row r="90" spans="1:8" ht="12.75">
      <c r="A90" s="2" t="s">
        <v>71</v>
      </c>
      <c r="E90" s="69"/>
      <c r="F90" s="69"/>
      <c r="G90" s="70"/>
      <c r="H90" s="64"/>
    </row>
    <row r="91" spans="1:8" ht="12.75">
      <c r="A91" s="2" t="s">
        <v>105</v>
      </c>
      <c r="E91" s="69"/>
      <c r="F91" s="69"/>
      <c r="G91" s="70"/>
      <c r="H91" s="64"/>
    </row>
    <row r="92" spans="5:9" ht="12.75">
      <c r="E92" s="69"/>
      <c r="F92" s="69"/>
      <c r="G92" s="70"/>
      <c r="H92" s="70"/>
      <c r="I92" s="71"/>
    </row>
    <row r="93" spans="5:9" ht="12.75">
      <c r="E93" s="65"/>
      <c r="F93" s="64"/>
      <c r="G93" s="65"/>
      <c r="H93" s="70"/>
      <c r="I93" s="71"/>
    </row>
    <row r="94" spans="1:9" ht="12.75">
      <c r="A94" s="2" t="s">
        <v>113</v>
      </c>
      <c r="E94" s="58"/>
      <c r="F94" s="59"/>
      <c r="G94" s="58"/>
      <c r="H94" s="70"/>
      <c r="I94" s="71"/>
    </row>
    <row r="95" spans="1:8" ht="12.75">
      <c r="A95" s="2" t="s">
        <v>114</v>
      </c>
      <c r="E95" s="67"/>
      <c r="F95" s="64"/>
      <c r="G95" s="67"/>
      <c r="H95" s="64"/>
    </row>
    <row r="96" spans="5:8" ht="12.75">
      <c r="E96" s="61"/>
      <c r="F96" s="62"/>
      <c r="G96" s="63"/>
      <c r="H96" s="64"/>
    </row>
    <row r="97" spans="5:8" ht="12.75">
      <c r="E97" s="66"/>
      <c r="F97" s="59"/>
      <c r="G97" s="67"/>
      <c r="H97" s="64"/>
    </row>
    <row r="98" spans="1:8" ht="12.75">
      <c r="A98" s="2" t="s">
        <v>138</v>
      </c>
      <c r="E98" s="61"/>
      <c r="F98" s="62"/>
      <c r="G98" s="58"/>
      <c r="H98" s="60"/>
    </row>
    <row r="99" spans="1:8" ht="12.75">
      <c r="A99" s="2" t="s">
        <v>140</v>
      </c>
      <c r="E99" s="69"/>
      <c r="F99" s="69"/>
      <c r="G99" s="67"/>
      <c r="H99" s="68"/>
    </row>
    <row r="100" spans="1:8" ht="12.75">
      <c r="A100" s="2" t="s">
        <v>141</v>
      </c>
      <c r="E100" s="69"/>
      <c r="F100" s="69"/>
      <c r="G100" s="67"/>
      <c r="H100" s="68"/>
    </row>
    <row r="101" spans="1:8" ht="12.75">
      <c r="A101" s="2" t="s">
        <v>136</v>
      </c>
      <c r="E101" s="69"/>
      <c r="F101" s="69"/>
      <c r="G101" s="63"/>
      <c r="H101" s="64"/>
    </row>
    <row r="102" spans="1:8" ht="12.75">
      <c r="A102" s="2" t="s">
        <v>137</v>
      </c>
      <c r="E102" s="9"/>
      <c r="F102" s="9"/>
      <c r="G102" s="9"/>
      <c r="H102" s="9"/>
    </row>
    <row r="104" ht="12.75">
      <c r="A104" s="2" t="s">
        <v>210</v>
      </c>
    </row>
    <row r="105" ht="12.75">
      <c r="A105" s="2" t="s">
        <v>211</v>
      </c>
    </row>
  </sheetData>
  <sheetProtection password="C6E4" sheet="1" objects="1" scenarios="1"/>
  <mergeCells count="40">
    <mergeCell ref="A78:A81"/>
    <mergeCell ref="C74:C75"/>
    <mergeCell ref="C76:C77"/>
    <mergeCell ref="A70:A73"/>
    <mergeCell ref="A74:A77"/>
    <mergeCell ref="C78:C80"/>
    <mergeCell ref="C70:C71"/>
    <mergeCell ref="C72:C73"/>
    <mergeCell ref="D65:D66"/>
    <mergeCell ref="A67:A69"/>
    <mergeCell ref="A51:A56"/>
    <mergeCell ref="C67:C69"/>
    <mergeCell ref="A57:A62"/>
    <mergeCell ref="A65:A66"/>
    <mergeCell ref="C65:C66"/>
    <mergeCell ref="C51:C53"/>
    <mergeCell ref="C54:C56"/>
    <mergeCell ref="C57:C59"/>
    <mergeCell ref="C16:C17"/>
    <mergeCell ref="B16:B17"/>
    <mergeCell ref="A4:A5"/>
    <mergeCell ref="A6:A7"/>
    <mergeCell ref="D16:D17"/>
    <mergeCell ref="C18:C20"/>
    <mergeCell ref="A49:A50"/>
    <mergeCell ref="A9:A10"/>
    <mergeCell ref="A11:A13"/>
    <mergeCell ref="A16:A17"/>
    <mergeCell ref="A37:A48"/>
    <mergeCell ref="A18:A36"/>
    <mergeCell ref="C60:C62"/>
    <mergeCell ref="C21:C23"/>
    <mergeCell ref="C27:C29"/>
    <mergeCell ref="C30:C32"/>
    <mergeCell ref="C40:C42"/>
    <mergeCell ref="C37:C39"/>
    <mergeCell ref="C33:C36"/>
    <mergeCell ref="C24:C26"/>
    <mergeCell ref="C43:C45"/>
    <mergeCell ref="C46:C48"/>
  </mergeCells>
  <printOptions horizontalCentered="1"/>
  <pageMargins left="0.8" right="0.8" top="1" bottom="1" header="0.5" footer="0.5"/>
  <pageSetup fitToHeight="2" fitToWidth="1" horizontalDpi="600" verticalDpi="600" orientation="landscape" scale="56" r:id="rId3"/>
  <rowBreaks count="1" manualBreakCount="1"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PageLayoutView="0" workbookViewId="0" topLeftCell="A1">
      <pane ySplit="13" topLeftCell="A14" activePane="bottomLeft" state="frozen"/>
      <selection pane="topLeft" activeCell="C32" sqref="C32"/>
      <selection pane="bottomLeft" activeCell="H21" sqref="H21"/>
    </sheetView>
  </sheetViews>
  <sheetFormatPr defaultColWidth="9.140625" defaultRowHeight="12.75"/>
  <cols>
    <col min="1" max="1" width="3.7109375" style="17" customWidth="1"/>
    <col min="2" max="2" width="16.7109375" style="17" customWidth="1"/>
    <col min="3" max="4" width="9.7109375" style="17" customWidth="1"/>
    <col min="5" max="5" width="2.8515625" style="17" customWidth="1"/>
    <col min="6" max="6" width="20.421875" style="17" customWidth="1"/>
    <col min="7" max="7" width="1.57421875" style="17" bestFit="1" customWidth="1"/>
    <col min="8" max="8" width="9.7109375" style="17" customWidth="1"/>
    <col min="9" max="9" width="4.00390625" style="17" bestFit="1" customWidth="1"/>
    <col min="10" max="10" width="3.7109375" style="18" customWidth="1"/>
    <col min="11" max="11" width="8.28125" style="18" customWidth="1"/>
    <col min="12" max="12" width="2.28125" style="18" bestFit="1" customWidth="1"/>
    <col min="13" max="13" width="3.7109375" style="18" customWidth="1"/>
    <col min="14" max="14" width="14.140625" style="17" customWidth="1"/>
    <col min="15" max="15" width="3.421875" style="17" customWidth="1"/>
    <col min="16" max="16" width="3.140625" style="13" customWidth="1"/>
    <col min="17" max="17" width="12.7109375" style="17" customWidth="1"/>
    <col min="18" max="18" width="3.7109375" style="17" customWidth="1"/>
    <col min="19" max="16384" width="9.140625" style="17" customWidth="1"/>
  </cols>
  <sheetData>
    <row r="1" spans="1:18" ht="15.75" thickBot="1">
      <c r="A1" s="90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7"/>
    </row>
    <row r="2" spans="1:18" ht="6" customHeight="1" thickBot="1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8"/>
    </row>
    <row r="3" spans="1:18" ht="13.5" thickBot="1">
      <c r="A3" s="433" t="s">
        <v>139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393"/>
      <c r="M3" s="393"/>
      <c r="N3" s="430"/>
      <c r="O3" s="431"/>
      <c r="P3" s="431"/>
      <c r="Q3" s="432"/>
      <c r="R3" s="388"/>
    </row>
    <row r="4" spans="1:20" ht="6" customHeight="1" thickBot="1">
      <c r="A4" s="45"/>
      <c r="B4" s="21"/>
      <c r="C4" s="21"/>
      <c r="D4" s="21"/>
      <c r="E4" s="21"/>
      <c r="F4" s="21"/>
      <c r="G4" s="21"/>
      <c r="H4" s="21"/>
      <c r="I4" s="21"/>
      <c r="J4" s="38"/>
      <c r="K4" s="38"/>
      <c r="L4" s="38"/>
      <c r="M4" s="38"/>
      <c r="N4" s="21"/>
      <c r="O4" s="21"/>
      <c r="P4" s="21"/>
      <c r="Q4" s="21"/>
      <c r="R4" s="39"/>
      <c r="T4" s="383"/>
    </row>
    <row r="5" spans="1:20" ht="13.5" thickBot="1">
      <c r="A5" s="433" t="s">
        <v>106</v>
      </c>
      <c r="B5" s="443"/>
      <c r="C5" s="443"/>
      <c r="D5" s="443"/>
      <c r="E5" s="443"/>
      <c r="F5" s="443"/>
      <c r="G5" s="443"/>
      <c r="H5" s="443"/>
      <c r="I5" s="42"/>
      <c r="J5" s="430"/>
      <c r="K5" s="441"/>
      <c r="L5" s="441"/>
      <c r="M5" s="441"/>
      <c r="N5" s="441"/>
      <c r="O5" s="441"/>
      <c r="P5" s="441"/>
      <c r="Q5" s="442"/>
      <c r="R5" s="39"/>
      <c r="T5" s="389"/>
    </row>
    <row r="6" spans="1:18" ht="6" customHeight="1" thickBot="1">
      <c r="A6" s="45"/>
      <c r="B6" s="20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40"/>
    </row>
    <row r="7" spans="1:18" s="13" customFormat="1" ht="13.5" thickBot="1">
      <c r="A7" s="444" t="s">
        <v>142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20"/>
      <c r="P7" s="20"/>
      <c r="Q7" s="19"/>
      <c r="R7" s="40" t="s">
        <v>0</v>
      </c>
    </row>
    <row r="8" spans="1:18" s="13" customFormat="1" ht="12.75">
      <c r="A8" s="444" t="s">
        <v>159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20"/>
      <c r="P8" s="20"/>
      <c r="Q8" s="22">
        <f>MAX(0.7*Q7,Q7-2000)</f>
        <v>0</v>
      </c>
      <c r="R8" s="40" t="s">
        <v>0</v>
      </c>
    </row>
    <row r="9" spans="1:19" s="13" customFormat="1" ht="12.75">
      <c r="A9" s="444" t="s">
        <v>158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20"/>
      <c r="P9" s="20"/>
      <c r="Q9" s="23">
        <f>Q7</f>
        <v>0</v>
      </c>
      <c r="R9" s="40" t="s">
        <v>0</v>
      </c>
      <c r="S9" s="17"/>
    </row>
    <row r="10" spans="1:19" s="13" customFormat="1" ht="13.5" hidden="1" thickBot="1">
      <c r="A10" s="2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9"/>
      <c r="O10" s="49"/>
      <c r="P10" s="50" t="s">
        <v>103</v>
      </c>
      <c r="Q10" s="51">
        <f>IF(Q88=0,Q8,Q9)</f>
        <v>0</v>
      </c>
      <c r="R10" s="52" t="s">
        <v>0</v>
      </c>
      <c r="S10" s="17"/>
    </row>
    <row r="11" spans="1:19" s="13" customFormat="1" ht="6" customHeight="1">
      <c r="A11" s="45"/>
      <c r="B11" s="21"/>
      <c r="C11" s="21"/>
      <c r="D11" s="21"/>
      <c r="E11" s="21"/>
      <c r="F11" s="21"/>
      <c r="G11" s="390"/>
      <c r="H11" s="390"/>
      <c r="I11" s="390"/>
      <c r="J11" s="390"/>
      <c r="K11" s="390"/>
      <c r="L11" s="390"/>
      <c r="M11" s="390"/>
      <c r="N11" s="163"/>
      <c r="O11" s="390"/>
      <c r="P11" s="390"/>
      <c r="Q11" s="390"/>
      <c r="R11" s="391"/>
      <c r="S11" s="17"/>
    </row>
    <row r="12" spans="1:19" s="13" customFormat="1" ht="12.75">
      <c r="A12" s="351">
        <f>IF(Q7&gt;10000,"Error: New and replaced impervious surface may not","")</f>
      </c>
      <c r="B12" s="21"/>
      <c r="C12" s="21"/>
      <c r="D12" s="21"/>
      <c r="E12" s="21"/>
      <c r="F12" s="21"/>
      <c r="G12" s="390"/>
      <c r="H12" s="390"/>
      <c r="I12" s="390"/>
      <c r="J12" s="390"/>
      <c r="K12" s="390"/>
      <c r="L12" s="21"/>
      <c r="M12" s="20"/>
      <c r="N12" s="88" t="s">
        <v>192</v>
      </c>
      <c r="O12" s="20"/>
      <c r="P12" s="151"/>
      <c r="Q12" s="164">
        <f>IF(Q10=0,"",IF(AND(Q10&lt;&gt;0,Q91&gt;=Q10),"PASS","FAIL"))</f>
      </c>
      <c r="R12" s="391"/>
      <c r="S12" s="17"/>
    </row>
    <row r="13" spans="1:19" s="13" customFormat="1" ht="12.75">
      <c r="A13" s="351">
        <f>IF(Q7&gt;10000,"be greater than 10,000 square feet to use the pre-sized approach","")</f>
      </c>
      <c r="B13" s="21"/>
      <c r="C13" s="21"/>
      <c r="D13" s="21"/>
      <c r="E13" s="21"/>
      <c r="F13" s="21"/>
      <c r="G13" s="390"/>
      <c r="H13" s="390"/>
      <c r="I13" s="390"/>
      <c r="J13" s="390"/>
      <c r="K13" s="21"/>
      <c r="L13" s="21"/>
      <c r="M13" s="390"/>
      <c r="N13" s="390"/>
      <c r="O13" s="390"/>
      <c r="P13" s="390"/>
      <c r="Q13" s="21"/>
      <c r="R13" s="391"/>
      <c r="S13" s="17"/>
    </row>
    <row r="14" spans="1:18" ht="6" customHeight="1" thickBot="1">
      <c r="A14" s="77"/>
      <c r="B14" s="21"/>
      <c r="C14" s="42"/>
      <c r="D14" s="42"/>
      <c r="E14" s="42"/>
      <c r="F14" s="24"/>
      <c r="G14" s="24"/>
      <c r="H14" s="24"/>
      <c r="I14" s="24"/>
      <c r="J14" s="25"/>
      <c r="K14" s="25"/>
      <c r="L14" s="25"/>
      <c r="M14" s="25"/>
      <c r="N14" s="26"/>
      <c r="O14" s="26"/>
      <c r="P14" s="27"/>
      <c r="Q14" s="24"/>
      <c r="R14" s="43"/>
    </row>
    <row r="15" spans="1:18" s="78" customFormat="1" ht="24">
      <c r="A15" s="446" t="s">
        <v>183</v>
      </c>
      <c r="B15" s="447"/>
      <c r="C15" s="447"/>
      <c r="D15" s="447"/>
      <c r="E15" s="80"/>
      <c r="F15" s="81" t="s">
        <v>1</v>
      </c>
      <c r="G15" s="81"/>
      <c r="H15" s="81"/>
      <c r="I15" s="81"/>
      <c r="J15" s="82"/>
      <c r="K15" s="83" t="s">
        <v>87</v>
      </c>
      <c r="L15" s="83"/>
      <c r="M15" s="83"/>
      <c r="N15" s="84"/>
      <c r="O15" s="82"/>
      <c r="P15" s="82"/>
      <c r="Q15" s="81" t="s">
        <v>28</v>
      </c>
      <c r="R15" s="85"/>
    </row>
    <row r="16" spans="1:18" s="102" customFormat="1" ht="12" thickBot="1">
      <c r="A16" s="440" t="s">
        <v>47</v>
      </c>
      <c r="B16" s="439"/>
      <c r="C16" s="439"/>
      <c r="D16" s="439"/>
      <c r="E16" s="153"/>
      <c r="F16" s="98"/>
      <c r="G16" s="98"/>
      <c r="H16" s="98"/>
      <c r="I16" s="98"/>
      <c r="J16" s="100"/>
      <c r="K16" s="100"/>
      <c r="L16" s="100"/>
      <c r="M16" s="100"/>
      <c r="N16" s="100"/>
      <c r="O16" s="100"/>
      <c r="P16" s="100"/>
      <c r="Q16" s="98"/>
      <c r="R16" s="101"/>
    </row>
    <row r="17" spans="1:19" s="102" customFormat="1" ht="23.25" thickBot="1">
      <c r="A17" s="92" t="s">
        <v>66</v>
      </c>
      <c r="B17" s="93"/>
      <c r="C17" s="94" t="s">
        <v>2</v>
      </c>
      <c r="D17" s="95"/>
      <c r="E17" s="93"/>
      <c r="F17" s="99" t="s">
        <v>133</v>
      </c>
      <c r="G17" s="99"/>
      <c r="H17" s="95"/>
      <c r="I17" s="99" t="s">
        <v>0</v>
      </c>
      <c r="J17" s="103" t="s">
        <v>25</v>
      </c>
      <c r="K17" s="104" t="s">
        <v>93</v>
      </c>
      <c r="L17" s="105"/>
      <c r="M17" s="105"/>
      <c r="N17" s="106"/>
      <c r="O17" s="107"/>
      <c r="P17" s="108" t="s">
        <v>26</v>
      </c>
      <c r="Q17" s="109">
        <f>IF(AND(H17="",D17=""),"",MAX(H17*X!D4,D17*X!G4))</f>
      </c>
      <c r="R17" s="110" t="s">
        <v>0</v>
      </c>
      <c r="S17" s="111"/>
    </row>
    <row r="18" spans="1:18" s="102" customFormat="1" ht="23.25" thickBot="1">
      <c r="A18" s="92" t="s">
        <v>67</v>
      </c>
      <c r="B18" s="152"/>
      <c r="C18" s="94" t="s">
        <v>2</v>
      </c>
      <c r="D18" s="95"/>
      <c r="E18" s="93"/>
      <c r="F18" s="99" t="s">
        <v>133</v>
      </c>
      <c r="G18" s="99"/>
      <c r="H18" s="95"/>
      <c r="I18" s="99" t="s">
        <v>0</v>
      </c>
      <c r="J18" s="103" t="s">
        <v>25</v>
      </c>
      <c r="K18" s="104" t="s">
        <v>94</v>
      </c>
      <c r="L18" s="105"/>
      <c r="M18" s="105"/>
      <c r="N18" s="106"/>
      <c r="O18" s="107"/>
      <c r="P18" s="108" t="s">
        <v>26</v>
      </c>
      <c r="Q18" s="109">
        <f>IF(AND(H18="",D18=""),"",MAX(H18*X!D5,D18*X!G5))</f>
      </c>
      <c r="R18" s="110" t="s">
        <v>0</v>
      </c>
    </row>
    <row r="19" spans="1:18" s="102" customFormat="1" ht="12" thickBot="1">
      <c r="A19" s="437" t="s">
        <v>46</v>
      </c>
      <c r="B19" s="438"/>
      <c r="C19" s="438"/>
      <c r="D19" s="438"/>
      <c r="E19" s="97"/>
      <c r="F19" s="99"/>
      <c r="G19" s="99"/>
      <c r="H19" s="99"/>
      <c r="I19" s="99"/>
      <c r="J19" s="103"/>
      <c r="K19" s="150">
        <f>IF(SUM(Q17,Q18,Q20,Q21)&gt;0.25*Q10,"Note: Maximum tree credit is 25% area requiring mitigation","")</f>
      </c>
      <c r="L19" s="103"/>
      <c r="M19" s="103"/>
      <c r="N19" s="112"/>
      <c r="O19" s="103"/>
      <c r="P19" s="103"/>
      <c r="Q19" s="113"/>
      <c r="R19" s="110"/>
    </row>
    <row r="20" spans="1:18" s="102" customFormat="1" ht="12" thickBot="1">
      <c r="A20" s="435" t="s">
        <v>68</v>
      </c>
      <c r="B20" s="436"/>
      <c r="C20" s="436"/>
      <c r="D20" s="436"/>
      <c r="E20" s="93"/>
      <c r="F20" s="99" t="s">
        <v>2</v>
      </c>
      <c r="G20" s="99"/>
      <c r="H20" s="95"/>
      <c r="I20" s="99"/>
      <c r="J20" s="103" t="s">
        <v>25</v>
      </c>
      <c r="K20" s="105" t="s">
        <v>27</v>
      </c>
      <c r="L20" s="105"/>
      <c r="M20" s="105"/>
      <c r="N20" s="106"/>
      <c r="O20" s="103"/>
      <c r="P20" s="108" t="s">
        <v>26</v>
      </c>
      <c r="Q20" s="114">
        <f>IF(H20="","",H20*X!D6)</f>
      </c>
      <c r="R20" s="110" t="s">
        <v>0</v>
      </c>
    </row>
    <row r="21" spans="1:18" s="102" customFormat="1" ht="12" thickBot="1">
      <c r="A21" s="435" t="s">
        <v>69</v>
      </c>
      <c r="B21" s="436"/>
      <c r="C21" s="436"/>
      <c r="D21" s="436"/>
      <c r="E21" s="93"/>
      <c r="F21" s="99" t="s">
        <v>2</v>
      </c>
      <c r="G21" s="99"/>
      <c r="H21" s="95"/>
      <c r="I21" s="99"/>
      <c r="J21" s="103" t="s">
        <v>25</v>
      </c>
      <c r="K21" s="105" t="s">
        <v>81</v>
      </c>
      <c r="L21" s="105"/>
      <c r="M21" s="105"/>
      <c r="N21" s="106"/>
      <c r="O21" s="103"/>
      <c r="P21" s="108" t="s">
        <v>26</v>
      </c>
      <c r="Q21" s="114">
        <f>IF(H21="","",H21*X!D7)</f>
      </c>
      <c r="R21" s="110" t="s">
        <v>0</v>
      </c>
    </row>
    <row r="22" spans="1:18" s="102" customFormat="1" ht="12" thickBot="1">
      <c r="A22" s="437" t="s">
        <v>31</v>
      </c>
      <c r="B22" s="438"/>
      <c r="C22" s="438"/>
      <c r="D22" s="438"/>
      <c r="E22" s="97"/>
      <c r="F22" s="99"/>
      <c r="G22" s="99"/>
      <c r="H22" s="99"/>
      <c r="I22" s="99"/>
      <c r="J22" s="103"/>
      <c r="K22" s="99"/>
      <c r="L22" s="103"/>
      <c r="M22" s="103"/>
      <c r="N22" s="112"/>
      <c r="O22" s="99"/>
      <c r="P22" s="103"/>
      <c r="Q22" s="115"/>
      <c r="R22" s="110"/>
    </row>
    <row r="23" spans="1:18" s="102" customFormat="1" ht="13.5" customHeight="1" thickBot="1">
      <c r="A23" s="435" t="s">
        <v>3</v>
      </c>
      <c r="B23" s="436"/>
      <c r="C23" s="436"/>
      <c r="D23" s="436"/>
      <c r="E23" s="93"/>
      <c r="F23" s="99" t="s">
        <v>112</v>
      </c>
      <c r="G23" s="99"/>
      <c r="H23" s="95"/>
      <c r="I23" s="99" t="s">
        <v>0</v>
      </c>
      <c r="J23" s="103" t="s">
        <v>25</v>
      </c>
      <c r="K23" s="104" t="str">
        <f>IF($J$5="","Select Standard",IF($J$5="Pre-developed Pasture and Peak Flow Control Standards",MIN(X!D8:E8),IF($J$5="Pre-developed Pasture Standard",X!D8,IF($J$5="Peak Flow Control Standard",X!E8,""))))</f>
        <v>Select Standard</v>
      </c>
      <c r="L23" s="105"/>
      <c r="M23" s="105"/>
      <c r="N23" s="106"/>
      <c r="O23" s="107"/>
      <c r="P23" s="108" t="s">
        <v>26</v>
      </c>
      <c r="Q23" s="114">
        <f>IF(OR(H23="",ISTEXT(K23)),"",H23*K23)</f>
      </c>
      <c r="R23" s="110" t="s">
        <v>0</v>
      </c>
    </row>
    <row r="24" spans="1:18" s="102" customFormat="1" ht="12" thickBot="1">
      <c r="A24" s="120"/>
      <c r="B24" s="121"/>
      <c r="C24" s="121"/>
      <c r="D24" s="121"/>
      <c r="E24" s="121"/>
      <c r="F24" s="122"/>
      <c r="G24" s="122"/>
      <c r="H24" s="122"/>
      <c r="I24" s="122"/>
      <c r="J24" s="123"/>
      <c r="K24" s="150">
        <f>IF(H23&lt;&gt;"","Note: Confirm flow paths can be achieved","")</f>
      </c>
      <c r="L24" s="123"/>
      <c r="M24" s="123"/>
      <c r="N24" s="124"/>
      <c r="O24" s="124"/>
      <c r="P24" s="124"/>
      <c r="Q24" s="125"/>
      <c r="R24" s="126"/>
    </row>
    <row r="25" spans="1:18" s="78" customFormat="1" ht="24">
      <c r="A25" s="446" t="s">
        <v>184</v>
      </c>
      <c r="B25" s="447"/>
      <c r="C25" s="447"/>
      <c r="D25" s="447"/>
      <c r="E25" s="80"/>
      <c r="F25" s="81" t="s">
        <v>1</v>
      </c>
      <c r="G25" s="81"/>
      <c r="H25" s="81"/>
      <c r="I25" s="81"/>
      <c r="J25" s="82"/>
      <c r="K25" s="83" t="s">
        <v>154</v>
      </c>
      <c r="L25" s="83"/>
      <c r="M25" s="83"/>
      <c r="N25" s="84"/>
      <c r="O25" s="82"/>
      <c r="P25" s="82"/>
      <c r="Q25" s="81" t="s">
        <v>28</v>
      </c>
      <c r="R25" s="85"/>
    </row>
    <row r="26" spans="1:18" ht="12.75">
      <c r="A26" s="440" t="s">
        <v>4</v>
      </c>
      <c r="B26" s="439"/>
      <c r="C26" s="439"/>
      <c r="D26" s="439"/>
      <c r="E26" s="91"/>
      <c r="F26" s="98"/>
      <c r="G26" s="98"/>
      <c r="H26" s="98"/>
      <c r="I26" s="98"/>
      <c r="J26" s="100"/>
      <c r="K26" s="100"/>
      <c r="L26" s="100"/>
      <c r="M26" s="100"/>
      <c r="N26" s="100"/>
      <c r="O26" s="100"/>
      <c r="P26" s="100"/>
      <c r="Q26" s="98"/>
      <c r="R26" s="101"/>
    </row>
    <row r="27" spans="1:18" ht="13.5" thickBot="1">
      <c r="A27" s="435" t="s">
        <v>194</v>
      </c>
      <c r="B27" s="436"/>
      <c r="C27" s="436"/>
      <c r="D27" s="436"/>
      <c r="E27" s="93"/>
      <c r="F27" s="99"/>
      <c r="G27" s="99"/>
      <c r="H27" s="99"/>
      <c r="I27" s="99"/>
      <c r="J27" s="103"/>
      <c r="K27" s="103"/>
      <c r="L27" s="103"/>
      <c r="M27" s="103"/>
      <c r="N27" s="103"/>
      <c r="O27" s="103"/>
      <c r="P27" s="103"/>
      <c r="Q27" s="99"/>
      <c r="R27" s="110"/>
    </row>
    <row r="28" spans="1:18" ht="23.25" thickBot="1">
      <c r="A28" s="127"/>
      <c r="B28" s="99" t="s">
        <v>7</v>
      </c>
      <c r="C28" s="128"/>
      <c r="D28" s="99" t="s">
        <v>8</v>
      </c>
      <c r="E28" s="99"/>
      <c r="F28" s="99" t="s">
        <v>6</v>
      </c>
      <c r="G28" s="99"/>
      <c r="H28" s="128"/>
      <c r="I28" s="99" t="s">
        <v>0</v>
      </c>
      <c r="J28" s="103" t="s">
        <v>33</v>
      </c>
      <c r="K28" s="129" t="str">
        <f>IF($J$5="","Select Standard",IF(C28="","Select Depth",IF(C29="","Select Infilt Rate",K30)))</f>
        <v>Select Standard</v>
      </c>
      <c r="L28" s="105"/>
      <c r="M28" s="105"/>
      <c r="N28" s="106"/>
      <c r="O28" s="107"/>
      <c r="P28" s="108" t="s">
        <v>26</v>
      </c>
      <c r="Q28" s="114">
        <f>IF(OR(H28="",ISTEXT(K28)),"",H28/K28)</f>
      </c>
      <c r="R28" s="110" t="s">
        <v>0</v>
      </c>
    </row>
    <row r="29" spans="1:18" ht="23.25" thickBot="1">
      <c r="A29" s="127"/>
      <c r="B29" s="99" t="s">
        <v>9</v>
      </c>
      <c r="C29" s="128"/>
      <c r="D29" s="99" t="s">
        <v>10</v>
      </c>
      <c r="E29" s="99"/>
      <c r="F29" s="99"/>
      <c r="G29" s="99"/>
      <c r="H29" s="99"/>
      <c r="I29" s="99"/>
      <c r="J29" s="103"/>
      <c r="K29" s="150">
        <f>IF(OR(C29="",C29=0.25),"","Note: Infitlration test required for infiltration rate &gt; 0.25 in/hr")</f>
      </c>
      <c r="L29" s="103"/>
      <c r="M29" s="103"/>
      <c r="N29" s="112"/>
      <c r="O29" s="112"/>
      <c r="P29" s="103"/>
      <c r="Q29" s="113"/>
      <c r="R29" s="110"/>
    </row>
    <row r="30" spans="1:18" ht="12.75" hidden="1">
      <c r="A30" s="127"/>
      <c r="B30" s="99"/>
      <c r="C30" s="99"/>
      <c r="D30" s="99"/>
      <c r="E30" s="99"/>
      <c r="F30" s="99"/>
      <c r="G30" s="99"/>
      <c r="H30" s="99"/>
      <c r="I30" s="99"/>
      <c r="J30" s="103"/>
      <c r="K30" s="103" t="e">
        <f>VLOOKUP(C29,IF(C28=2,X!D18:F20,IF(C28=4,X!D21:H23,IF(C28=6,X!D24:F26,IF(C28=8,X!D27:H29,IF(C28=10,X!D30:H32,IF(C28=12,X!D33:F36)))))),IF($J$5="Pre-developed Pasture and Peak Flow Control Standards",3,IF($J$5="Pre-developed Pasture Standard",2,IF(J5="Peak Flow Control Standard",3))))</f>
        <v>#N/A</v>
      </c>
      <c r="L30" s="103"/>
      <c r="M30" s="103"/>
      <c r="N30" s="112"/>
      <c r="O30" s="112"/>
      <c r="P30" s="103"/>
      <c r="Q30" s="113"/>
      <c r="R30" s="110"/>
    </row>
    <row r="31" spans="1:18" ht="12.75">
      <c r="A31" s="127"/>
      <c r="B31" s="112"/>
      <c r="C31" s="112"/>
      <c r="D31" s="112"/>
      <c r="E31" s="112"/>
      <c r="F31" s="99"/>
      <c r="G31" s="99"/>
      <c r="H31" s="103"/>
      <c r="I31" s="99"/>
      <c r="J31" s="103"/>
      <c r="K31" s="103"/>
      <c r="L31" s="103"/>
      <c r="M31" s="103"/>
      <c r="N31" s="103"/>
      <c r="O31" s="103"/>
      <c r="P31" s="103"/>
      <c r="Q31" s="113"/>
      <c r="R31" s="110"/>
    </row>
    <row r="32" spans="1:18" ht="13.5" thickBot="1">
      <c r="A32" s="435" t="s">
        <v>108</v>
      </c>
      <c r="B32" s="436"/>
      <c r="C32" s="436"/>
      <c r="D32" s="436"/>
      <c r="E32" s="93"/>
      <c r="F32" s="99"/>
      <c r="G32" s="99"/>
      <c r="H32" s="99"/>
      <c r="I32" s="99"/>
      <c r="J32" s="103"/>
      <c r="K32" s="103"/>
      <c r="L32" s="103"/>
      <c r="M32" s="103"/>
      <c r="N32" s="103"/>
      <c r="O32" s="103"/>
      <c r="P32" s="103"/>
      <c r="Q32" s="113"/>
      <c r="R32" s="110"/>
    </row>
    <row r="33" spans="1:18" ht="12.75" customHeight="1" thickBot="1">
      <c r="A33" s="127"/>
      <c r="B33" s="99" t="s">
        <v>195</v>
      </c>
      <c r="C33" s="128"/>
      <c r="D33" s="99" t="s">
        <v>8</v>
      </c>
      <c r="E33" s="99"/>
      <c r="F33" s="99" t="s">
        <v>49</v>
      </c>
      <c r="G33" s="99"/>
      <c r="H33" s="128"/>
      <c r="I33" s="99" t="s">
        <v>0</v>
      </c>
      <c r="J33" s="103" t="s">
        <v>33</v>
      </c>
      <c r="K33" s="129" t="str">
        <f>IF($J$5="","Select Standard",IF(C33="","Select Depth",IF(C34="","Select Infilt Rate",VLOOKUP(C34,IF(C33=6,X!D37:F39,IF(C33=8,X!D40:H42,IF(C33=10,X!D43:H45,IF(C33=12,X!D46:F48)))),IF($J$5="Pre-developed Pasture and Peak Flow Control Standards",3,IF($J$5="Pre-developed Pasture Standard",2,IF($J$5="Peak Flow Control Standard",3)))))))</f>
        <v>Select Standard</v>
      </c>
      <c r="L33" s="105"/>
      <c r="M33" s="105"/>
      <c r="N33" s="106"/>
      <c r="O33" s="107"/>
      <c r="P33" s="108" t="s">
        <v>26</v>
      </c>
      <c r="Q33" s="109">
        <f>IF(OR(H33="",ISTEXT(K33)),"",H33/K33)</f>
      </c>
      <c r="R33" s="110" t="s">
        <v>0</v>
      </c>
    </row>
    <row r="34" spans="1:18" ht="23.25" thickBot="1">
      <c r="A34" s="127"/>
      <c r="B34" s="99" t="s">
        <v>9</v>
      </c>
      <c r="C34" s="128"/>
      <c r="D34" s="99" t="s">
        <v>10</v>
      </c>
      <c r="E34" s="99"/>
      <c r="F34" s="99"/>
      <c r="G34" s="99"/>
      <c r="H34" s="99"/>
      <c r="I34" s="99"/>
      <c r="J34" s="103"/>
      <c r="K34" s="150">
        <f>IF(OR(C34="",C34=0.25),"","Note: Infitlration test required for infiltration rate &gt; 0.25 in/hr")</f>
      </c>
      <c r="L34" s="103"/>
      <c r="M34" s="103"/>
      <c r="N34" s="103"/>
      <c r="O34" s="103"/>
      <c r="P34" s="103"/>
      <c r="Q34" s="113"/>
      <c r="R34" s="110"/>
    </row>
    <row r="35" spans="1:18" s="102" customFormat="1" ht="11.25">
      <c r="A35" s="437" t="s">
        <v>148</v>
      </c>
      <c r="B35" s="438"/>
      <c r="C35" s="439"/>
      <c r="D35" s="438"/>
      <c r="E35" s="97"/>
      <c r="F35" s="99"/>
      <c r="G35" s="99"/>
      <c r="H35" s="99"/>
      <c r="I35" s="99"/>
      <c r="J35" s="103"/>
      <c r="K35" s="103"/>
      <c r="L35" s="103"/>
      <c r="M35" s="103"/>
      <c r="N35" s="103"/>
      <c r="O35" s="103"/>
      <c r="P35" s="103"/>
      <c r="Q35" s="99"/>
      <c r="R35" s="110"/>
    </row>
    <row r="36" spans="1:18" s="102" customFormat="1" ht="11.25">
      <c r="A36" s="96"/>
      <c r="B36" s="99" t="s">
        <v>149</v>
      </c>
      <c r="C36" s="97"/>
      <c r="D36" s="97"/>
      <c r="E36" s="97"/>
      <c r="F36" s="450" t="s">
        <v>191</v>
      </c>
      <c r="G36" s="450"/>
      <c r="H36" s="450"/>
      <c r="I36" s="450"/>
      <c r="J36" s="103"/>
      <c r="K36" s="103"/>
      <c r="L36" s="103"/>
      <c r="M36" s="103"/>
      <c r="N36" s="103"/>
      <c r="O36" s="103"/>
      <c r="P36" s="103"/>
      <c r="Q36" s="109">
        <f>IF(OR(H36="",ISTEXT(K36)),"",H36/K36)</f>
      </c>
      <c r="R36" s="110" t="s">
        <v>0</v>
      </c>
    </row>
    <row r="37" spans="1:18" ht="13.5" thickBot="1">
      <c r="A37" s="127"/>
      <c r="B37" s="147"/>
      <c r="C37" s="112"/>
      <c r="D37" s="112"/>
      <c r="E37" s="112"/>
      <c r="F37" s="99"/>
      <c r="G37" s="99"/>
      <c r="H37" s="99"/>
      <c r="I37" s="99"/>
      <c r="J37" s="103"/>
      <c r="K37" s="103"/>
      <c r="L37" s="103"/>
      <c r="M37" s="103"/>
      <c r="N37" s="103"/>
      <c r="O37" s="103"/>
      <c r="P37" s="103"/>
      <c r="Q37" s="113"/>
      <c r="R37" s="110"/>
    </row>
    <row r="38" spans="1:18" s="78" customFormat="1" ht="12">
      <c r="A38" s="446" t="s">
        <v>32</v>
      </c>
      <c r="B38" s="447"/>
      <c r="C38" s="447"/>
      <c r="D38" s="447"/>
      <c r="E38" s="80"/>
      <c r="F38" s="81" t="s">
        <v>1</v>
      </c>
      <c r="G38" s="81"/>
      <c r="H38" s="81"/>
      <c r="I38" s="81"/>
      <c r="J38" s="82"/>
      <c r="K38" s="83" t="s">
        <v>87</v>
      </c>
      <c r="L38" s="83"/>
      <c r="M38" s="83"/>
      <c r="N38" s="84"/>
      <c r="O38" s="82"/>
      <c r="P38" s="82"/>
      <c r="Q38" s="81" t="s">
        <v>28</v>
      </c>
      <c r="R38" s="85"/>
    </row>
    <row r="39" spans="1:18" s="102" customFormat="1" ht="12" thickBot="1">
      <c r="A39" s="437" t="s">
        <v>29</v>
      </c>
      <c r="B39" s="438"/>
      <c r="C39" s="438"/>
      <c r="D39" s="438"/>
      <c r="E39" s="97"/>
      <c r="F39" s="99"/>
      <c r="G39" s="99"/>
      <c r="H39" s="99"/>
      <c r="I39" s="99"/>
      <c r="J39" s="103"/>
      <c r="K39" s="103"/>
      <c r="L39" s="103"/>
      <c r="M39" s="103"/>
      <c r="N39" s="112"/>
      <c r="O39" s="103"/>
      <c r="P39" s="103"/>
      <c r="Q39" s="115"/>
      <c r="R39" s="110"/>
    </row>
    <row r="40" spans="1:18" s="102" customFormat="1" ht="12" thickBot="1">
      <c r="A40" s="435" t="s">
        <v>160</v>
      </c>
      <c r="B40" s="436"/>
      <c r="C40" s="436"/>
      <c r="D40" s="436"/>
      <c r="E40" s="93"/>
      <c r="F40" s="99" t="s">
        <v>49</v>
      </c>
      <c r="G40" s="99"/>
      <c r="H40" s="352"/>
      <c r="I40" s="99" t="s">
        <v>0</v>
      </c>
      <c r="J40" s="103" t="s">
        <v>25</v>
      </c>
      <c r="K40" s="104" t="str">
        <f>IF($J$5="","Select Standard",IF($J$5="Pre-developed Pasture and Peak Flow Control Standards",MIN(X!D9,X!E9),IF($J$5="Pre-developed Pasture Standard",X!D9,IF($J$5="Peak Flow Control Standard",X!E9,""))))</f>
        <v>Select Standard</v>
      </c>
      <c r="L40" s="105"/>
      <c r="M40" s="105"/>
      <c r="N40" s="106"/>
      <c r="O40" s="107"/>
      <c r="P40" s="108" t="s">
        <v>26</v>
      </c>
      <c r="Q40" s="114">
        <f>IF(OR(H40="",ISTEXT(K40)),"",H40*K40)</f>
      </c>
      <c r="R40" s="110" t="s">
        <v>0</v>
      </c>
    </row>
    <row r="41" spans="1:18" s="102" customFormat="1" ht="12" thickBot="1">
      <c r="A41" s="435" t="s">
        <v>161</v>
      </c>
      <c r="B41" s="436"/>
      <c r="C41" s="436"/>
      <c r="D41" s="436"/>
      <c r="E41" s="93"/>
      <c r="F41" s="99" t="s">
        <v>49</v>
      </c>
      <c r="G41" s="99"/>
      <c r="H41" s="352"/>
      <c r="I41" s="99" t="s">
        <v>0</v>
      </c>
      <c r="J41" s="103" t="s">
        <v>25</v>
      </c>
      <c r="K41" s="104" t="str">
        <f>IF($J$5="","Select Standard",IF($J$5="Pre-developed Pasture and Peak Flow Control Standards",MIN(X!D10,X!E10),IF($J$5="Pre-developed Pasture Standard",X!D10,IF($J$5="Peak Flow Control Standard",X!E10,""))))</f>
        <v>Select Standard</v>
      </c>
      <c r="L41" s="105"/>
      <c r="M41" s="105"/>
      <c r="N41" s="106"/>
      <c r="O41" s="107"/>
      <c r="P41" s="108" t="s">
        <v>26</v>
      </c>
      <c r="Q41" s="114">
        <f>IF(OR(H41="",ISTEXT(K41)),"",H41*K41)</f>
      </c>
      <c r="R41" s="110" t="s">
        <v>0</v>
      </c>
    </row>
    <row r="42" spans="1:18" s="102" customFormat="1" ht="12" thickBot="1">
      <c r="A42" s="437" t="s">
        <v>30</v>
      </c>
      <c r="B42" s="438"/>
      <c r="C42" s="438"/>
      <c r="D42" s="438"/>
      <c r="E42" s="97"/>
      <c r="F42" s="99"/>
      <c r="G42" s="99"/>
      <c r="H42" s="99"/>
      <c r="I42" s="99"/>
      <c r="J42" s="103"/>
      <c r="K42" s="99"/>
      <c r="L42" s="103"/>
      <c r="M42" s="103"/>
      <c r="N42" s="112"/>
      <c r="O42" s="99"/>
      <c r="P42" s="103"/>
      <c r="Q42" s="116"/>
      <c r="R42" s="110"/>
    </row>
    <row r="43" spans="1:18" s="102" customFormat="1" ht="12" thickBot="1">
      <c r="A43" s="435" t="s">
        <v>72</v>
      </c>
      <c r="B43" s="436"/>
      <c r="C43" s="436"/>
      <c r="D43" s="436"/>
      <c r="E43" s="93"/>
      <c r="F43" s="99" t="s">
        <v>73</v>
      </c>
      <c r="G43" s="99"/>
      <c r="H43" s="352"/>
      <c r="I43" s="99" t="s">
        <v>0</v>
      </c>
      <c r="J43" s="103" t="s">
        <v>25</v>
      </c>
      <c r="K43" s="104" t="str">
        <f>IF($J$5="","Select Standard",IF($J$5="Pre-developed Pasture and Peak Flow Control Standards",MIN(X!D11:E11),IF($J$5="Pre-developed Pasture Standard",X!D11,IF($J$5="Peak Flow Control Standard",X!E11,""))))</f>
        <v>Select Standard</v>
      </c>
      <c r="L43" s="105"/>
      <c r="M43" s="105"/>
      <c r="N43" s="106"/>
      <c r="O43" s="107"/>
      <c r="P43" s="108" t="s">
        <v>26</v>
      </c>
      <c r="Q43" s="114">
        <f>IF(OR(H43="",ISTEXT(K43)),"",H43*K43)</f>
      </c>
      <c r="R43" s="110" t="s">
        <v>0</v>
      </c>
    </row>
    <row r="44" spans="1:18" s="102" customFormat="1" ht="12.75" customHeight="1" thickBot="1">
      <c r="A44" s="435" t="s">
        <v>74</v>
      </c>
      <c r="B44" s="436"/>
      <c r="C44" s="436"/>
      <c r="D44" s="436"/>
      <c r="E44" s="93"/>
      <c r="F44" s="99" t="s">
        <v>73</v>
      </c>
      <c r="G44" s="99"/>
      <c r="H44" s="352"/>
      <c r="I44" s="99" t="s">
        <v>0</v>
      </c>
      <c r="J44" s="103" t="s">
        <v>25</v>
      </c>
      <c r="K44" s="117" t="str">
        <f>IF($J$5="","Select Standard",IF($J$5="Pre-developed Pasture and Peak Flow Control Standards",MIN(X!D12:E12),IF($J$5="Pre-developed Pasture Standard",X!D12,IF($J$5="Peak Flow Control Standard",X!E12,""))))</f>
        <v>Select Standard</v>
      </c>
      <c r="L44" s="118"/>
      <c r="M44" s="118"/>
      <c r="N44" s="119"/>
      <c r="O44" s="107"/>
      <c r="P44" s="108" t="s">
        <v>26</v>
      </c>
      <c r="Q44" s="114">
        <f>IF(OR(H44="",ISTEXT(K44)),"",H44*K44)</f>
      </c>
      <c r="R44" s="110" t="s">
        <v>0</v>
      </c>
    </row>
    <row r="45" spans="1:18" s="102" customFormat="1" ht="12.75" customHeight="1" thickBot="1">
      <c r="A45" s="435" t="s">
        <v>75</v>
      </c>
      <c r="B45" s="436"/>
      <c r="C45" s="436"/>
      <c r="D45" s="436"/>
      <c r="E45" s="93"/>
      <c r="F45" s="99" t="s">
        <v>73</v>
      </c>
      <c r="G45" s="99"/>
      <c r="H45" s="352"/>
      <c r="I45" s="99" t="s">
        <v>0</v>
      </c>
      <c r="J45" s="103" t="s">
        <v>25</v>
      </c>
      <c r="K45" s="104" t="str">
        <f>IF($J$5="","Select Standard",IF($J$5="Pre-developed Pasture and Peak Flow Control Standards",MIN(X!D13:E13),IF($J$5="Pre-developed Pasture Standard",X!D13,IF($J$5="Peak Flow Control Standard",X!E13,""))))</f>
        <v>Select Standard</v>
      </c>
      <c r="L45" s="105"/>
      <c r="M45" s="105"/>
      <c r="N45" s="106"/>
      <c r="O45" s="107"/>
      <c r="P45" s="108" t="s">
        <v>26</v>
      </c>
      <c r="Q45" s="114">
        <f>IF(OR(H45="",ISTEXT(K45)),"",H45*K45)</f>
      </c>
      <c r="R45" s="110" t="s">
        <v>0</v>
      </c>
    </row>
    <row r="46" spans="1:18" ht="13.5" thickBot="1">
      <c r="A46" s="127"/>
      <c r="B46" s="112"/>
      <c r="C46" s="112"/>
      <c r="D46" s="112"/>
      <c r="E46" s="112"/>
      <c r="F46" s="99"/>
      <c r="G46" s="99"/>
      <c r="H46" s="103"/>
      <c r="I46" s="99"/>
      <c r="J46" s="103"/>
      <c r="K46" s="103"/>
      <c r="L46" s="103"/>
      <c r="M46" s="103"/>
      <c r="N46" s="103"/>
      <c r="O46" s="103"/>
      <c r="P46" s="103"/>
      <c r="Q46" s="113"/>
      <c r="R46" s="110"/>
    </row>
    <row r="47" spans="1:18" s="78" customFormat="1" ht="12">
      <c r="A47" s="446" t="s">
        <v>185</v>
      </c>
      <c r="B47" s="447"/>
      <c r="C47" s="447"/>
      <c r="D47" s="447"/>
      <c r="E47" s="80"/>
      <c r="F47" s="81" t="s">
        <v>1</v>
      </c>
      <c r="G47" s="81"/>
      <c r="H47" s="81"/>
      <c r="I47" s="81"/>
      <c r="J47" s="82"/>
      <c r="K47" s="83" t="s">
        <v>181</v>
      </c>
      <c r="L47" s="83"/>
      <c r="M47" s="83"/>
      <c r="N47" s="84"/>
      <c r="O47" s="82"/>
      <c r="P47" s="82"/>
      <c r="Q47" s="81" t="s">
        <v>28</v>
      </c>
      <c r="R47" s="85"/>
    </row>
    <row r="48" spans="1:18" ht="12.75">
      <c r="A48" s="437" t="s">
        <v>13</v>
      </c>
      <c r="B48" s="438"/>
      <c r="C48" s="438"/>
      <c r="D48" s="438"/>
      <c r="E48" s="97"/>
      <c r="F48" s="99"/>
      <c r="G48" s="99"/>
      <c r="H48" s="99"/>
      <c r="I48" s="99"/>
      <c r="J48" s="103"/>
      <c r="K48" s="103"/>
      <c r="L48" s="103"/>
      <c r="M48" s="103"/>
      <c r="N48" s="103"/>
      <c r="O48" s="103"/>
      <c r="P48" s="103"/>
      <c r="Q48" s="113"/>
      <c r="R48" s="110"/>
    </row>
    <row r="49" spans="1:18" ht="13.5" thickBot="1">
      <c r="A49" s="435" t="s">
        <v>35</v>
      </c>
      <c r="B49" s="436"/>
      <c r="C49" s="436"/>
      <c r="D49" s="436"/>
      <c r="E49" s="93"/>
      <c r="F49" s="99"/>
      <c r="G49" s="99"/>
      <c r="H49" s="99"/>
      <c r="I49" s="99"/>
      <c r="J49" s="103"/>
      <c r="K49" s="103"/>
      <c r="L49" s="103"/>
      <c r="M49" s="103"/>
      <c r="N49" s="103"/>
      <c r="O49" s="103"/>
      <c r="P49" s="103"/>
      <c r="Q49" s="113"/>
      <c r="R49" s="110"/>
    </row>
    <row r="50" spans="1:18" ht="13.5" thickBot="1">
      <c r="A50" s="127"/>
      <c r="B50" s="99" t="s">
        <v>7</v>
      </c>
      <c r="C50" s="128"/>
      <c r="D50" s="99" t="s">
        <v>8</v>
      </c>
      <c r="E50" s="99"/>
      <c r="F50" s="99" t="s">
        <v>6</v>
      </c>
      <c r="G50" s="99"/>
      <c r="H50" s="248"/>
      <c r="I50" s="99" t="s">
        <v>0</v>
      </c>
      <c r="J50" s="103" t="s">
        <v>33</v>
      </c>
      <c r="K50" s="129" t="str">
        <f>IF($J$5="","Select Standard",IF(C50="","Select Depth",VLOOKUP(C50,X!B49:H50,IF($J$5="Pre-developed Pasture and Peak Flow Control Standards",4,IF($J$5="Pre-developed Pasture Standard",4,IF($J$5="Peak Flow Control Standard",5))))))</f>
        <v>Select Standard</v>
      </c>
      <c r="L50" s="105"/>
      <c r="M50" s="105"/>
      <c r="N50" s="106"/>
      <c r="O50" s="134"/>
      <c r="P50" s="108" t="s">
        <v>26</v>
      </c>
      <c r="Q50" s="114">
        <f>IF(OR(H50="",ISTEXT(K50)),"",H50/K50)</f>
      </c>
      <c r="R50" s="110" t="s">
        <v>0</v>
      </c>
    </row>
    <row r="51" spans="1:18" s="102" customFormat="1" ht="12.75" customHeight="1">
      <c r="A51" s="175"/>
      <c r="B51" s="93"/>
      <c r="C51" s="93"/>
      <c r="D51" s="93"/>
      <c r="E51" s="93"/>
      <c r="F51" s="99"/>
      <c r="G51" s="99"/>
      <c r="H51" s="99"/>
      <c r="I51" s="99"/>
      <c r="J51" s="103"/>
      <c r="K51" s="343"/>
      <c r="L51" s="344"/>
      <c r="M51" s="344"/>
      <c r="N51" s="345"/>
      <c r="O51" s="107"/>
      <c r="P51" s="108"/>
      <c r="Q51" s="115"/>
      <c r="R51" s="110"/>
    </row>
    <row r="52" spans="1:18" ht="13.5" thickBot="1">
      <c r="A52" s="435" t="s">
        <v>193</v>
      </c>
      <c r="B52" s="436"/>
      <c r="C52" s="436"/>
      <c r="D52" s="436"/>
      <c r="E52" s="93"/>
      <c r="F52" s="99"/>
      <c r="G52" s="99"/>
      <c r="H52" s="99"/>
      <c r="I52" s="99"/>
      <c r="J52" s="103"/>
      <c r="K52" s="103"/>
      <c r="L52" s="103"/>
      <c r="M52" s="103"/>
      <c r="N52" s="103"/>
      <c r="O52" s="103"/>
      <c r="P52" s="103"/>
      <c r="Q52" s="113"/>
      <c r="R52" s="110"/>
    </row>
    <row r="53" spans="1:18" ht="13.5" thickBot="1">
      <c r="A53" s="127"/>
      <c r="B53" s="99" t="s">
        <v>7</v>
      </c>
      <c r="C53" s="128"/>
      <c r="D53" s="99" t="s">
        <v>8</v>
      </c>
      <c r="E53" s="99"/>
      <c r="F53" s="99" t="s">
        <v>6</v>
      </c>
      <c r="G53" s="130" t="s">
        <v>90</v>
      </c>
      <c r="H53" s="248"/>
      <c r="I53" s="99" t="s">
        <v>0</v>
      </c>
      <c r="J53" s="131" t="s">
        <v>88</v>
      </c>
      <c r="K53" s="132">
        <f>IF($J$5="","",IF(C53="","",IF(C54="","",VLOOKUP(C54,X!D67:J69,IF($J$5="Pre-developed Pasture and Peak Flow Control Standards",4,IF($J$5="Peak Flow Control Standard",6,IF($J$5="Pre-developed Pasture Standard",4)))))))</f>
      </c>
      <c r="L53" s="133" t="s">
        <v>89</v>
      </c>
      <c r="M53" s="103" t="s">
        <v>33</v>
      </c>
      <c r="N53" s="132" t="str">
        <f>IF($J$5="","Select Standard",IF(C53="","Select Depth",IF(C54="","Select Infilt Rate",VLOOKUP(C54,X!D67:J69,IF($J$5="Pre-developed Pasture and Peak Flow Control Standards",5,IF($J$5="Pre-developed Pasture Standard",5,IF($J$5="Peak Flow Control Standard",7)))))))</f>
        <v>Select Standard</v>
      </c>
      <c r="O53" s="134"/>
      <c r="P53" s="108" t="s">
        <v>26</v>
      </c>
      <c r="Q53" s="114">
        <f>IF(OR(H53="",ISTEXT(N53)),"",IF((H53-K53)/N53&lt;1500,"min. contributing",(H53-K53)/N53))</f>
      </c>
      <c r="R53" s="110" t="s">
        <v>0</v>
      </c>
    </row>
    <row r="54" spans="1:18" ht="13.5" thickBot="1">
      <c r="A54" s="127"/>
      <c r="B54" s="99" t="s">
        <v>9</v>
      </c>
      <c r="C54" s="128"/>
      <c r="D54" s="99" t="s">
        <v>10</v>
      </c>
      <c r="E54" s="99"/>
      <c r="F54" s="99"/>
      <c r="G54" s="99"/>
      <c r="H54" s="99"/>
      <c r="I54" s="99"/>
      <c r="J54" s="103"/>
      <c r="K54" s="367">
        <f>IF(OR(C54="",C54=0.25),"","Note: Infitlration test required for")</f>
      </c>
      <c r="L54" s="368"/>
      <c r="M54" s="368"/>
      <c r="N54" s="368"/>
      <c r="O54" s="103"/>
      <c r="P54" s="103"/>
      <c r="Q54" s="135">
        <f>IF(Q53="min. contributing","area is 1,500 sf","")</f>
      </c>
      <c r="R54" s="110"/>
    </row>
    <row r="55" spans="1:18" ht="12.75">
      <c r="A55" s="353"/>
      <c r="B55" s="354"/>
      <c r="C55" s="354"/>
      <c r="D55" s="354"/>
      <c r="E55" s="354"/>
      <c r="F55" s="355"/>
      <c r="G55" s="355"/>
      <c r="H55" s="355"/>
      <c r="I55" s="356"/>
      <c r="J55" s="357"/>
      <c r="K55" s="369">
        <f>IF(K54&lt;&gt;"","infiltration rate &gt; 0.25 in/hr","")</f>
      </c>
      <c r="L55" s="370"/>
      <c r="M55" s="370"/>
      <c r="N55" s="371"/>
      <c r="O55" s="358"/>
      <c r="P55" s="358"/>
      <c r="Q55" s="359"/>
      <c r="R55" s="360"/>
    </row>
    <row r="56" spans="1:18" s="13" customFormat="1" ht="6" customHeight="1">
      <c r="A56" s="79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20"/>
      <c r="P56" s="20"/>
      <c r="Q56" s="36"/>
      <c r="R56" s="40"/>
    </row>
    <row r="57" spans="1:18" s="13" customFormat="1" ht="12.75">
      <c r="A57" s="444" t="s">
        <v>198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20"/>
      <c r="P57" s="20"/>
      <c r="Q57" s="35">
        <f>SUM(Q17:Q54)</f>
        <v>0</v>
      </c>
      <c r="R57" s="40" t="s">
        <v>0</v>
      </c>
    </row>
    <row r="58" spans="1:18" s="13" customFormat="1" ht="12.75">
      <c r="A58" s="444" t="s">
        <v>186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20"/>
      <c r="P58" s="20"/>
      <c r="Q58" s="56">
        <f>IF(Q7=0,"",100*Q57/Q7)</f>
      </c>
      <c r="R58" s="40" t="s">
        <v>109</v>
      </c>
    </row>
    <row r="59" spans="1:18" s="13" customFormat="1" ht="12.75">
      <c r="A59" s="444" t="s">
        <v>178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20"/>
      <c r="P59" s="20"/>
      <c r="Q59" s="36"/>
      <c r="R59" s="40"/>
    </row>
    <row r="60" spans="1:18" ht="6" customHeight="1" thickBot="1">
      <c r="A60" s="41"/>
      <c r="B60" s="21"/>
      <c r="C60" s="42"/>
      <c r="D60" s="42"/>
      <c r="E60" s="42"/>
      <c r="F60" s="24"/>
      <c r="G60" s="24"/>
      <c r="H60" s="24"/>
      <c r="I60" s="24"/>
      <c r="J60" s="25"/>
      <c r="K60" s="25"/>
      <c r="L60" s="25"/>
      <c r="M60" s="25"/>
      <c r="N60" s="26"/>
      <c r="O60" s="26"/>
      <c r="P60" s="27"/>
      <c r="Q60" s="31"/>
      <c r="R60" s="43"/>
    </row>
    <row r="61" spans="1:18" s="78" customFormat="1" ht="12">
      <c r="A61" s="446" t="s">
        <v>36</v>
      </c>
      <c r="B61" s="447"/>
      <c r="C61" s="447"/>
      <c r="D61" s="447"/>
      <c r="E61" s="80"/>
      <c r="F61" s="81" t="s">
        <v>1</v>
      </c>
      <c r="G61" s="81"/>
      <c r="H61" s="81"/>
      <c r="I61" s="81"/>
      <c r="J61" s="82"/>
      <c r="K61" s="83" t="s">
        <v>182</v>
      </c>
      <c r="L61" s="83"/>
      <c r="M61" s="83"/>
      <c r="N61" s="83"/>
      <c r="O61" s="82"/>
      <c r="P61" s="82"/>
      <c r="Q61" s="165" t="s">
        <v>28</v>
      </c>
      <c r="R61" s="85"/>
    </row>
    <row r="62" spans="1:18" s="102" customFormat="1" ht="11.25">
      <c r="A62" s="440" t="s">
        <v>4</v>
      </c>
      <c r="B62" s="439"/>
      <c r="C62" s="439"/>
      <c r="D62" s="439"/>
      <c r="E62" s="91"/>
      <c r="F62" s="98"/>
      <c r="G62" s="98"/>
      <c r="H62" s="98"/>
      <c r="I62" s="98"/>
      <c r="J62" s="100"/>
      <c r="K62" s="100"/>
      <c r="L62" s="100"/>
      <c r="M62" s="100"/>
      <c r="N62" s="100"/>
      <c r="O62" s="100"/>
      <c r="P62" s="100"/>
      <c r="Q62" s="166"/>
      <c r="R62" s="101"/>
    </row>
    <row r="63" spans="1:18" s="102" customFormat="1" ht="12" thickBot="1">
      <c r="A63" s="435" t="s">
        <v>11</v>
      </c>
      <c r="B63" s="436"/>
      <c r="C63" s="436"/>
      <c r="D63" s="436"/>
      <c r="E63" s="93"/>
      <c r="F63" s="99"/>
      <c r="G63" s="99"/>
      <c r="H63" s="99"/>
      <c r="I63" s="99"/>
      <c r="J63" s="103"/>
      <c r="K63" s="103"/>
      <c r="L63" s="103"/>
      <c r="M63" s="103"/>
      <c r="N63" s="103"/>
      <c r="O63" s="103"/>
      <c r="P63" s="103"/>
      <c r="Q63" s="113"/>
      <c r="R63" s="110"/>
    </row>
    <row r="64" spans="1:18" s="102" customFormat="1" ht="12" thickBot="1">
      <c r="A64" s="127"/>
      <c r="B64" s="99" t="s">
        <v>12</v>
      </c>
      <c r="C64" s="128"/>
      <c r="D64" s="99" t="s">
        <v>8</v>
      </c>
      <c r="E64" s="99"/>
      <c r="F64" s="99" t="s">
        <v>111</v>
      </c>
      <c r="G64" s="99"/>
      <c r="H64" s="99">
        <f>IF(H65*H66=0,"",H65*H66)</f>
      </c>
      <c r="I64" s="99" t="s">
        <v>0</v>
      </c>
      <c r="J64" s="103" t="s">
        <v>33</v>
      </c>
      <c r="K64" s="129" t="str">
        <f>IF($J$5="","Select Standard",IF(C64="","Select Depth",IF(C65="","Select Infilt Rate",VLOOKUP(C65,IF(C64=1.5,X!D51:F53,IF(C64=3,X!D54:F56)),IF($J$5="Pre-developed Pasture and Peak Flow Control Standards",3,IF($J$5="Pre-developed Pasture Standard",2,IF($J$5="Peak Flow Control Standard",3)))))))</f>
        <v>Select Standard</v>
      </c>
      <c r="L64" s="105"/>
      <c r="M64" s="105"/>
      <c r="N64" s="106"/>
      <c r="O64" s="107"/>
      <c r="P64" s="108" t="s">
        <v>26</v>
      </c>
      <c r="Q64" s="114">
        <f>IF(OR(H64="",ISTEXT(K64)),"",H64/K64)</f>
      </c>
      <c r="R64" s="110" t="s">
        <v>0</v>
      </c>
    </row>
    <row r="65" spans="1:18" s="102" customFormat="1" ht="12" thickBot="1">
      <c r="A65" s="127"/>
      <c r="B65" s="99" t="s">
        <v>9</v>
      </c>
      <c r="C65" s="128"/>
      <c r="D65" s="99" t="s">
        <v>10</v>
      </c>
      <c r="E65" s="99"/>
      <c r="F65" s="136" t="s">
        <v>115</v>
      </c>
      <c r="G65" s="99"/>
      <c r="H65" s="248"/>
      <c r="I65" s="99" t="s">
        <v>15</v>
      </c>
      <c r="J65" s="103"/>
      <c r="K65" s="103"/>
      <c r="L65" s="103"/>
      <c r="M65" s="103"/>
      <c r="N65" s="103"/>
      <c r="O65" s="103"/>
      <c r="P65" s="103"/>
      <c r="Q65" s="115"/>
      <c r="R65" s="110"/>
    </row>
    <row r="66" spans="1:18" s="102" customFormat="1" ht="12" thickBot="1">
      <c r="A66" s="127"/>
      <c r="B66" s="112"/>
      <c r="C66" s="112"/>
      <c r="D66" s="112"/>
      <c r="E66" s="112"/>
      <c r="F66" s="136" t="s">
        <v>116</v>
      </c>
      <c r="G66" s="99"/>
      <c r="H66" s="248"/>
      <c r="I66" s="99" t="s">
        <v>15</v>
      </c>
      <c r="J66" s="103"/>
      <c r="K66" s="103"/>
      <c r="L66" s="103"/>
      <c r="M66" s="103"/>
      <c r="N66" s="103"/>
      <c r="O66" s="103"/>
      <c r="P66" s="103"/>
      <c r="Q66" s="115"/>
      <c r="R66" s="110"/>
    </row>
    <row r="67" spans="1:18" s="102" customFormat="1" ht="12" thickBot="1">
      <c r="A67" s="435" t="s">
        <v>37</v>
      </c>
      <c r="B67" s="436"/>
      <c r="C67" s="436"/>
      <c r="D67" s="436"/>
      <c r="E67" s="93"/>
      <c r="F67" s="99"/>
      <c r="G67" s="99"/>
      <c r="H67" s="99"/>
      <c r="I67" s="99"/>
      <c r="J67" s="103"/>
      <c r="K67" s="103"/>
      <c r="L67" s="103"/>
      <c r="M67" s="103"/>
      <c r="N67" s="103"/>
      <c r="O67" s="103"/>
      <c r="P67" s="103"/>
      <c r="Q67" s="115"/>
      <c r="R67" s="110"/>
    </row>
    <row r="68" spans="1:18" s="102" customFormat="1" ht="12" thickBot="1">
      <c r="A68" s="127"/>
      <c r="B68" s="99" t="s">
        <v>38</v>
      </c>
      <c r="C68" s="128"/>
      <c r="D68" s="99" t="s">
        <v>8</v>
      </c>
      <c r="E68" s="99"/>
      <c r="F68" s="99" t="s">
        <v>39</v>
      </c>
      <c r="G68" s="99"/>
      <c r="H68" s="248"/>
      <c r="I68" s="99" t="s">
        <v>0</v>
      </c>
      <c r="J68" s="103" t="s">
        <v>33</v>
      </c>
      <c r="K68" s="129" t="str">
        <f>IF($J$5="","Select Standard",IF(C68="","Select Depth",IF(C69="","Select Infilt Rate",VLOOKUP(C69,IF(C68=4,X!D57:F59,IF(C68=6,X!D60:F62)),IF($J$5="Pre-developed Pasture and Peak Flow Control Standards",3,IF($J$5="Pre-developed Pasture Standard",2,IF($J$5="Peak Flow Control Standard",3)))))))</f>
        <v>Select Standard</v>
      </c>
      <c r="L68" s="105"/>
      <c r="M68" s="105"/>
      <c r="N68" s="106"/>
      <c r="O68" s="107"/>
      <c r="P68" s="108" t="s">
        <v>26</v>
      </c>
      <c r="Q68" s="114">
        <f>IF(OR(H68="",ISTEXT(K68)),"",H68/K68)</f>
      </c>
      <c r="R68" s="110" t="s">
        <v>0</v>
      </c>
    </row>
    <row r="69" spans="1:18" s="102" customFormat="1" ht="12" thickBot="1">
      <c r="A69" s="127"/>
      <c r="B69" s="99" t="s">
        <v>9</v>
      </c>
      <c r="C69" s="128"/>
      <c r="D69" s="99" t="s">
        <v>10</v>
      </c>
      <c r="E69" s="99"/>
      <c r="F69" s="99"/>
      <c r="G69" s="99"/>
      <c r="H69" s="99"/>
      <c r="I69" s="99"/>
      <c r="J69" s="103"/>
      <c r="K69" s="103"/>
      <c r="L69" s="103"/>
      <c r="M69" s="103"/>
      <c r="N69" s="103"/>
      <c r="O69" s="103"/>
      <c r="P69" s="103"/>
      <c r="Q69" s="115"/>
      <c r="R69" s="110"/>
    </row>
    <row r="70" spans="1:18" s="102" customFormat="1" ht="11.25">
      <c r="A70" s="127"/>
      <c r="B70" s="99"/>
      <c r="C70" s="136"/>
      <c r="D70" s="99"/>
      <c r="E70" s="99"/>
      <c r="F70" s="99"/>
      <c r="G70" s="99"/>
      <c r="H70" s="99"/>
      <c r="I70" s="99"/>
      <c r="J70" s="103"/>
      <c r="K70" s="103"/>
      <c r="L70" s="103"/>
      <c r="M70" s="103"/>
      <c r="N70" s="103"/>
      <c r="O70" s="103"/>
      <c r="P70" s="103"/>
      <c r="Q70" s="115"/>
      <c r="R70" s="110"/>
    </row>
    <row r="71" spans="1:18" s="102" customFormat="1" ht="11.25">
      <c r="A71" s="437" t="s">
        <v>40</v>
      </c>
      <c r="B71" s="438"/>
      <c r="C71" s="438"/>
      <c r="D71" s="438"/>
      <c r="E71" s="97"/>
      <c r="F71" s="99"/>
      <c r="G71" s="99"/>
      <c r="H71" s="136"/>
      <c r="I71" s="99"/>
      <c r="J71" s="103"/>
      <c r="K71" s="103"/>
      <c r="L71" s="103"/>
      <c r="M71" s="103"/>
      <c r="N71" s="136"/>
      <c r="O71" s="136"/>
      <c r="P71" s="108"/>
      <c r="Q71" s="115"/>
      <c r="R71" s="110"/>
    </row>
    <row r="72" spans="1:18" s="102" customFormat="1" ht="12" thickBot="1">
      <c r="A72" s="435" t="s">
        <v>21</v>
      </c>
      <c r="B72" s="436"/>
      <c r="C72" s="154"/>
      <c r="D72" s="154"/>
      <c r="E72" s="154"/>
      <c r="F72" s="99"/>
      <c r="G72" s="99"/>
      <c r="H72" s="99"/>
      <c r="I72" s="99"/>
      <c r="J72" s="99"/>
      <c r="K72" s="99"/>
      <c r="L72" s="136"/>
      <c r="M72" s="99"/>
      <c r="N72" s="99"/>
      <c r="O72" s="99"/>
      <c r="P72" s="99"/>
      <c r="Q72" s="155"/>
      <c r="R72" s="156"/>
    </row>
    <row r="73" spans="1:18" s="102" customFormat="1" ht="20.25" thickBot="1">
      <c r="A73" s="127"/>
      <c r="B73" s="24" t="s">
        <v>23</v>
      </c>
      <c r="C73" s="128"/>
      <c r="D73" s="99" t="s">
        <v>15</v>
      </c>
      <c r="E73" s="99"/>
      <c r="F73" s="99" t="s">
        <v>22</v>
      </c>
      <c r="G73" s="136">
        <f>IF(OR(AND(C73=24,H74="5,000sf"),AND(C73=36,H75="5,000sf"),ISTEXT(N73)),"","(")</f>
      </c>
      <c r="H73" s="248"/>
      <c r="I73" s="99" t="s">
        <v>15</v>
      </c>
      <c r="J73" s="131">
        <f>IF(OR(AND(C73=24,H74="5,000sf"),AND(C73=36,H75="5,000sf"),ISTEXT(N73)),"",IF(OR(AND(C73=24,H74="5,000 - 10,000sf"),AND(C73=36,H75="5,000 - 10,000sf")),"-","÷"))</f>
      </c>
      <c r="K73" s="132">
        <f>IF($J$5="","",IF(C73="","",IF(H73="","",IF(C73=24,K74,IF(C73=36,K75)))))</f>
      </c>
      <c r="L73" s="133">
        <f>IF(OR(AND(C73=24,H74="5,000sf"),AND(C73=36,H75="5,000sf"),ISTEXT(N73)),"",IF(OR(AND(C73=24,H74="5,000 - 10,000sf"),AND(C73=36,H75="5,000 - 10,000sf")),")",")^"))</f>
      </c>
      <c r="M73" s="103">
        <f>IF(OR(AND(C73=24,H74="5,000sf"),AND(C73=36,H75="5,000sf"),ISTEXT(N73)),"",IF(OR(AND(C73=24,H74="5,000 - 10,000sf"),AND(C73=36,H75="5,000 - 10,000sf")),"÷","(1/"))</f>
      </c>
      <c r="N73" s="132" t="str">
        <f>IF($J$5="","Select Standard",IF(C73="","Select Max Head",IF(H73="","Enter Length",IF(C73=24,N74,IF(C73=36,N75)))))</f>
        <v>Select Standard</v>
      </c>
      <c r="O73" s="157">
        <f>IF(OR(AND(C73=24,H74="5,000sf"),AND(C73=36,H75="5,000sf"),ISTEXT(N73)),"",IF(OR(AND(C73=24,H74="5,000 - 10,000sf"),AND(C73=36,H75="5,000 - 10,000sf")),"",")"))</f>
      </c>
      <c r="P73" s="108" t="s">
        <v>26</v>
      </c>
      <c r="Q73" s="139">
        <f>IF(OR(H73="",ISTEXT(N73)),"",IF(OR(AND(C73=24,H74="5,000sf"),AND(C73=36,H75="5,000sf")),5000,IF(OR(AND(C73=24,H74="5,000 - 10,000sf"),AND(C73=36,H75="5,000 - 10,000sf")),(H73-K73)/N73,POWER(H73/K73,1/N73))))</f>
      </c>
      <c r="R73" s="110" t="s">
        <v>0</v>
      </c>
    </row>
    <row r="74" spans="1:18" s="102" customFormat="1" ht="13.5" customHeight="1" hidden="1">
      <c r="A74" s="127"/>
      <c r="B74" s="140"/>
      <c r="C74" s="140">
        <v>24</v>
      </c>
      <c r="D74" s="140" t="s">
        <v>124</v>
      </c>
      <c r="E74" s="140"/>
      <c r="F74" s="141" t="s">
        <v>123</v>
      </c>
      <c r="G74" s="141"/>
      <c r="H74" s="141" t="str">
        <f>IF(AND(OR($J$5="Pre-developed Pasture Standard",$J$5="Pre-developed Pasture and Peak Flow Control Standards"),H73&lt;X!E71),"&lt;5,000sf",IF(AND($J$5="Peak Flow Control Standard",H73&lt;X!F70),"&lt;5,000sf",IF(AND(OR($J$5="Pre-developed Pasture Standard",$J$5="Pre-developed Pasture and Peak Flow Control Standards"),H73&gt;=X!E71,H73&lt;X!E70),"5,000sf",IF(AND($J$5="Peak Flow Control Standard",H73&gt;=X!F70,H73&lt;X!F71),"5,000sf","5,000 - 10,000sf"))))</f>
        <v>5,000 - 10,000sf</v>
      </c>
      <c r="I74" s="140"/>
      <c r="J74" s="142"/>
      <c r="K74" s="142">
        <f>IF(H74="5,000sf","---&gt;",VLOOKUP(H74,X!D70:J71,IF(OR($J$5="Pre-developed Pasture Standard",$J$5="Pre-developed Pasture and Peak Flow Control Standards"),4,6)))</f>
        <v>-314</v>
      </c>
      <c r="L74" s="142"/>
      <c r="M74" s="142"/>
      <c r="N74" s="142">
        <f>IF(H74="5,000sf",5000,VLOOKUP(H74,X!D70:J71,IF(OR($J$5="Pre-developed Pasture Standard",$J$5="Pre-developed Pasture and Peak Flow Control Standards"),5,7)))</f>
        <v>0.123</v>
      </c>
      <c r="O74" s="141"/>
      <c r="P74" s="144"/>
      <c r="Q74" s="145"/>
      <c r="R74" s="110"/>
    </row>
    <row r="75" spans="1:18" s="102" customFormat="1" ht="13.5" customHeight="1" hidden="1">
      <c r="A75" s="127"/>
      <c r="B75" s="140"/>
      <c r="C75" s="140">
        <v>36</v>
      </c>
      <c r="D75" s="140" t="s">
        <v>124</v>
      </c>
      <c r="E75" s="140"/>
      <c r="F75" s="141" t="s">
        <v>123</v>
      </c>
      <c r="G75" s="141"/>
      <c r="H75" s="141" t="str">
        <f>IF(AND(OR($J$5="Pre-developed Pasture Standard",$J$5="Pre-developed Pasture and Peak Flow Control Standards"),H73&lt;X!E73),"&lt;5,000sf",IF(AND(OR($J$5="Pre-developed Pasture Standard",$J$5="Pre-developed Pasture and Peak Flow Control Standards"),H73&gt;=X!E73,H73&lt;X!E72),"5,000sf",IF(AND($J$5="Peak Flow Control Standard",H73&lt;X!F73),"&lt;5,000sf",IF(AND($J$5="Peak Flow Control Standard",H73=X!F73),"5,000sf","5,000 - 10,000sf"))))</f>
        <v>5,000 - 10,000sf</v>
      </c>
      <c r="I75" s="140"/>
      <c r="J75" s="142"/>
      <c r="K75" s="142">
        <f>IF(H75="5,000sf","---&gt;",VLOOKUP(H75,X!D72:J73,IF(OR($J$5="Pre-developed Pasture Standard",$J$5="Pre-developed Pasture and Peak Flow Control Standards"),4,6)))</f>
        <v>-167</v>
      </c>
      <c r="L75" s="142"/>
      <c r="M75" s="142"/>
      <c r="N75" s="142">
        <f>IF(H75="5,000sf",5000,VLOOKUP(H75,X!D72:J73,IF(OR($J$5="Pre-developed Pasture Standard",$J$5="Pre-developed Pasture and Peak Flow Control Standards"),5,7)))</f>
        <v>0.0546</v>
      </c>
      <c r="O75" s="141"/>
      <c r="P75" s="144"/>
      <c r="Q75" s="145"/>
      <c r="R75" s="110"/>
    </row>
    <row r="76" spans="1:18" s="102" customFormat="1" ht="11.25">
      <c r="A76" s="127"/>
      <c r="B76" s="158"/>
      <c r="C76" s="136"/>
      <c r="D76" s="112"/>
      <c r="E76" s="112"/>
      <c r="F76" s="99"/>
      <c r="G76" s="99"/>
      <c r="H76" s="99"/>
      <c r="I76" s="99"/>
      <c r="J76" s="99"/>
      <c r="K76" s="159"/>
      <c r="L76" s="136"/>
      <c r="M76" s="99"/>
      <c r="N76" s="103"/>
      <c r="O76" s="99"/>
      <c r="P76" s="99"/>
      <c r="Q76" s="160"/>
      <c r="R76" s="374">
        <f>IF(Q73&lt;2000,"min contributing area is 2,000 sf","")</f>
      </c>
    </row>
    <row r="77" spans="1:18" s="102" customFormat="1" ht="12" thickBot="1">
      <c r="A77" s="435" t="s">
        <v>20</v>
      </c>
      <c r="B77" s="436"/>
      <c r="C77" s="154"/>
      <c r="D77" s="154"/>
      <c r="E77" s="154"/>
      <c r="F77" s="112"/>
      <c r="G77" s="112"/>
      <c r="H77" s="112"/>
      <c r="I77" s="112"/>
      <c r="J77" s="146"/>
      <c r="K77" s="146"/>
      <c r="L77" s="161"/>
      <c r="M77" s="146"/>
      <c r="N77" s="112"/>
      <c r="O77" s="112"/>
      <c r="P77" s="112"/>
      <c r="Q77" s="155"/>
      <c r="R77" s="156"/>
    </row>
    <row r="78" spans="1:18" s="102" customFormat="1" ht="20.25" thickBot="1">
      <c r="A78" s="127"/>
      <c r="B78" s="43" t="s">
        <v>23</v>
      </c>
      <c r="C78" s="128"/>
      <c r="D78" s="99" t="s">
        <v>15</v>
      </c>
      <c r="E78" s="99"/>
      <c r="F78" s="99" t="s">
        <v>24</v>
      </c>
      <c r="G78" s="136">
        <f>IF(OR(AND(C78=3,H79="5,000sf"),AND(C78=4,H80="5,000sf"),AND(C78=4,H80="NA"),ISTEXT(N78)),"","(")</f>
      </c>
      <c r="H78" s="248"/>
      <c r="I78" s="99" t="s">
        <v>0</v>
      </c>
      <c r="J78" s="131">
        <f>IF(OR(AND(C78=3,H79="5,000sf"),AND(C78=4,H80="5,000sf"),AND(C78=4,H80="NA"),ISTEXT(N78)),"",IF(OR(AND(C78=3,H79="5,000 - 10,000sf"),AND(C78=4,H80="5,000 - 10,000sf")),"-","÷"))</f>
      </c>
      <c r="K78" s="132">
        <f>IF($J$5="","",IF(C78="","",IF(H78="","",IF(C78=3,K79,IF(C78=4,K80)))))</f>
      </c>
      <c r="L78" s="133">
        <f>IF(OR(AND(C78=3,H79="5,000sf"),AND(C78=4,H80="5,000sf"),AND(C78=4,H80="NA"),ISTEXT(N78)),"",IF(OR(AND(C78=3,H79="5,000 - 10,000sf"),AND(C78=4,H80="5,000 - 10,000sf")),")",")^"))</f>
      </c>
      <c r="M78" s="103">
        <f>IF(OR(AND(C78=3,H79="5,000sf"),AND(C78=4,H80="5,000sf"),AND(C78=4,H80="NA"),ISTEXT(N78)),"",IF(OR(AND(C78=3,H79="5,000 - 10,000sf"),AND(C78=4,H80="5,000 - 10,000sf")),"÷","(1/"))</f>
      </c>
      <c r="N78" s="132" t="str">
        <f>IF($J$5="","Select Standard",IF(C78="","Select Max Head",IF(H78="","Enter Length",IF(C78=3,N79,IF(C78=4,N80)))))</f>
        <v>Select Standard</v>
      </c>
      <c r="O78" s="157">
        <f>IF(OR(AND(C78=3,H79="5,000sf"),AND(C78=4,H80="5,000sf"),AND(C78=4,H80="NA"),ISTEXT(N78)),"",IF(OR(AND(C78=3,H79="5,000 - 10,000sf"),AND(C78=4,H80="5,000 - 10,000sf")),"",")"))</f>
      </c>
      <c r="P78" s="108" t="s">
        <v>26</v>
      </c>
      <c r="Q78" s="139">
        <f>IF(OR(H78="",ISTEXT(N78)),"",IF(OR(AND(C78=3,H79="5,000sf"),AND(C78=4,H80="5,000sf")),5000,IF(OR(AND(C78=3,H79="5,000 - 10,000sf"),AND(C78=4,H80="5,000 - 10,000sf")),(H78-K78)/N78,POWER(H78/K78,1/N78))))</f>
      </c>
      <c r="R78" s="110" t="s">
        <v>0</v>
      </c>
    </row>
    <row r="79" spans="1:18" s="102" customFormat="1" ht="13.5" customHeight="1" hidden="1">
      <c r="A79" s="127"/>
      <c r="B79" s="140"/>
      <c r="C79" s="140">
        <v>3</v>
      </c>
      <c r="D79" s="140" t="s">
        <v>126</v>
      </c>
      <c r="E79" s="140"/>
      <c r="F79" s="141" t="s">
        <v>123</v>
      </c>
      <c r="G79" s="141"/>
      <c r="H79" s="141" t="str">
        <f>IF(AND(OR($J$5="Pre-developed Pasture Standard",$J$5="Pre-developed Pasture and Peak Flow Control Standards"),H78&lt;X!E75),"&lt;5,000sf",IF(AND($J$5="Peak Flow Control Standard",H78&lt;X!F74),"&lt;5,000sf",IF(AND(OR($J$5="Pre-developed Pasture Standard",$J$5="Pre-developed Pasture and Peak Flow Control Standards"),H78&gt;=X!E75,H78&lt;X!E74),"5,000sf",IF(AND($J$5="Peak Flow Control Standard",H78&gt;=X!F74,H78&lt;X!F75),"5,000sf","5,000 - 10,000sf"))))</f>
        <v>5,000 - 10,000sf</v>
      </c>
      <c r="I79" s="140"/>
      <c r="J79" s="142"/>
      <c r="K79" s="142">
        <f>IF(H79="5,000sf","---&gt;",VLOOKUP(H79,X!D74:J75,IF(OR($J$5="Pre-developed Pasture Standard",$J$5="Pre-developed Pasture and Peak Flow Control Standards"),4,6)))</f>
        <v>-130</v>
      </c>
      <c r="L79" s="142"/>
      <c r="M79" s="142"/>
      <c r="N79" s="142">
        <f>IF(H79="5,000sf",5000,VLOOKUP(H79,X!D74:J75,IF(OR($J$5="Pre-developed Pasture Standard",$J$5="Pre-developed Pasture and Peak Flow Control Standards"),5,7)))</f>
        <v>0.07</v>
      </c>
      <c r="O79" s="141"/>
      <c r="P79" s="144"/>
      <c r="Q79" s="145"/>
      <c r="R79" s="110"/>
    </row>
    <row r="80" spans="1:18" s="102" customFormat="1" ht="13.5" customHeight="1" hidden="1">
      <c r="A80" s="127"/>
      <c r="B80" s="140"/>
      <c r="C80" s="140">
        <v>4</v>
      </c>
      <c r="D80" s="140" t="s">
        <v>126</v>
      </c>
      <c r="E80" s="140"/>
      <c r="F80" s="141" t="s">
        <v>123</v>
      </c>
      <c r="G80" s="141"/>
      <c r="H80" s="141" t="str">
        <f>IF(OR($J$5="Pre-developed Pasture Standard",$J$5="Pre-developed Pasture and Peak Flow Control Standards"),"NA",IF(AND($J$5="Peak Flow Control Standard",H78&lt;X!F76),"&lt;5,000sf",IF(AND($J$5="Peak Flow Control Standard",H78&gt;=X!F76,H78&lt;X!F77),"5,000sf","5,000 - 10,000sf")))</f>
        <v>5,000 - 10,000sf</v>
      </c>
      <c r="I80" s="140"/>
      <c r="J80" s="142"/>
      <c r="K80" s="142">
        <f>IF(H80="5,000sf","---&gt;",VLOOKUP(H80,X!D76:J77,IF(OR($J$5="Pre-developed Pasture Standard",$J$5="Pre-developed Pasture and Peak Flow Control Standards"),4,6)))</f>
        <v>-98</v>
      </c>
      <c r="L80" s="142"/>
      <c r="M80" s="142"/>
      <c r="N80" s="142">
        <f>IF(H80="5,000sf",5000,VLOOKUP(H80,X!D76:J77,IF(OR($J$5="Pre-developed Pasture Standard",$J$5="Pre-developed Pasture and Peak Flow Control Standards"),5,7)))</f>
        <v>0.0508</v>
      </c>
      <c r="O80" s="141"/>
      <c r="P80" s="144"/>
      <c r="Q80" s="145"/>
      <c r="R80" s="110"/>
    </row>
    <row r="81" spans="1:18" s="102" customFormat="1" ht="11.25">
      <c r="A81" s="127"/>
      <c r="B81" s="158"/>
      <c r="C81" s="154"/>
      <c r="D81" s="154"/>
      <c r="E81" s="154"/>
      <c r="F81" s="99"/>
      <c r="G81" s="99"/>
      <c r="H81" s="99"/>
      <c r="I81" s="99"/>
      <c r="J81" s="103"/>
      <c r="K81" s="159"/>
      <c r="L81" s="103"/>
      <c r="M81" s="103"/>
      <c r="N81" s="103">
        <f>IF(K78="NA","Must use 3 ft Head","")</f>
      </c>
      <c r="O81" s="112"/>
      <c r="P81" s="112"/>
      <c r="Q81" s="160"/>
      <c r="R81" s="374">
        <f>IF(Q78&lt;2000,"min contributing area is 2,000 sf","")</f>
      </c>
    </row>
    <row r="82" spans="1:18" s="102" customFormat="1" ht="12" thickBot="1">
      <c r="A82" s="435" t="s">
        <v>207</v>
      </c>
      <c r="B82" s="436"/>
      <c r="C82" s="436"/>
      <c r="D82" s="436"/>
      <c r="E82" s="93"/>
      <c r="F82" s="99"/>
      <c r="G82" s="99"/>
      <c r="H82" s="99"/>
      <c r="I82" s="99"/>
      <c r="J82" s="103"/>
      <c r="K82" s="103"/>
      <c r="L82" s="103"/>
      <c r="M82" s="103"/>
      <c r="N82" s="103"/>
      <c r="O82" s="103"/>
      <c r="P82" s="103"/>
      <c r="Q82" s="115"/>
      <c r="R82" s="110"/>
    </row>
    <row r="83" spans="1:18" s="102" customFormat="1" ht="20.25" thickBot="1">
      <c r="A83" s="127"/>
      <c r="B83" s="24" t="s">
        <v>23</v>
      </c>
      <c r="C83" s="128"/>
      <c r="D83" s="99" t="s">
        <v>15</v>
      </c>
      <c r="E83" s="99"/>
      <c r="F83" s="99" t="s">
        <v>14</v>
      </c>
      <c r="G83" s="136">
        <f>IF(ISTEXT(N83),"",IF(OR($J$5="Peak Flow Control Standard",AND(C83=3,H84="&lt;6,140sf")),"(",IF(AND(C83=3,H84="&gt;8,000sf"),"(","")))</f>
      </c>
      <c r="H83" s="377"/>
      <c r="I83" s="99" t="s">
        <v>0</v>
      </c>
      <c r="J83" s="131">
        <f>IF(ISTEXT(N83),"",IF(OR($J$5="Peak Flow Control Standard",AND(C83=3,H84="&lt;6,140sf")),"÷",IF(AND(C83=3,H84="&gt;8,000sf"),"-","")))</f>
      </c>
      <c r="K83" s="132">
        <f>IF($J$5="","",IF(C83="","",IF(H83="","",IF(C83=3,K84,IF(C83=4,K85)))))</f>
      </c>
      <c r="L83" s="137">
        <f>IF(ISTEXT(N83),"",IF(OR($J$5="Peak Flow Control Standard",AND(C83=3,H84="&lt;6,140sf")),")^",IF(AND(C83=3,H84="&gt;8,000sf"),")","")))</f>
      </c>
      <c r="M83" s="103">
        <f>IF(ISTEXT(N83),"",IF(OR($J$5="Peak Flow Control Standard",AND(C83=3,H84="&lt;6,140sf")),"(1/",IF(AND(C83=3,H84="&gt;8,000sf"),"÷","")))</f>
      </c>
      <c r="N83" s="132" t="str">
        <f>IF($J$5="","Select Standard",IF(C83="","Select Max Head",IF(H83="","Enter Area",IF(C83=3,N84,IF(C83=4,N85)))))</f>
        <v>Select Standard</v>
      </c>
      <c r="O83" s="138">
        <f>IF(ISTEXT(N83),"",IF(OR($J$5="Peak Flow Control Standard",AND(C83=3,H84="&lt;6,140sf")),")",IF(AND(C83=3,H84="&gt;8,000sf"),"","")))</f>
      </c>
      <c r="P83" s="108" t="s">
        <v>26</v>
      </c>
      <c r="Q83" s="139">
        <f>IF(OR(H83="",ISTEXT(N83)),"",IF(AND(OR($J$5="Pre-developed Pasture Standard",$J$5="Pre-developed Pasture and Peak Flow Control Standards"),C83=3,H83=760),8000,IF(OR($J$5="Peak Flow Control Standard",AND(C83=3,H84="&lt;6,140sf")),POWER((H83/K83),(1/N83)),IF(AND(C83=3,H84="&gt;8,000sf"),(H83-K83)/N83,""))))</f>
      </c>
      <c r="R83" s="110" t="s">
        <v>0</v>
      </c>
    </row>
    <row r="84" spans="1:18" s="102" customFormat="1" ht="13.5" customHeight="1" hidden="1">
      <c r="A84" s="127"/>
      <c r="B84" s="140"/>
      <c r="C84" s="140">
        <v>3</v>
      </c>
      <c r="D84" s="140" t="s">
        <v>126</v>
      </c>
      <c r="E84" s="140"/>
      <c r="F84" s="141" t="s">
        <v>123</v>
      </c>
      <c r="G84" s="141"/>
      <c r="H84" s="141" t="b">
        <f>IF($J$5="Peak Flow Control Standard","NA",IF(AND(OR($J$5="Pre-developed Pasture Standard",$J$5="Pre-developed Pasture and Peak Flow Control Standards"),C83=4),"NA",IF(AND(OR($J$5="Pre-developed Pasture Standard",$J$5="Pre-developed Pasture and Peak Flow Control Standards"),C83=3),IF(H83&lt;760,"&lt;6,140sf",IF(H83=760,"6,140 - 8,000sf",IF(H83&gt;760,"&gt;8,000sf",""))))))</f>
        <v>0</v>
      </c>
      <c r="I84" s="140"/>
      <c r="J84" s="142"/>
      <c r="K84" s="143" t="e">
        <f>IF(H84="NA",X!I78,IF(H84="6,140 - 8,000sf","---&gt;",VLOOKUP(H84,X!D78:H81,4)))</f>
        <v>#N/A</v>
      </c>
      <c r="L84" s="142"/>
      <c r="M84" s="142"/>
      <c r="N84" s="142" t="e">
        <f>IF(H84="NA",X!J78,VLOOKUP(H84,X!D78:H81,5))</f>
        <v>#N/A</v>
      </c>
      <c r="O84" s="141"/>
      <c r="P84" s="144"/>
      <c r="Q84" s="145"/>
      <c r="R84" s="110"/>
    </row>
    <row r="85" spans="1:18" s="102" customFormat="1" ht="13.5" customHeight="1" hidden="1">
      <c r="A85" s="127"/>
      <c r="B85" s="140"/>
      <c r="C85" s="140">
        <v>4</v>
      </c>
      <c r="D85" s="140" t="s">
        <v>126</v>
      </c>
      <c r="E85" s="140"/>
      <c r="F85" s="141" t="s">
        <v>123</v>
      </c>
      <c r="G85" s="141"/>
      <c r="H85" s="141" t="s">
        <v>18</v>
      </c>
      <c r="I85" s="140"/>
      <c r="J85" s="142"/>
      <c r="K85" s="142">
        <f>IF(AND(OR($J$5="Pre-developed Pasture Standard",$J$5="Pre-developed Pasture and Peak Flow Control Standards"),C83=4),VLOOKUP(H85,X!D78:J81,4),VLOOKUP(H85,X!D78:J81,6))</f>
        <v>0.000417</v>
      </c>
      <c r="L85" s="142"/>
      <c r="M85" s="142"/>
      <c r="N85" s="142">
        <f>IF(AND(OR($J$5="Pre-developed Pasture Standard",$J$5="Pre-developed Pasture and Peak Flow Control Standards"),C83=4),VLOOKUP(H85,X!D78:J81,5),VLOOKUP(H85,X!D78:J81,7))</f>
        <v>1.58</v>
      </c>
      <c r="O85" s="141"/>
      <c r="P85" s="144"/>
      <c r="Q85" s="145"/>
      <c r="R85" s="110"/>
    </row>
    <row r="86" spans="1:19" s="102" customFormat="1" ht="11.25">
      <c r="A86" s="167"/>
      <c r="B86" s="168"/>
      <c r="C86" s="168"/>
      <c r="D86" s="168"/>
      <c r="E86" s="168"/>
      <c r="F86" s="168"/>
      <c r="G86" s="168"/>
      <c r="H86" s="168"/>
      <c r="I86" s="168"/>
      <c r="J86" s="169"/>
      <c r="K86" s="169"/>
      <c r="L86" s="169"/>
      <c r="M86" s="169"/>
      <c r="N86" s="123">
        <f>IF(K83="NA","Must use 3 ft Head","")</f>
      </c>
      <c r="O86" s="123"/>
      <c r="P86" s="123"/>
      <c r="Q86" s="109"/>
      <c r="R86" s="170"/>
      <c r="S86" s="162"/>
    </row>
    <row r="87" spans="1:19" s="102" customFormat="1" ht="6" customHeight="1">
      <c r="A87" s="171"/>
      <c r="B87" s="172"/>
      <c r="C87" s="172"/>
      <c r="D87" s="172"/>
      <c r="E87" s="172"/>
      <c r="F87" s="172"/>
      <c r="G87" s="172"/>
      <c r="H87" s="172"/>
      <c r="I87" s="172"/>
      <c r="J87" s="173"/>
      <c r="K87" s="173"/>
      <c r="L87" s="173"/>
      <c r="M87" s="173"/>
      <c r="N87" s="100"/>
      <c r="O87" s="100"/>
      <c r="P87" s="100"/>
      <c r="Q87" s="166"/>
      <c r="R87" s="101"/>
      <c r="S87" s="162"/>
    </row>
    <row r="88" spans="1:18" s="13" customFormat="1" ht="12.75">
      <c r="A88" s="444" t="s">
        <v>41</v>
      </c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20"/>
      <c r="P88" s="20"/>
      <c r="Q88" s="35">
        <f>SUM(Q64:Q85)</f>
        <v>0</v>
      </c>
      <c r="R88" s="40" t="s">
        <v>0</v>
      </c>
    </row>
    <row r="89" spans="1:18" s="13" customFormat="1" ht="6" customHeight="1" thickBot="1">
      <c r="A89" s="54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86"/>
      <c r="R89" s="87"/>
    </row>
    <row r="90" spans="1:18" s="13" customFormat="1" ht="6" customHeight="1">
      <c r="A90" s="2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74"/>
      <c r="R90" s="40"/>
    </row>
    <row r="91" spans="1:18" s="13" customFormat="1" ht="12.75">
      <c r="A91" s="444" t="s">
        <v>42</v>
      </c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20"/>
      <c r="P91" s="20"/>
      <c r="Q91" s="35">
        <f>SUM(Q57,Q88)</f>
        <v>0</v>
      </c>
      <c r="R91" s="40" t="s">
        <v>0</v>
      </c>
    </row>
    <row r="92" spans="1:18" s="13" customFormat="1" ht="12.75" customHeight="1">
      <c r="A92" s="444" t="s">
        <v>199</v>
      </c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20"/>
      <c r="P92" s="20"/>
      <c r="Q92" s="399">
        <f>Q58</f>
      </c>
      <c r="R92" s="40" t="s">
        <v>109</v>
      </c>
    </row>
    <row r="93" spans="1:19" s="13" customFormat="1" ht="6" customHeight="1">
      <c r="A93" s="45"/>
      <c r="B93" s="21"/>
      <c r="C93" s="21"/>
      <c r="D93" s="21"/>
      <c r="E93" s="21"/>
      <c r="F93" s="21"/>
      <c r="G93" s="390"/>
      <c r="H93" s="390"/>
      <c r="I93" s="390"/>
      <c r="J93" s="390"/>
      <c r="K93" s="390"/>
      <c r="L93" s="390"/>
      <c r="M93" s="390"/>
      <c r="N93" s="163"/>
      <c r="O93" s="390"/>
      <c r="P93" s="390"/>
      <c r="Q93" s="392"/>
      <c r="R93" s="391"/>
      <c r="S93" s="17"/>
    </row>
    <row r="94" spans="1:18" s="13" customFormat="1" ht="12.75">
      <c r="A94" s="451" t="s">
        <v>192</v>
      </c>
      <c r="B94" s="452"/>
      <c r="C94" s="452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20"/>
      <c r="P94" s="20"/>
      <c r="Q94" s="361">
        <f>Q12</f>
      </c>
      <c r="R94" s="40"/>
    </row>
    <row r="95" spans="1:18" ht="13.5" thickBot="1">
      <c r="A95" s="5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2"/>
      <c r="P95" s="32"/>
      <c r="Q95" s="34"/>
      <c r="R95" s="44"/>
    </row>
    <row r="96" spans="1:18" ht="12.75">
      <c r="A96" s="448" t="s">
        <v>34</v>
      </c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20"/>
      <c r="P96" s="30"/>
      <c r="Q96" s="24"/>
      <c r="R96" s="43"/>
    </row>
    <row r="97" spans="1:18" ht="12.75">
      <c r="A97" s="47" t="s">
        <v>48</v>
      </c>
      <c r="B97" s="20"/>
      <c r="C97" s="20"/>
      <c r="D97" s="55" t="s">
        <v>99</v>
      </c>
      <c r="E97" s="48"/>
      <c r="F97" s="48" t="s">
        <v>101</v>
      </c>
      <c r="G97" s="20"/>
      <c r="H97" s="55" t="s">
        <v>179</v>
      </c>
      <c r="I97" s="20"/>
      <c r="J97" s="20"/>
      <c r="K97" s="55"/>
      <c r="L97" s="20"/>
      <c r="M97" s="20"/>
      <c r="N97" s="20"/>
      <c r="O97" s="20"/>
      <c r="P97" s="30"/>
      <c r="Q97" s="24"/>
      <c r="R97" s="43"/>
    </row>
    <row r="98" spans="1:18" ht="12.75">
      <c r="A98" s="47" t="s">
        <v>110</v>
      </c>
      <c r="B98" s="21"/>
      <c r="C98" s="21"/>
      <c r="D98" s="55" t="s">
        <v>100</v>
      </c>
      <c r="E98" s="48"/>
      <c r="F98" s="48" t="s">
        <v>102</v>
      </c>
      <c r="G98" s="21"/>
      <c r="H98" s="55" t="s">
        <v>197</v>
      </c>
      <c r="I98" s="21"/>
      <c r="J98" s="48"/>
      <c r="K98" s="38"/>
      <c r="L98" s="38"/>
      <c r="M98" s="38"/>
      <c r="N98" s="21"/>
      <c r="O98" s="21"/>
      <c r="P98" s="21"/>
      <c r="Q98" s="21"/>
      <c r="R98" s="89"/>
    </row>
    <row r="99" spans="1:18" ht="12.75">
      <c r="A99" s="47" t="s">
        <v>196</v>
      </c>
      <c r="B99" s="21"/>
      <c r="C99" s="21"/>
      <c r="D99" s="55"/>
      <c r="E99" s="48"/>
      <c r="F99" s="48"/>
      <c r="G99" s="21"/>
      <c r="H99" s="55"/>
      <c r="I99" s="21"/>
      <c r="J99" s="38"/>
      <c r="K99" s="38"/>
      <c r="L99" s="38"/>
      <c r="M99" s="38"/>
      <c r="N99" s="21"/>
      <c r="O99" s="21"/>
      <c r="P99" s="21"/>
      <c r="Q99" s="21"/>
      <c r="R99" s="89"/>
    </row>
    <row r="100" spans="1:18" s="102" customFormat="1" ht="11.25">
      <c r="A100" s="47" t="s">
        <v>134</v>
      </c>
      <c r="B100" s="112"/>
      <c r="C100" s="112"/>
      <c r="D100" s="48"/>
      <c r="E100" s="48"/>
      <c r="F100" s="48"/>
      <c r="G100" s="112"/>
      <c r="H100" s="112"/>
      <c r="I100" s="112"/>
      <c r="J100" s="146"/>
      <c r="K100" s="146"/>
      <c r="L100" s="146"/>
      <c r="M100" s="146"/>
      <c r="N100" s="112"/>
      <c r="O100" s="112"/>
      <c r="P100" s="112"/>
      <c r="Q100" s="112"/>
      <c r="R100" s="110"/>
    </row>
    <row r="101" spans="1:18" s="102" customFormat="1" ht="12.75" customHeight="1" thickBot="1">
      <c r="A101" s="46" t="s">
        <v>165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7"/>
      <c r="O101" s="147"/>
      <c r="P101" s="147"/>
      <c r="Q101" s="147"/>
      <c r="R101" s="149" t="s">
        <v>132</v>
      </c>
    </row>
    <row r="104" spans="12:16" ht="12.75">
      <c r="L104" s="17"/>
      <c r="M104" s="17"/>
      <c r="P104" s="17"/>
    </row>
  </sheetData>
  <sheetProtection password="C6E4" sheet="1" objects="1" scenarios="1" selectLockedCells="1"/>
  <protectedRanges>
    <protectedRange sqref="H18:H19 H21:H22 H24:H26 H28 D15:E16 H15:H16" name="Flow Control Credits"/>
  </protectedRanges>
  <mergeCells count="48">
    <mergeCell ref="A38:D38"/>
    <mergeCell ref="A52:D52"/>
    <mergeCell ref="A92:N92"/>
    <mergeCell ref="A58:N58"/>
    <mergeCell ref="A94:N94"/>
    <mergeCell ref="A61:D61"/>
    <mergeCell ref="A62:D62"/>
    <mergeCell ref="A91:N91"/>
    <mergeCell ref="A82:D82"/>
    <mergeCell ref="A22:D22"/>
    <mergeCell ref="A49:D49"/>
    <mergeCell ref="F36:I36"/>
    <mergeCell ref="A42:D42"/>
    <mergeCell ref="A44:D44"/>
    <mergeCell ref="A39:D39"/>
    <mergeCell ref="A45:D45"/>
    <mergeCell ref="A43:D43"/>
    <mergeCell ref="A48:D48"/>
    <mergeCell ref="A47:D47"/>
    <mergeCell ref="A9:N9"/>
    <mergeCell ref="A8:N8"/>
    <mergeCell ref="A20:D20"/>
    <mergeCell ref="A19:D19"/>
    <mergeCell ref="A21:D21"/>
    <mergeCell ref="A32:D32"/>
    <mergeCell ref="A23:D23"/>
    <mergeCell ref="A25:D25"/>
    <mergeCell ref="A26:D26"/>
    <mergeCell ref="A27:D27"/>
    <mergeCell ref="A96:N96"/>
    <mergeCell ref="A57:N57"/>
    <mergeCell ref="A72:B72"/>
    <mergeCell ref="A77:B77"/>
    <mergeCell ref="A67:D67"/>
    <mergeCell ref="A71:D71"/>
    <mergeCell ref="A88:N88"/>
    <mergeCell ref="A59:N59"/>
    <mergeCell ref="A63:D63"/>
    <mergeCell ref="N3:Q3"/>
    <mergeCell ref="A3:K3"/>
    <mergeCell ref="A41:D41"/>
    <mergeCell ref="A40:D40"/>
    <mergeCell ref="A35:D35"/>
    <mergeCell ref="A16:D16"/>
    <mergeCell ref="J5:Q5"/>
    <mergeCell ref="A5:H5"/>
    <mergeCell ref="A7:N7"/>
    <mergeCell ref="A15:D15"/>
  </mergeCells>
  <dataValidations count="12">
    <dataValidation type="list" allowBlank="1" showInputMessage="1" showErrorMessage="1" sqref="C73">
      <formula1>Pipe</formula1>
    </dataValidation>
    <dataValidation type="list" allowBlank="1" showInputMessage="1" showErrorMessage="1" sqref="C78">
      <formula1>Vault</formula1>
    </dataValidation>
    <dataValidation type="list" allowBlank="1" showInputMessage="1" showErrorMessage="1" sqref="C83">
      <formula1>Cistern</formula1>
    </dataValidation>
    <dataValidation type="list" allowBlank="1" showInputMessage="1" showErrorMessage="1" sqref="C69 C65 C54 C34 C29">
      <formula1>Infilt</formula1>
    </dataValidation>
    <dataValidation type="list" allowBlank="1" showInputMessage="1" showErrorMessage="1" sqref="C64">
      <formula1>Trench</formula1>
    </dataValidation>
    <dataValidation type="list" allowBlank="1" showInputMessage="1" showErrorMessage="1" sqref="C68">
      <formula1>Drywell</formula1>
    </dataValidation>
    <dataValidation type="list" showInputMessage="1" showErrorMessage="1" sqref="C28">
      <formula1>Bioret</formula1>
    </dataValidation>
    <dataValidation type="list" allowBlank="1" showInputMessage="1" showErrorMessage="1" sqref="C33">
      <formula1>PPFacility</formula1>
    </dataValidation>
    <dataValidation type="list" allowBlank="1" showInputMessage="1" showErrorMessage="1" sqref="J5">
      <formula1>Standards</formula1>
    </dataValidation>
    <dataValidation type="list" allowBlank="1" showInputMessage="1" showErrorMessage="1" sqref="C50">
      <formula1>Planter</formula1>
    </dataValidation>
    <dataValidation type="list" allowBlank="1" showInputMessage="1" showErrorMessage="1" sqref="C53">
      <formula1>BioretDet</formula1>
    </dataValidation>
    <dataValidation type="list" allowBlank="1" showInputMessage="1" showErrorMessage="1" sqref="N3">
      <formula1>ProjectFC</formula1>
    </dataValidation>
  </dataValidations>
  <printOptions horizontalCentered="1"/>
  <pageMargins left="0.8" right="0.8" top="0.75" bottom="0.5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pane ySplit="11" topLeftCell="A12" activePane="bottomLeft" state="frozen"/>
      <selection pane="topLeft" activeCell="C32" sqref="C32"/>
      <selection pane="bottomLeft" activeCell="Q3" sqref="Q3"/>
    </sheetView>
  </sheetViews>
  <sheetFormatPr defaultColWidth="9.140625" defaultRowHeight="12.75"/>
  <cols>
    <col min="1" max="1" width="3.7109375" style="17" customWidth="1"/>
    <col min="2" max="2" width="16.7109375" style="17" customWidth="1"/>
    <col min="3" max="4" width="9.7109375" style="17" customWidth="1"/>
    <col min="5" max="5" width="2.7109375" style="17" customWidth="1"/>
    <col min="6" max="6" width="21.00390625" style="17" customWidth="1"/>
    <col min="7" max="7" width="1.57421875" style="17" bestFit="1" customWidth="1"/>
    <col min="8" max="8" width="9.7109375" style="17" customWidth="1"/>
    <col min="9" max="9" width="3.7109375" style="17" customWidth="1"/>
    <col min="10" max="10" width="3.7109375" style="18" customWidth="1"/>
    <col min="11" max="11" width="8.28125" style="18" customWidth="1"/>
    <col min="12" max="12" width="2.28125" style="18" bestFit="1" customWidth="1"/>
    <col min="13" max="13" width="3.7109375" style="18" customWidth="1"/>
    <col min="14" max="14" width="14.8515625" style="17" customWidth="1"/>
    <col min="15" max="15" width="3.421875" style="17" customWidth="1"/>
    <col min="16" max="16" width="3.140625" style="13" customWidth="1"/>
    <col min="17" max="17" width="12.7109375" style="17" customWidth="1"/>
    <col min="18" max="18" width="3.7109375" style="17" customWidth="1"/>
    <col min="19" max="16384" width="9.140625" style="17" customWidth="1"/>
  </cols>
  <sheetData>
    <row r="1" spans="1:18" ht="15.75" thickBot="1">
      <c r="A1" s="249" t="s">
        <v>212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350"/>
    </row>
    <row r="2" spans="1:20" ht="3.75" customHeight="1" thickBot="1">
      <c r="A2" s="251"/>
      <c r="B2" s="252"/>
      <c r="C2" s="252"/>
      <c r="D2" s="252"/>
      <c r="E2" s="252"/>
      <c r="F2" s="252"/>
      <c r="G2" s="252"/>
      <c r="H2" s="252"/>
      <c r="I2" s="252"/>
      <c r="J2" s="253"/>
      <c r="K2" s="253"/>
      <c r="L2" s="253"/>
      <c r="M2" s="253"/>
      <c r="N2" s="252"/>
      <c r="O2" s="252"/>
      <c r="P2" s="252"/>
      <c r="Q2" s="252"/>
      <c r="R2" s="277"/>
      <c r="T2" s="383"/>
    </row>
    <row r="3" spans="1:20" ht="13.5" customHeight="1" thickBot="1">
      <c r="A3" s="251"/>
      <c r="B3" s="375"/>
      <c r="C3" s="252"/>
      <c r="D3" s="252"/>
      <c r="E3" s="252"/>
      <c r="F3" s="252"/>
      <c r="G3" s="252"/>
      <c r="H3" s="252"/>
      <c r="I3" s="252"/>
      <c r="J3" s="253"/>
      <c r="K3" s="253"/>
      <c r="L3" s="253"/>
      <c r="M3" s="254"/>
      <c r="N3" s="254" t="s">
        <v>139</v>
      </c>
      <c r="O3" s="271"/>
      <c r="P3" s="271"/>
      <c r="Q3" s="382"/>
      <c r="R3" s="277"/>
      <c r="T3" s="383"/>
    </row>
    <row r="4" spans="1:20" ht="3.75" customHeight="1" thickBot="1">
      <c r="A4" s="251"/>
      <c r="B4" s="252"/>
      <c r="C4" s="252"/>
      <c r="D4" s="252"/>
      <c r="E4" s="252"/>
      <c r="F4" s="252"/>
      <c r="G4" s="252"/>
      <c r="H4" s="252"/>
      <c r="I4" s="252"/>
      <c r="J4" s="253"/>
      <c r="K4" s="253"/>
      <c r="L4" s="253"/>
      <c r="M4" s="253"/>
      <c r="N4" s="252"/>
      <c r="O4" s="252"/>
      <c r="P4" s="252"/>
      <c r="Q4" s="252"/>
      <c r="R4" s="277"/>
      <c r="T4" s="383"/>
    </row>
    <row r="5" spans="1:18" ht="13.5" thickBot="1">
      <c r="A5" s="453" t="s">
        <v>135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271"/>
      <c r="P5" s="271"/>
      <c r="Q5" s="19"/>
      <c r="R5" s="278" t="s">
        <v>0</v>
      </c>
    </row>
    <row r="6" spans="1:20" ht="3.75" customHeight="1" thickBot="1">
      <c r="A6" s="251"/>
      <c r="B6" s="252"/>
      <c r="C6" s="252"/>
      <c r="D6" s="252"/>
      <c r="E6" s="252"/>
      <c r="F6" s="252"/>
      <c r="G6" s="252"/>
      <c r="H6" s="252"/>
      <c r="I6" s="252"/>
      <c r="J6" s="253"/>
      <c r="K6" s="253"/>
      <c r="L6" s="253"/>
      <c r="M6" s="253"/>
      <c r="N6" s="252"/>
      <c r="O6" s="252"/>
      <c r="P6" s="252"/>
      <c r="Q6" s="252"/>
      <c r="R6" s="277"/>
      <c r="T6" s="383"/>
    </row>
    <row r="7" spans="1:18" s="13" customFormat="1" ht="13.5" thickBot="1">
      <c r="A7" s="455" t="s">
        <v>142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271"/>
      <c r="P7" s="271"/>
      <c r="Q7" s="19"/>
      <c r="R7" s="278" t="s">
        <v>0</v>
      </c>
    </row>
    <row r="8" spans="1:20" ht="3.75" customHeight="1">
      <c r="A8" s="251"/>
      <c r="B8" s="252"/>
      <c r="C8" s="252"/>
      <c r="D8" s="252"/>
      <c r="E8" s="252"/>
      <c r="F8" s="252"/>
      <c r="G8" s="252"/>
      <c r="H8" s="252"/>
      <c r="I8" s="252"/>
      <c r="J8" s="253"/>
      <c r="K8" s="253"/>
      <c r="L8" s="253"/>
      <c r="M8" s="253"/>
      <c r="N8" s="252"/>
      <c r="O8" s="252"/>
      <c r="P8" s="252"/>
      <c r="Q8" s="365"/>
      <c r="R8" s="277"/>
      <c r="T8" s="383"/>
    </row>
    <row r="9" spans="1:18" s="57" customFormat="1" ht="12.75" hidden="1">
      <c r="A9" s="459" t="s">
        <v>118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272"/>
      <c r="P9" s="272"/>
      <c r="Q9" s="366">
        <f>IF($Q$7="","",IF($Q$3="Single Family",1500,0))</f>
      </c>
      <c r="R9" s="279" t="s">
        <v>0</v>
      </c>
    </row>
    <row r="10" spans="1:18" s="13" customFormat="1" ht="12.75">
      <c r="A10" s="380"/>
      <c r="B10" s="256"/>
      <c r="C10" s="384"/>
      <c r="D10" s="384"/>
      <c r="E10" s="384"/>
      <c r="F10" s="384"/>
      <c r="G10" s="384"/>
      <c r="H10" s="384"/>
      <c r="I10" s="384"/>
      <c r="J10" s="456" t="s">
        <v>117</v>
      </c>
      <c r="K10" s="469"/>
      <c r="L10" s="469"/>
      <c r="M10" s="469"/>
      <c r="N10" s="469"/>
      <c r="O10" s="271"/>
      <c r="P10" s="271"/>
      <c r="Q10" s="283">
        <f>IF($Q$7="","",IF($Q$7-$Q$9&lt;0,0,$Q$7-$Q$9))</f>
      </c>
      <c r="R10" s="278" t="s">
        <v>0</v>
      </c>
    </row>
    <row r="11" spans="1:18" ht="13.5" thickBot="1">
      <c r="A11" s="380"/>
      <c r="B11" s="252"/>
      <c r="C11" s="257"/>
      <c r="D11" s="257"/>
      <c r="E11" s="257"/>
      <c r="F11" s="258"/>
      <c r="G11" s="258"/>
      <c r="H11" s="258"/>
      <c r="I11" s="258"/>
      <c r="J11" s="259"/>
      <c r="K11" s="395" t="s">
        <v>214</v>
      </c>
      <c r="L11" s="395"/>
      <c r="M11" s="396"/>
      <c r="N11" s="397"/>
      <c r="O11" s="397"/>
      <c r="P11" s="398"/>
      <c r="Q11" s="258"/>
      <c r="R11" s="280"/>
    </row>
    <row r="12" spans="1:18" s="78" customFormat="1" ht="24">
      <c r="A12" s="466" t="s">
        <v>146</v>
      </c>
      <c r="B12" s="467"/>
      <c r="C12" s="467"/>
      <c r="D12" s="467"/>
      <c r="E12" s="261"/>
      <c r="F12" s="262" t="s">
        <v>1</v>
      </c>
      <c r="G12" s="262"/>
      <c r="H12" s="262"/>
      <c r="I12" s="262"/>
      <c r="J12" s="263"/>
      <c r="K12" s="264" t="s">
        <v>87</v>
      </c>
      <c r="L12" s="264"/>
      <c r="M12" s="264"/>
      <c r="N12" s="265"/>
      <c r="O12" s="263"/>
      <c r="P12" s="263"/>
      <c r="Q12" s="262" t="s">
        <v>28</v>
      </c>
      <c r="R12" s="281"/>
    </row>
    <row r="13" spans="1:18" s="102" customFormat="1" ht="12" thickBot="1">
      <c r="A13" s="464" t="s">
        <v>47</v>
      </c>
      <c r="B13" s="465"/>
      <c r="C13" s="465"/>
      <c r="D13" s="465"/>
      <c r="E13" s="274"/>
      <c r="F13" s="275"/>
      <c r="G13" s="275"/>
      <c r="H13" s="275"/>
      <c r="I13" s="275"/>
      <c r="J13" s="276"/>
      <c r="K13" s="276"/>
      <c r="L13" s="276"/>
      <c r="M13" s="276"/>
      <c r="N13" s="276"/>
      <c r="O13" s="276"/>
      <c r="P13" s="276"/>
      <c r="Q13" s="275"/>
      <c r="R13" s="282"/>
    </row>
    <row r="14" spans="1:19" s="102" customFormat="1" ht="23.25" thickBot="1">
      <c r="A14" s="284" t="s">
        <v>66</v>
      </c>
      <c r="B14" s="285"/>
      <c r="C14" s="286" t="s">
        <v>2</v>
      </c>
      <c r="D14" s="95"/>
      <c r="E14" s="288"/>
      <c r="F14" s="289" t="s">
        <v>133</v>
      </c>
      <c r="G14" s="289"/>
      <c r="H14" s="352"/>
      <c r="I14" s="289" t="s">
        <v>0</v>
      </c>
      <c r="J14" s="296" t="s">
        <v>25</v>
      </c>
      <c r="K14" s="298" t="s">
        <v>93</v>
      </c>
      <c r="L14" s="299"/>
      <c r="M14" s="299"/>
      <c r="N14" s="300"/>
      <c r="O14" s="301"/>
      <c r="P14" s="302" t="s">
        <v>26</v>
      </c>
      <c r="Q14" s="303">
        <f>IF(AND(H14="",D14=""),"",MAX(H14*X!D4,D14*X!G4))</f>
      </c>
      <c r="R14" s="297" t="s">
        <v>0</v>
      </c>
      <c r="S14" s="111"/>
    </row>
    <row r="15" spans="1:18" s="102" customFormat="1" ht="23.25" thickBot="1">
      <c r="A15" s="284" t="s">
        <v>67</v>
      </c>
      <c r="B15" s="285"/>
      <c r="C15" s="286" t="s">
        <v>2</v>
      </c>
      <c r="D15" s="95"/>
      <c r="E15" s="288"/>
      <c r="F15" s="289" t="s">
        <v>133</v>
      </c>
      <c r="G15" s="289"/>
      <c r="H15" s="352"/>
      <c r="I15" s="289" t="s">
        <v>0</v>
      </c>
      <c r="J15" s="296" t="s">
        <v>25</v>
      </c>
      <c r="K15" s="298" t="s">
        <v>94</v>
      </c>
      <c r="L15" s="299"/>
      <c r="M15" s="299"/>
      <c r="N15" s="300"/>
      <c r="O15" s="301"/>
      <c r="P15" s="302" t="s">
        <v>26</v>
      </c>
      <c r="Q15" s="303">
        <f>IF(AND(H15="",D15=""),"",MAX(H15*X!D5,D15*X!G5))</f>
      </c>
      <c r="R15" s="297" t="s">
        <v>0</v>
      </c>
    </row>
    <row r="16" spans="1:18" s="102" customFormat="1" ht="12" thickBot="1">
      <c r="A16" s="460" t="s">
        <v>46</v>
      </c>
      <c r="B16" s="461"/>
      <c r="C16" s="461"/>
      <c r="D16" s="461"/>
      <c r="E16" s="288"/>
      <c r="F16" s="289"/>
      <c r="G16" s="289"/>
      <c r="H16" s="289"/>
      <c r="I16" s="289"/>
      <c r="J16" s="296"/>
      <c r="K16" s="304">
        <f>IF(Q10="","",IF(SUM(Q14,Q15,Q17,Q18)&gt;0.25*Q10,"Note: Maximum tree credit is 25% area requiring mitigation",""))</f>
      </c>
      <c r="L16" s="296"/>
      <c r="M16" s="296"/>
      <c r="N16" s="305"/>
      <c r="O16" s="296"/>
      <c r="P16" s="296"/>
      <c r="Q16" s="306"/>
      <c r="R16" s="297"/>
    </row>
    <row r="17" spans="1:18" s="102" customFormat="1" ht="12" thickBot="1">
      <c r="A17" s="462" t="s">
        <v>68</v>
      </c>
      <c r="B17" s="463"/>
      <c r="C17" s="463"/>
      <c r="D17" s="463"/>
      <c r="E17" s="285"/>
      <c r="F17" s="289" t="s">
        <v>2</v>
      </c>
      <c r="G17" s="289"/>
      <c r="H17" s="352"/>
      <c r="I17" s="289"/>
      <c r="J17" s="296" t="s">
        <v>25</v>
      </c>
      <c r="K17" s="299" t="s">
        <v>27</v>
      </c>
      <c r="L17" s="299"/>
      <c r="M17" s="299"/>
      <c r="N17" s="300"/>
      <c r="O17" s="296"/>
      <c r="P17" s="302" t="s">
        <v>26</v>
      </c>
      <c r="Q17" s="307">
        <f>IF(H17="","",H17*X!D6)</f>
      </c>
      <c r="R17" s="297" t="s">
        <v>0</v>
      </c>
    </row>
    <row r="18" spans="1:18" s="102" customFormat="1" ht="12" thickBot="1">
      <c r="A18" s="462" t="s">
        <v>69</v>
      </c>
      <c r="B18" s="463"/>
      <c r="C18" s="463"/>
      <c r="D18" s="463"/>
      <c r="E18" s="285"/>
      <c r="F18" s="289" t="s">
        <v>2</v>
      </c>
      <c r="G18" s="289"/>
      <c r="H18" s="352"/>
      <c r="I18" s="289"/>
      <c r="J18" s="296" t="s">
        <v>25</v>
      </c>
      <c r="K18" s="299" t="s">
        <v>81</v>
      </c>
      <c r="L18" s="299"/>
      <c r="M18" s="299"/>
      <c r="N18" s="300"/>
      <c r="O18" s="296"/>
      <c r="P18" s="302" t="s">
        <v>26</v>
      </c>
      <c r="Q18" s="307">
        <f>IF(H18="","",H18*X!D7)</f>
      </c>
      <c r="R18" s="297" t="s">
        <v>0</v>
      </c>
    </row>
    <row r="19" spans="1:18" s="102" customFormat="1" ht="14.25" thickBot="1">
      <c r="A19" s="460" t="s">
        <v>168</v>
      </c>
      <c r="B19" s="461"/>
      <c r="C19" s="461"/>
      <c r="D19" s="461"/>
      <c r="E19" s="288"/>
      <c r="F19" s="289"/>
      <c r="G19" s="289"/>
      <c r="H19" s="289"/>
      <c r="I19" s="289"/>
      <c r="J19" s="296"/>
      <c r="K19" s="296"/>
      <c r="L19" s="296"/>
      <c r="M19" s="296"/>
      <c r="N19" s="305"/>
      <c r="O19" s="289"/>
      <c r="P19" s="296"/>
      <c r="Q19" s="308"/>
      <c r="R19" s="297"/>
    </row>
    <row r="20" spans="1:18" s="102" customFormat="1" ht="13.5" customHeight="1" thickBot="1">
      <c r="A20" s="462" t="s">
        <v>3</v>
      </c>
      <c r="B20" s="463"/>
      <c r="C20" s="463"/>
      <c r="D20" s="463"/>
      <c r="E20" s="285"/>
      <c r="F20" s="289" t="s">
        <v>112</v>
      </c>
      <c r="G20" s="289"/>
      <c r="H20" s="352"/>
      <c r="I20" s="289" t="s">
        <v>0</v>
      </c>
      <c r="J20" s="296" t="s">
        <v>25</v>
      </c>
      <c r="K20" s="298">
        <f>X!F8</f>
        <v>0.86</v>
      </c>
      <c r="L20" s="299"/>
      <c r="M20" s="299"/>
      <c r="N20" s="300"/>
      <c r="O20" s="301"/>
      <c r="P20" s="302" t="s">
        <v>26</v>
      </c>
      <c r="Q20" s="307">
        <f>IF(OR(H20="",ISTEXT(K20)),"",H20*K20)</f>
      </c>
      <c r="R20" s="297" t="s">
        <v>0</v>
      </c>
    </row>
    <row r="21" spans="1:18" s="102" customFormat="1" ht="11.25">
      <c r="A21" s="290"/>
      <c r="B21" s="291"/>
      <c r="C21" s="291"/>
      <c r="D21" s="291"/>
      <c r="E21" s="291"/>
      <c r="F21" s="289"/>
      <c r="G21" s="289"/>
      <c r="H21" s="289"/>
      <c r="I21" s="289"/>
      <c r="J21" s="296"/>
      <c r="K21" s="304">
        <f>IF(H20&lt;&gt;"","Note: Confirm flow paths can be achieved","")</f>
      </c>
      <c r="L21" s="296"/>
      <c r="M21" s="296"/>
      <c r="N21" s="305"/>
      <c r="O21" s="305"/>
      <c r="P21" s="305"/>
      <c r="Q21" s="309"/>
      <c r="R21" s="310"/>
    </row>
    <row r="22" spans="1:18" ht="6" customHeight="1" thickBot="1">
      <c r="A22" s="292"/>
      <c r="B22" s="293"/>
      <c r="C22" s="293"/>
      <c r="D22" s="293"/>
      <c r="E22" s="293"/>
      <c r="F22" s="294"/>
      <c r="G22" s="294"/>
      <c r="H22" s="294"/>
      <c r="I22" s="294"/>
      <c r="J22" s="259"/>
      <c r="K22" s="259"/>
      <c r="L22" s="259"/>
      <c r="M22" s="259"/>
      <c r="N22" s="260"/>
      <c r="O22" s="260"/>
      <c r="P22" s="273"/>
      <c r="Q22" s="294"/>
      <c r="R22" s="295"/>
    </row>
    <row r="23" spans="1:18" s="78" customFormat="1" ht="24">
      <c r="A23" s="466" t="s">
        <v>144</v>
      </c>
      <c r="B23" s="467"/>
      <c r="C23" s="467"/>
      <c r="D23" s="467"/>
      <c r="E23" s="261"/>
      <c r="F23" s="262" t="s">
        <v>1</v>
      </c>
      <c r="G23" s="262"/>
      <c r="H23" s="262"/>
      <c r="I23" s="262"/>
      <c r="J23" s="263"/>
      <c r="K23" s="264" t="s">
        <v>154</v>
      </c>
      <c r="L23" s="264"/>
      <c r="M23" s="264"/>
      <c r="N23" s="265"/>
      <c r="O23" s="263"/>
      <c r="P23" s="263"/>
      <c r="Q23" s="262" t="s">
        <v>28</v>
      </c>
      <c r="R23" s="281"/>
    </row>
    <row r="24" spans="1:18" s="102" customFormat="1" ht="11.25">
      <c r="A24" s="464" t="s">
        <v>4</v>
      </c>
      <c r="B24" s="465"/>
      <c r="C24" s="465"/>
      <c r="D24" s="465"/>
      <c r="E24" s="274"/>
      <c r="F24" s="275"/>
      <c r="G24" s="275"/>
      <c r="H24" s="275"/>
      <c r="I24" s="275"/>
      <c r="J24" s="276"/>
      <c r="K24" s="276"/>
      <c r="L24" s="276"/>
      <c r="M24" s="276"/>
      <c r="N24" s="276"/>
      <c r="O24" s="276"/>
      <c r="P24" s="276"/>
      <c r="Q24" s="275"/>
      <c r="R24" s="282"/>
    </row>
    <row r="25" spans="1:18" s="102" customFormat="1" ht="12" thickBot="1">
      <c r="A25" s="462" t="s">
        <v>5</v>
      </c>
      <c r="B25" s="463"/>
      <c r="C25" s="463"/>
      <c r="D25" s="463"/>
      <c r="E25" s="285"/>
      <c r="F25" s="289"/>
      <c r="G25" s="289"/>
      <c r="H25" s="289"/>
      <c r="I25" s="289"/>
      <c r="J25" s="296"/>
      <c r="K25" s="296"/>
      <c r="L25" s="296"/>
      <c r="M25" s="296"/>
      <c r="N25" s="296"/>
      <c r="O25" s="296"/>
      <c r="P25" s="296"/>
      <c r="Q25" s="289"/>
      <c r="R25" s="297"/>
    </row>
    <row r="26" spans="1:18" s="102" customFormat="1" ht="23.25" thickBot="1">
      <c r="A26" s="290"/>
      <c r="B26" s="289" t="s">
        <v>7</v>
      </c>
      <c r="C26" s="128"/>
      <c r="D26" s="289" t="s">
        <v>8</v>
      </c>
      <c r="E26" s="289"/>
      <c r="F26" s="289" t="s">
        <v>6</v>
      </c>
      <c r="G26" s="289"/>
      <c r="H26" s="248"/>
      <c r="I26" s="289" t="s">
        <v>0</v>
      </c>
      <c r="J26" s="296" t="s">
        <v>33</v>
      </c>
      <c r="K26" s="313" t="str">
        <f>IF(C26="","Select Depth",IF(C27="","Select Infilt Rate",K28))</f>
        <v>Select Depth</v>
      </c>
      <c r="L26" s="299"/>
      <c r="M26" s="299"/>
      <c r="N26" s="300"/>
      <c r="O26" s="301"/>
      <c r="P26" s="302" t="s">
        <v>26</v>
      </c>
      <c r="Q26" s="307">
        <f>IF(OR(H26="",ISTEXT(K26)),"",H26/K26)</f>
      </c>
      <c r="R26" s="297" t="s">
        <v>0</v>
      </c>
    </row>
    <row r="27" spans="1:18" s="102" customFormat="1" ht="23.25" thickBot="1">
      <c r="A27" s="290"/>
      <c r="B27" s="289" t="s">
        <v>9</v>
      </c>
      <c r="C27" s="128"/>
      <c r="D27" s="289" t="s">
        <v>10</v>
      </c>
      <c r="E27" s="289"/>
      <c r="F27" s="289"/>
      <c r="G27" s="289"/>
      <c r="H27" s="289"/>
      <c r="I27" s="289"/>
      <c r="J27" s="296"/>
      <c r="K27" s="304">
        <f>IF(OR(C27="",C27=0.25),"","Note: Infiltration test required for infiltration rate &gt; 0.25 in/hr")</f>
      </c>
      <c r="L27" s="296"/>
      <c r="M27" s="296"/>
      <c r="N27" s="305"/>
      <c r="O27" s="305"/>
      <c r="P27" s="296"/>
      <c r="Q27" s="306"/>
      <c r="R27" s="297"/>
    </row>
    <row r="28" spans="1:18" s="102" customFormat="1" ht="11.25" hidden="1">
      <c r="A28" s="290"/>
      <c r="B28" s="289"/>
      <c r="C28" s="289"/>
      <c r="D28" s="289"/>
      <c r="E28" s="289"/>
      <c r="F28" s="289"/>
      <c r="G28" s="289"/>
      <c r="H28" s="289"/>
      <c r="I28" s="289"/>
      <c r="J28" s="296"/>
      <c r="K28" s="349" t="e">
        <f>VLOOKUP(C27,IF(C26=2,X!D18:G20,IF(C26=4,X!D21:G23,IF(C26=6,X!D24:G26,IF(C26=8,X!D27:G29,IF(C26=10,X!D30:G32,IF(C26=12,X!D33:G36)))))),4)</f>
        <v>#N/A</v>
      </c>
      <c r="L28" s="296"/>
      <c r="M28" s="296"/>
      <c r="N28" s="305"/>
      <c r="O28" s="305"/>
      <c r="P28" s="296"/>
      <c r="Q28" s="306"/>
      <c r="R28" s="297"/>
    </row>
    <row r="29" spans="1:18" s="102" customFormat="1" ht="11.25">
      <c r="A29" s="290"/>
      <c r="B29" s="305"/>
      <c r="C29" s="305"/>
      <c r="D29" s="305"/>
      <c r="E29" s="305"/>
      <c r="F29" s="289"/>
      <c r="G29" s="289"/>
      <c r="H29" s="296"/>
      <c r="I29" s="289"/>
      <c r="J29" s="296"/>
      <c r="K29" s="296"/>
      <c r="L29" s="296"/>
      <c r="M29" s="296"/>
      <c r="N29" s="296"/>
      <c r="O29" s="296"/>
      <c r="P29" s="296"/>
      <c r="Q29" s="306"/>
      <c r="R29" s="297"/>
    </row>
    <row r="30" spans="1:18" s="102" customFormat="1" ht="12" thickBot="1">
      <c r="A30" s="462" t="s">
        <v>108</v>
      </c>
      <c r="B30" s="463"/>
      <c r="C30" s="463"/>
      <c r="D30" s="463"/>
      <c r="E30" s="285"/>
      <c r="F30" s="289"/>
      <c r="G30" s="289"/>
      <c r="H30" s="289"/>
      <c r="I30" s="289"/>
      <c r="J30" s="296"/>
      <c r="K30" s="296"/>
      <c r="L30" s="296"/>
      <c r="M30" s="296"/>
      <c r="N30" s="296"/>
      <c r="O30" s="296"/>
      <c r="P30" s="296"/>
      <c r="Q30" s="306"/>
      <c r="R30" s="297"/>
    </row>
    <row r="31" spans="1:18" s="102" customFormat="1" ht="12" customHeight="1" thickBot="1">
      <c r="A31" s="290"/>
      <c r="B31" s="289" t="s">
        <v>170</v>
      </c>
      <c r="C31" s="128"/>
      <c r="D31" s="289" t="s">
        <v>8</v>
      </c>
      <c r="E31" s="289"/>
      <c r="F31" s="289" t="s">
        <v>49</v>
      </c>
      <c r="G31" s="289"/>
      <c r="H31" s="248"/>
      <c r="I31" s="289" t="s">
        <v>0</v>
      </c>
      <c r="J31" s="296" t="s">
        <v>33</v>
      </c>
      <c r="K31" s="313" t="str">
        <f>IF(C31="","Select Depth",IF(C32="","Select Infilt Rate",VLOOKUP(C32,IF(C31=6,X!D37:G39,IF(C31=8,X!D40:G42,IF(C31=10,X!D43:G45,IF(C31=12,X!D46:G48)))),4)))</f>
        <v>Select Depth</v>
      </c>
      <c r="L31" s="299"/>
      <c r="M31" s="299"/>
      <c r="N31" s="300"/>
      <c r="O31" s="301"/>
      <c r="P31" s="302" t="s">
        <v>26</v>
      </c>
      <c r="Q31" s="303">
        <f>IF(OR(H31="",ISTEXT(K31)),"",H31/K31)</f>
      </c>
      <c r="R31" s="297" t="s">
        <v>0</v>
      </c>
    </row>
    <row r="32" spans="1:18" s="102" customFormat="1" ht="23.25" thickBot="1">
      <c r="A32" s="290"/>
      <c r="B32" s="297" t="s">
        <v>9</v>
      </c>
      <c r="C32" s="128"/>
      <c r="D32" s="312" t="s">
        <v>10</v>
      </c>
      <c r="E32" s="289"/>
      <c r="F32" s="289"/>
      <c r="G32" s="289"/>
      <c r="H32" s="289"/>
      <c r="I32" s="289"/>
      <c r="J32" s="296"/>
      <c r="K32" s="304">
        <f>IF(OR(C32="",C32=0.25),"","Note: Infiltration test required for infiltration rate &gt; 0.25 in/hr")</f>
      </c>
      <c r="L32" s="296"/>
      <c r="M32" s="296"/>
      <c r="N32" s="296"/>
      <c r="O32" s="296"/>
      <c r="P32" s="296"/>
      <c r="Q32" s="306"/>
      <c r="R32" s="297"/>
    </row>
    <row r="33" spans="1:18" s="102" customFormat="1" ht="14.25" thickBot="1">
      <c r="A33" s="460" t="s">
        <v>169</v>
      </c>
      <c r="B33" s="461"/>
      <c r="C33" s="465"/>
      <c r="D33" s="461"/>
      <c r="E33" s="288"/>
      <c r="F33" s="289"/>
      <c r="G33" s="289"/>
      <c r="H33" s="289"/>
      <c r="I33" s="289"/>
      <c r="J33" s="296"/>
      <c r="K33" s="296"/>
      <c r="L33" s="296"/>
      <c r="M33" s="296"/>
      <c r="N33" s="296"/>
      <c r="O33" s="296"/>
      <c r="P33" s="296"/>
      <c r="Q33" s="289"/>
      <c r="R33" s="297"/>
    </row>
    <row r="34" spans="1:18" s="102" customFormat="1" ht="23.25" thickBot="1">
      <c r="A34" s="287"/>
      <c r="B34" s="289" t="s">
        <v>149</v>
      </c>
      <c r="C34" s="288"/>
      <c r="D34" s="288"/>
      <c r="E34" s="288"/>
      <c r="F34" s="468" t="s">
        <v>191</v>
      </c>
      <c r="G34" s="468"/>
      <c r="H34" s="468"/>
      <c r="I34" s="468"/>
      <c r="J34" s="296"/>
      <c r="K34" s="296"/>
      <c r="L34" s="296"/>
      <c r="M34" s="296"/>
      <c r="N34" s="296"/>
      <c r="O34" s="296"/>
      <c r="P34" s="296"/>
      <c r="Q34" s="248">
        <f>IF(OR(H34="",ISTEXT(K34)),"",H34/K34)</f>
      </c>
      <c r="R34" s="297" t="s">
        <v>0</v>
      </c>
    </row>
    <row r="35" spans="1:18" s="102" customFormat="1" ht="12" thickBot="1">
      <c r="A35" s="290"/>
      <c r="B35" s="311"/>
      <c r="C35" s="305"/>
      <c r="D35" s="305"/>
      <c r="E35" s="305"/>
      <c r="F35" s="289"/>
      <c r="G35" s="289"/>
      <c r="H35" s="289"/>
      <c r="I35" s="289"/>
      <c r="J35" s="296"/>
      <c r="K35" s="296"/>
      <c r="L35" s="296"/>
      <c r="M35" s="296"/>
      <c r="N35" s="296"/>
      <c r="O35" s="296"/>
      <c r="P35" s="296"/>
      <c r="Q35" s="306"/>
      <c r="R35" s="297"/>
    </row>
    <row r="36" spans="1:18" s="78" customFormat="1" ht="12">
      <c r="A36" s="466" t="s">
        <v>143</v>
      </c>
      <c r="B36" s="467"/>
      <c r="C36" s="467"/>
      <c r="D36" s="467"/>
      <c r="E36" s="261"/>
      <c r="F36" s="262" t="s">
        <v>1</v>
      </c>
      <c r="G36" s="262"/>
      <c r="H36" s="262"/>
      <c r="I36" s="262"/>
      <c r="J36" s="263"/>
      <c r="K36" s="264" t="s">
        <v>87</v>
      </c>
      <c r="L36" s="264"/>
      <c r="M36" s="264"/>
      <c r="N36" s="265"/>
      <c r="O36" s="263"/>
      <c r="P36" s="263"/>
      <c r="Q36" s="262" t="s">
        <v>28</v>
      </c>
      <c r="R36" s="281"/>
    </row>
    <row r="37" spans="1:18" s="102" customFormat="1" ht="12" thickBot="1">
      <c r="A37" s="460" t="s">
        <v>29</v>
      </c>
      <c r="B37" s="461"/>
      <c r="C37" s="461"/>
      <c r="D37" s="461"/>
      <c r="E37" s="288"/>
      <c r="F37" s="289"/>
      <c r="G37" s="289"/>
      <c r="H37" s="289"/>
      <c r="I37" s="289"/>
      <c r="J37" s="296"/>
      <c r="K37" s="296"/>
      <c r="L37" s="296"/>
      <c r="M37" s="296"/>
      <c r="N37" s="305"/>
      <c r="O37" s="296"/>
      <c r="P37" s="296"/>
      <c r="Q37" s="308"/>
      <c r="R37" s="297"/>
    </row>
    <row r="38" spans="1:18" s="102" customFormat="1" ht="12" thickBot="1">
      <c r="A38" s="462" t="s">
        <v>160</v>
      </c>
      <c r="B38" s="463"/>
      <c r="C38" s="463"/>
      <c r="D38" s="463"/>
      <c r="E38" s="285"/>
      <c r="F38" s="289" t="s">
        <v>49</v>
      </c>
      <c r="G38" s="289"/>
      <c r="H38" s="352"/>
      <c r="I38" s="289" t="s">
        <v>0</v>
      </c>
      <c r="J38" s="296" t="s">
        <v>25</v>
      </c>
      <c r="K38" s="298">
        <f>X!F9</f>
        <v>1</v>
      </c>
      <c r="L38" s="299"/>
      <c r="M38" s="299"/>
      <c r="N38" s="300"/>
      <c r="O38" s="301"/>
      <c r="P38" s="302" t="s">
        <v>26</v>
      </c>
      <c r="Q38" s="307">
        <f>IF(OR(H38="",ISTEXT(K38)),"",H38*K38)</f>
      </c>
      <c r="R38" s="297" t="s">
        <v>0</v>
      </c>
    </row>
    <row r="39" spans="1:18" s="102" customFormat="1" ht="12" thickBot="1">
      <c r="A39" s="462" t="s">
        <v>161</v>
      </c>
      <c r="B39" s="463"/>
      <c r="C39" s="463"/>
      <c r="D39" s="463"/>
      <c r="E39" s="285"/>
      <c r="F39" s="289" t="s">
        <v>49</v>
      </c>
      <c r="G39" s="289"/>
      <c r="H39" s="352"/>
      <c r="I39" s="289" t="s">
        <v>0</v>
      </c>
      <c r="J39" s="296" t="s">
        <v>25</v>
      </c>
      <c r="K39" s="298">
        <f>X!F10</f>
        <v>0.6</v>
      </c>
      <c r="L39" s="299"/>
      <c r="M39" s="299"/>
      <c r="N39" s="300"/>
      <c r="O39" s="301"/>
      <c r="P39" s="302" t="s">
        <v>26</v>
      </c>
      <c r="Q39" s="307">
        <f>IF(OR(H39="",ISTEXT(K39)),"",H39*K39)</f>
      </c>
      <c r="R39" s="297" t="s">
        <v>0</v>
      </c>
    </row>
    <row r="40" spans="1:18" s="102" customFormat="1" ht="12" thickBot="1">
      <c r="A40" s="460" t="s">
        <v>171</v>
      </c>
      <c r="B40" s="461"/>
      <c r="C40" s="461"/>
      <c r="D40" s="461"/>
      <c r="E40" s="288"/>
      <c r="F40" s="289"/>
      <c r="G40" s="289"/>
      <c r="H40" s="289"/>
      <c r="I40" s="289"/>
      <c r="J40" s="296"/>
      <c r="K40" s="296"/>
      <c r="L40" s="296"/>
      <c r="M40" s="296"/>
      <c r="N40" s="305"/>
      <c r="O40" s="289"/>
      <c r="P40" s="296"/>
      <c r="Q40" s="314"/>
      <c r="R40" s="297"/>
    </row>
    <row r="41" spans="1:18" s="102" customFormat="1" ht="12" thickBot="1">
      <c r="A41" s="462" t="s">
        <v>72</v>
      </c>
      <c r="B41" s="463"/>
      <c r="C41" s="463"/>
      <c r="D41" s="463"/>
      <c r="E41" s="285"/>
      <c r="F41" s="289" t="s">
        <v>73</v>
      </c>
      <c r="G41" s="289"/>
      <c r="H41" s="352"/>
      <c r="I41" s="289" t="s">
        <v>0</v>
      </c>
      <c r="J41" s="296" t="s">
        <v>25</v>
      </c>
      <c r="K41" s="298">
        <f>X!F11</f>
        <v>0.59</v>
      </c>
      <c r="L41" s="299"/>
      <c r="M41" s="299"/>
      <c r="N41" s="300"/>
      <c r="O41" s="301"/>
      <c r="P41" s="302" t="s">
        <v>26</v>
      </c>
      <c r="Q41" s="307">
        <f>IF(OR(H41="",ISTEXT(K41)),"",H41*K41)</f>
      </c>
      <c r="R41" s="297" t="s">
        <v>0</v>
      </c>
    </row>
    <row r="42" spans="1:18" s="102" customFormat="1" ht="12.75" customHeight="1" thickBot="1">
      <c r="A42" s="462" t="s">
        <v>74</v>
      </c>
      <c r="B42" s="463"/>
      <c r="C42" s="463"/>
      <c r="D42" s="463"/>
      <c r="E42" s="285"/>
      <c r="F42" s="289" t="s">
        <v>73</v>
      </c>
      <c r="G42" s="289"/>
      <c r="H42" s="352"/>
      <c r="I42" s="289" t="s">
        <v>0</v>
      </c>
      <c r="J42" s="296" t="s">
        <v>25</v>
      </c>
      <c r="K42" s="298">
        <f>X!F12</f>
        <v>0.59</v>
      </c>
      <c r="L42" s="315"/>
      <c r="M42" s="315"/>
      <c r="N42" s="316"/>
      <c r="O42" s="301"/>
      <c r="P42" s="302" t="s">
        <v>26</v>
      </c>
      <c r="Q42" s="307">
        <f>IF(OR(H42="",ISTEXT(K42)),"",H42*K42)</f>
      </c>
      <c r="R42" s="297" t="s">
        <v>0</v>
      </c>
    </row>
    <row r="43" spans="1:18" s="102" customFormat="1" ht="12.75" customHeight="1" thickBot="1">
      <c r="A43" s="462" t="s">
        <v>75</v>
      </c>
      <c r="B43" s="463"/>
      <c r="C43" s="463"/>
      <c r="D43" s="463"/>
      <c r="E43" s="285"/>
      <c r="F43" s="289" t="s">
        <v>73</v>
      </c>
      <c r="G43" s="289"/>
      <c r="H43" s="352"/>
      <c r="I43" s="289" t="s">
        <v>0</v>
      </c>
      <c r="J43" s="296" t="s">
        <v>25</v>
      </c>
      <c r="K43" s="298">
        <f>X!F13</f>
        <v>0.7</v>
      </c>
      <c r="L43" s="299"/>
      <c r="M43" s="299"/>
      <c r="N43" s="300"/>
      <c r="O43" s="301"/>
      <c r="P43" s="302" t="s">
        <v>26</v>
      </c>
      <c r="Q43" s="307">
        <f>IF(OR(H43="",ISTEXT(K43)),"",H43*K43)</f>
      </c>
      <c r="R43" s="297" t="s">
        <v>0</v>
      </c>
    </row>
    <row r="44" spans="1:18" s="102" customFormat="1" ht="11.25">
      <c r="A44" s="290"/>
      <c r="B44" s="291"/>
      <c r="C44" s="291"/>
      <c r="D44" s="291"/>
      <c r="E44" s="291"/>
      <c r="F44" s="289"/>
      <c r="G44" s="289"/>
      <c r="H44" s="289"/>
      <c r="I44" s="289"/>
      <c r="J44" s="296"/>
      <c r="K44" s="296"/>
      <c r="L44" s="296"/>
      <c r="M44" s="296"/>
      <c r="N44" s="305"/>
      <c r="O44" s="305"/>
      <c r="P44" s="305"/>
      <c r="Q44" s="309"/>
      <c r="R44" s="310"/>
    </row>
    <row r="45" spans="1:18" ht="6" customHeight="1" thickBot="1">
      <c r="A45" s="292"/>
      <c r="B45" s="293"/>
      <c r="C45" s="293"/>
      <c r="D45" s="293"/>
      <c r="E45" s="293"/>
      <c r="F45" s="294"/>
      <c r="G45" s="294"/>
      <c r="H45" s="294"/>
      <c r="I45" s="294"/>
      <c r="J45" s="259"/>
      <c r="K45" s="259"/>
      <c r="L45" s="259"/>
      <c r="M45" s="259"/>
      <c r="N45" s="260"/>
      <c r="O45" s="260"/>
      <c r="P45" s="273"/>
      <c r="Q45" s="294"/>
      <c r="R45" s="295"/>
    </row>
    <row r="46" spans="1:18" s="78" customFormat="1" ht="12">
      <c r="A46" s="466" t="s">
        <v>147</v>
      </c>
      <c r="B46" s="467"/>
      <c r="C46" s="467"/>
      <c r="D46" s="467"/>
      <c r="E46" s="261"/>
      <c r="F46" s="262" t="s">
        <v>1</v>
      </c>
      <c r="G46" s="262"/>
      <c r="H46" s="262"/>
      <c r="I46" s="262"/>
      <c r="J46" s="263"/>
      <c r="K46" s="264" t="s">
        <v>209</v>
      </c>
      <c r="L46" s="264"/>
      <c r="M46" s="264"/>
      <c r="N46" s="265"/>
      <c r="O46" s="263"/>
      <c r="P46" s="263"/>
      <c r="Q46" s="262" t="s">
        <v>28</v>
      </c>
      <c r="R46" s="281"/>
    </row>
    <row r="47" spans="1:18" s="102" customFormat="1" ht="11.25">
      <c r="A47" s="460" t="s">
        <v>13</v>
      </c>
      <c r="B47" s="461"/>
      <c r="C47" s="461"/>
      <c r="D47" s="461"/>
      <c r="E47" s="288"/>
      <c r="F47" s="289"/>
      <c r="G47" s="289"/>
      <c r="H47" s="289"/>
      <c r="I47" s="289"/>
      <c r="J47" s="296"/>
      <c r="K47" s="296"/>
      <c r="L47" s="296"/>
      <c r="M47" s="296"/>
      <c r="N47" s="296"/>
      <c r="O47" s="296"/>
      <c r="P47" s="296"/>
      <c r="Q47" s="306"/>
      <c r="R47" s="297"/>
    </row>
    <row r="48" spans="1:18" s="102" customFormat="1" ht="12" thickBot="1">
      <c r="A48" s="462" t="s">
        <v>35</v>
      </c>
      <c r="B48" s="463"/>
      <c r="C48" s="463"/>
      <c r="D48" s="463"/>
      <c r="E48" s="285"/>
      <c r="F48" s="289"/>
      <c r="G48" s="289"/>
      <c r="H48" s="289"/>
      <c r="I48" s="289"/>
      <c r="J48" s="296"/>
      <c r="K48" s="296"/>
      <c r="L48" s="296"/>
      <c r="M48" s="296"/>
      <c r="N48" s="296"/>
      <c r="O48" s="296"/>
      <c r="P48" s="296"/>
      <c r="Q48" s="306"/>
      <c r="R48" s="297"/>
    </row>
    <row r="49" spans="1:18" s="102" customFormat="1" ht="12" thickBot="1">
      <c r="A49" s="290"/>
      <c r="B49" s="289" t="s">
        <v>7</v>
      </c>
      <c r="C49" s="128"/>
      <c r="D49" s="289" t="s">
        <v>8</v>
      </c>
      <c r="E49" s="289"/>
      <c r="F49" s="289" t="s">
        <v>6</v>
      </c>
      <c r="G49" s="289"/>
      <c r="H49" s="248"/>
      <c r="I49" s="289" t="s">
        <v>0</v>
      </c>
      <c r="J49" s="296" t="s">
        <v>33</v>
      </c>
      <c r="K49" s="313" t="str">
        <f>IF(C49="","Select Depth",VLOOKUP(C49,X!B49:H50,6))</f>
        <v>Select Depth</v>
      </c>
      <c r="L49" s="299"/>
      <c r="M49" s="299"/>
      <c r="N49" s="300"/>
      <c r="O49" s="317"/>
      <c r="P49" s="302" t="s">
        <v>26</v>
      </c>
      <c r="Q49" s="307">
        <f>IF(OR(H49="",ISTEXT(K49)),"",H49/K49)</f>
      </c>
      <c r="R49" s="297" t="s">
        <v>0</v>
      </c>
    </row>
    <row r="50" spans="1:18" s="102" customFormat="1" ht="11.25">
      <c r="A50" s="290"/>
      <c r="B50" s="305"/>
      <c r="C50" s="305"/>
      <c r="D50" s="305"/>
      <c r="E50" s="305"/>
      <c r="F50" s="289"/>
      <c r="G50" s="289"/>
      <c r="H50" s="289"/>
      <c r="I50" s="289"/>
      <c r="J50" s="296"/>
      <c r="K50" s="296"/>
      <c r="L50" s="296"/>
      <c r="M50" s="296"/>
      <c r="N50" s="296"/>
      <c r="O50" s="296"/>
      <c r="P50" s="296"/>
      <c r="Q50" s="306"/>
      <c r="R50" s="297"/>
    </row>
    <row r="51" spans="1:18" s="102" customFormat="1" ht="12" thickBot="1">
      <c r="A51" s="462" t="s">
        <v>172</v>
      </c>
      <c r="B51" s="463"/>
      <c r="C51" s="463"/>
      <c r="D51" s="463"/>
      <c r="E51" s="285"/>
      <c r="F51" s="289"/>
      <c r="G51" s="289"/>
      <c r="H51" s="289"/>
      <c r="I51" s="289"/>
      <c r="J51" s="296"/>
      <c r="K51" s="296"/>
      <c r="L51" s="296"/>
      <c r="M51" s="296"/>
      <c r="N51" s="296"/>
      <c r="O51" s="296"/>
      <c r="P51" s="296"/>
      <c r="Q51" s="306"/>
      <c r="R51" s="297"/>
    </row>
    <row r="52" spans="1:18" s="102" customFormat="1" ht="12" thickBot="1">
      <c r="A52" s="348"/>
      <c r="B52" s="289" t="s">
        <v>164</v>
      </c>
      <c r="C52" s="248"/>
      <c r="D52" s="289" t="s">
        <v>0</v>
      </c>
      <c r="E52" s="285"/>
      <c r="F52" s="289"/>
      <c r="G52" s="289"/>
      <c r="H52" s="289"/>
      <c r="I52" s="289"/>
      <c r="J52" s="296"/>
      <c r="K52" s="296"/>
      <c r="L52" s="296"/>
      <c r="M52" s="296"/>
      <c r="N52" s="296"/>
      <c r="O52" s="296"/>
      <c r="P52" s="296"/>
      <c r="Q52" s="306"/>
      <c r="R52" s="297"/>
    </row>
    <row r="53" spans="1:18" s="102" customFormat="1" ht="12" customHeight="1" thickBot="1">
      <c r="A53" s="290"/>
      <c r="B53" s="289" t="s">
        <v>7</v>
      </c>
      <c r="C53" s="128"/>
      <c r="D53" s="289" t="s">
        <v>8</v>
      </c>
      <c r="E53" s="289"/>
      <c r="F53" s="289" t="s">
        <v>6</v>
      </c>
      <c r="G53" s="320"/>
      <c r="H53" s="307">
        <f>IF(OR(C52="",ISTEXT(K53),C52&lt;1500),"",(VLOOKUP(C54,X!D67:J69,7)*C52)+VLOOKUP(C54,X!D67:J69,6))</f>
      </c>
      <c r="I53" s="289" t="s">
        <v>0</v>
      </c>
      <c r="J53" s="321"/>
      <c r="K53" s="313" t="str">
        <f>IF(Q3="Single Family","NA for SFR",IF(C53="","Select Depth",IF(C54="","Select Infilt Rate",0.85)))</f>
        <v>Select Depth</v>
      </c>
      <c r="L53" s="299"/>
      <c r="M53" s="299"/>
      <c r="N53" s="300"/>
      <c r="O53" s="317"/>
      <c r="P53" s="302" t="s">
        <v>26</v>
      </c>
      <c r="Q53" s="307">
        <f>IF(OR(C52="",ISTEXT(K53)),"",IF(C52&lt;1500,"min. contributing",C52*K53))</f>
      </c>
      <c r="R53" s="297" t="s">
        <v>0</v>
      </c>
    </row>
    <row r="54" spans="1:18" s="102" customFormat="1" ht="12" thickBot="1">
      <c r="A54" s="290"/>
      <c r="B54" s="289" t="s">
        <v>9</v>
      </c>
      <c r="C54" s="128"/>
      <c r="D54" s="289" t="s">
        <v>10</v>
      </c>
      <c r="E54" s="289"/>
      <c r="F54" s="289"/>
      <c r="G54" s="289"/>
      <c r="H54" s="289"/>
      <c r="I54" s="289"/>
      <c r="J54" s="296"/>
      <c r="K54" s="372">
        <f>IF(OR(C54="",C54=0.25),"","Note: infiltration test required for")</f>
      </c>
      <c r="L54" s="373"/>
      <c r="M54" s="373"/>
      <c r="N54" s="373"/>
      <c r="O54" s="296"/>
      <c r="P54" s="296"/>
      <c r="Q54" s="362">
        <f>IF(Q53="min. contributing","area is 1,500 sf","")</f>
      </c>
      <c r="R54" s="297"/>
    </row>
    <row r="55" spans="1:18" s="102" customFormat="1" ht="11.25">
      <c r="A55" s="290"/>
      <c r="B55" s="305"/>
      <c r="C55" s="305"/>
      <c r="D55" s="305"/>
      <c r="E55" s="305"/>
      <c r="F55" s="289"/>
      <c r="G55" s="289"/>
      <c r="H55" s="296"/>
      <c r="I55" s="289"/>
      <c r="J55" s="296"/>
      <c r="K55" s="363">
        <f>IF(K54&lt;&gt;"","infiltration rate &gt; 0.25 in/hr","")</f>
      </c>
      <c r="L55" s="364"/>
      <c r="M55" s="364"/>
      <c r="N55" s="364"/>
      <c r="O55" s="296"/>
      <c r="P55" s="296"/>
      <c r="Q55" s="306"/>
      <c r="R55" s="297"/>
    </row>
    <row r="56" spans="1:18" s="102" customFormat="1" ht="12" thickBot="1">
      <c r="A56" s="462" t="s">
        <v>208</v>
      </c>
      <c r="B56" s="463"/>
      <c r="C56" s="463"/>
      <c r="D56" s="463"/>
      <c r="E56" s="285"/>
      <c r="F56" s="289"/>
      <c r="G56" s="289"/>
      <c r="H56" s="289"/>
      <c r="I56" s="289"/>
      <c r="J56" s="296"/>
      <c r="K56" s="296"/>
      <c r="L56" s="296"/>
      <c r="M56" s="296"/>
      <c r="N56" s="296"/>
      <c r="O56" s="296"/>
      <c r="P56" s="296"/>
      <c r="Q56" s="308"/>
      <c r="R56" s="297"/>
    </row>
    <row r="57" spans="1:18" s="102" customFormat="1" ht="12" thickBot="1">
      <c r="A57" s="290"/>
      <c r="B57" s="289" t="s">
        <v>164</v>
      </c>
      <c r="C57" s="248"/>
      <c r="D57" s="289" t="s">
        <v>0</v>
      </c>
      <c r="E57" s="289"/>
      <c r="F57" s="289" t="s">
        <v>175</v>
      </c>
      <c r="G57" s="320"/>
      <c r="H57" s="385">
        <f>IF(OR(C57="",ISTEXT(K57)),"",IF(C57&lt;=380,6.68,X!I78*(C57^X!J78)))</f>
      </c>
      <c r="I57" s="289" t="s">
        <v>0</v>
      </c>
      <c r="J57" s="321"/>
      <c r="K57" s="381">
        <f>IF(C57="","",IF(AND(C57&lt;&gt;"",Q3=""),"Select Project Type",IF(Q3&lt;&gt;"Single Family","Only for SFR",IF(C57="","Enter Contributing Area",IF(C57&lt;100,"Min Contrib Area of 100 sf",IF(C57&lt;700,(21.01*LN(C57)-66.79)/100,MIN((15.308*LN(C57)-29.75)/100,1)))))))</f>
      </c>
      <c r="L57" s="378"/>
      <c r="M57" s="299"/>
      <c r="N57" s="300"/>
      <c r="O57" s="323"/>
      <c r="P57" s="302" t="s">
        <v>26</v>
      </c>
      <c r="Q57" s="379">
        <f>IF(OR(C57="",ISTEXT(K57)),"",C57*K57)</f>
      </c>
      <c r="R57" s="297" t="s">
        <v>0</v>
      </c>
    </row>
    <row r="58" spans="1:18" s="102" customFormat="1" ht="11.25">
      <c r="A58" s="290"/>
      <c r="B58" s="289"/>
      <c r="C58" s="289"/>
      <c r="D58" s="289"/>
      <c r="E58" s="289"/>
      <c r="F58" s="289" t="s">
        <v>206</v>
      </c>
      <c r="G58" s="320"/>
      <c r="H58" s="303">
        <f>IF(H57="","",H57*3/0.1337)</f>
      </c>
      <c r="I58" s="289" t="s">
        <v>176</v>
      </c>
      <c r="J58" s="321"/>
      <c r="K58" s="337"/>
      <c r="L58" s="324"/>
      <c r="M58" s="296"/>
      <c r="N58" s="323"/>
      <c r="O58" s="323"/>
      <c r="P58" s="302"/>
      <c r="Q58" s="325"/>
      <c r="R58" s="297"/>
    </row>
    <row r="59" spans="1:18" s="102" customFormat="1" ht="11.25">
      <c r="A59" s="290"/>
      <c r="B59" s="305"/>
      <c r="C59" s="305"/>
      <c r="D59" s="305"/>
      <c r="E59" s="305"/>
      <c r="F59" s="289"/>
      <c r="G59" s="289"/>
      <c r="H59" s="289"/>
      <c r="I59" s="289"/>
      <c r="J59" s="296"/>
      <c r="K59" s="296"/>
      <c r="L59" s="296"/>
      <c r="M59" s="296"/>
      <c r="N59" s="296"/>
      <c r="O59" s="296"/>
      <c r="P59" s="296"/>
      <c r="Q59" s="306"/>
      <c r="R59" s="297"/>
    </row>
    <row r="60" spans="1:18" s="13" customFormat="1" ht="6" customHeight="1" thickBot="1">
      <c r="A60" s="318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6"/>
      <c r="P60" s="326"/>
      <c r="Q60" s="327"/>
      <c r="R60" s="322"/>
    </row>
    <row r="61" spans="1:18" s="13" customFormat="1" ht="6" customHeight="1">
      <c r="A61" s="255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71"/>
      <c r="P61" s="271"/>
      <c r="Q61" s="328"/>
      <c r="R61" s="278"/>
    </row>
    <row r="62" spans="1:18" s="13" customFormat="1" ht="12.75">
      <c r="A62" s="455" t="s">
        <v>200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271"/>
      <c r="P62" s="271"/>
      <c r="Q62" s="283">
        <f>SUM(Q14:Q58)</f>
        <v>0</v>
      </c>
      <c r="R62" s="278" t="s">
        <v>0</v>
      </c>
    </row>
    <row r="63" spans="1:18" s="13" customFormat="1" ht="12.75">
      <c r="A63" s="455" t="s">
        <v>117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271"/>
      <c r="P63" s="271"/>
      <c r="Q63" s="283">
        <f>Q10</f>
      </c>
      <c r="R63" s="278" t="s">
        <v>0</v>
      </c>
    </row>
    <row r="64" spans="1:18" s="13" customFormat="1" ht="12.75">
      <c r="A64" s="455" t="s">
        <v>201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271"/>
      <c r="P64" s="271"/>
      <c r="Q64" s="394">
        <f>IF(OR(Q63="",Q63=0),"",100*Q62/Q63)</f>
      </c>
      <c r="R64" s="278" t="s">
        <v>109</v>
      </c>
    </row>
    <row r="65" spans="1:18" s="13" customFormat="1" ht="6" customHeight="1">
      <c r="A65" s="255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71"/>
      <c r="P65" s="271"/>
      <c r="Q65" s="328"/>
      <c r="R65" s="278"/>
    </row>
    <row r="66" spans="1:18" s="13" customFormat="1" ht="12.75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329" t="s">
        <v>145</v>
      </c>
      <c r="O66" s="271"/>
      <c r="P66" s="271"/>
      <c r="Q66" s="330">
        <f>IF(OR(Q10=0,Q10=""),"",IF(AND(Q10&lt;&gt;0,Q62&gt;=Q10),"PASS","FAIL"))</f>
      </c>
      <c r="R66" s="278"/>
    </row>
    <row r="67" spans="1:18" ht="13.5" thickBot="1">
      <c r="A67" s="331"/>
      <c r="B67" s="332"/>
      <c r="C67" s="293"/>
      <c r="D67" s="293"/>
      <c r="E67" s="293"/>
      <c r="F67" s="294"/>
      <c r="G67" s="294"/>
      <c r="H67" s="294"/>
      <c r="I67" s="294"/>
      <c r="J67" s="294"/>
      <c r="K67" s="332"/>
      <c r="L67" s="332"/>
      <c r="M67" s="333"/>
      <c r="N67" s="334">
        <f>IF(OR(Q66="",Q66="Pass"),"",IF(Q62&lt;Q10,"Must Mitigate More Area",""))</f>
      </c>
      <c r="O67" s="332"/>
      <c r="P67" s="332"/>
      <c r="Q67" s="335"/>
      <c r="R67" s="295"/>
    </row>
    <row r="68" spans="1:18" s="102" customFormat="1" ht="12.75">
      <c r="A68" s="457" t="s">
        <v>34</v>
      </c>
      <c r="B68" s="458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302"/>
      <c r="Q68" s="289"/>
      <c r="R68" s="297"/>
    </row>
    <row r="69" spans="1:18" s="102" customFormat="1" ht="11.25">
      <c r="A69" s="336" t="s">
        <v>48</v>
      </c>
      <c r="B69" s="289"/>
      <c r="C69" s="289"/>
      <c r="D69" s="337" t="s">
        <v>99</v>
      </c>
      <c r="E69" s="338"/>
      <c r="F69" s="338" t="s">
        <v>101</v>
      </c>
      <c r="G69" s="305" t="s">
        <v>179</v>
      </c>
      <c r="H69" s="305"/>
      <c r="I69" s="289"/>
      <c r="J69" s="289"/>
      <c r="K69" s="305" t="s">
        <v>162</v>
      </c>
      <c r="L69" s="289"/>
      <c r="M69" s="289"/>
      <c r="N69" s="289"/>
      <c r="O69" s="289"/>
      <c r="P69" s="302"/>
      <c r="Q69" s="289"/>
      <c r="R69" s="297"/>
    </row>
    <row r="70" spans="1:18" s="102" customFormat="1" ht="11.25">
      <c r="A70" s="336" t="s">
        <v>163</v>
      </c>
      <c r="B70" s="305"/>
      <c r="C70" s="305"/>
      <c r="D70" s="337" t="s">
        <v>100</v>
      </c>
      <c r="E70" s="338"/>
      <c r="F70" s="338" t="s">
        <v>102</v>
      </c>
      <c r="G70" s="305" t="s">
        <v>177</v>
      </c>
      <c r="H70" s="305"/>
      <c r="I70" s="305"/>
      <c r="J70" s="339"/>
      <c r="K70" s="339"/>
      <c r="L70" s="339"/>
      <c r="M70" s="339"/>
      <c r="N70" s="305"/>
      <c r="O70" s="305"/>
      <c r="P70" s="305"/>
      <c r="Q70" s="305"/>
      <c r="R70" s="297"/>
    </row>
    <row r="71" spans="1:18" s="102" customFormat="1" ht="11.25">
      <c r="A71" s="336" t="s">
        <v>173</v>
      </c>
      <c r="B71" s="305"/>
      <c r="C71" s="305"/>
      <c r="D71" s="338"/>
      <c r="E71" s="338"/>
      <c r="F71" s="338"/>
      <c r="G71" s="305"/>
      <c r="H71" s="305"/>
      <c r="I71" s="305"/>
      <c r="J71" s="339"/>
      <c r="K71" s="339"/>
      <c r="L71" s="339"/>
      <c r="M71" s="339"/>
      <c r="N71" s="305"/>
      <c r="O71" s="305"/>
      <c r="P71" s="305"/>
      <c r="Q71" s="305"/>
      <c r="R71" s="297"/>
    </row>
    <row r="72" spans="1:18" s="102" customFormat="1" ht="11.25">
      <c r="A72" s="336" t="s">
        <v>174</v>
      </c>
      <c r="B72" s="305"/>
      <c r="C72" s="305"/>
      <c r="D72" s="338"/>
      <c r="E72" s="338"/>
      <c r="F72" s="338"/>
      <c r="G72" s="305"/>
      <c r="H72" s="305"/>
      <c r="I72" s="305"/>
      <c r="J72" s="339"/>
      <c r="K72" s="339"/>
      <c r="L72" s="339"/>
      <c r="M72" s="339"/>
      <c r="N72" s="305"/>
      <c r="O72" s="305"/>
      <c r="P72" s="305"/>
      <c r="Q72" s="305"/>
      <c r="R72" s="297"/>
    </row>
    <row r="73" spans="1:18" s="102" customFormat="1" ht="11.25">
      <c r="A73" s="336" t="s">
        <v>215</v>
      </c>
      <c r="B73" s="305"/>
      <c r="C73" s="305"/>
      <c r="D73" s="338"/>
      <c r="E73" s="338"/>
      <c r="F73" s="338"/>
      <c r="G73" s="305"/>
      <c r="H73" s="305"/>
      <c r="I73" s="305"/>
      <c r="J73" s="339"/>
      <c r="K73" s="339"/>
      <c r="L73" s="339"/>
      <c r="M73" s="339"/>
      <c r="N73" s="305"/>
      <c r="O73" s="305"/>
      <c r="P73" s="305"/>
      <c r="Q73" s="305"/>
      <c r="R73" s="297"/>
    </row>
    <row r="74" spans="1:18" s="102" customFormat="1" ht="11.25">
      <c r="A74" s="336" t="s">
        <v>134</v>
      </c>
      <c r="B74" s="305"/>
      <c r="C74" s="305"/>
      <c r="D74" s="338"/>
      <c r="E74" s="338"/>
      <c r="F74" s="338"/>
      <c r="G74" s="305"/>
      <c r="H74" s="305"/>
      <c r="I74" s="305"/>
      <c r="J74" s="339"/>
      <c r="K74" s="339"/>
      <c r="L74" s="339"/>
      <c r="M74" s="339"/>
      <c r="N74" s="305"/>
      <c r="O74" s="305"/>
      <c r="P74" s="305"/>
      <c r="Q74" s="305"/>
      <c r="R74" s="297"/>
    </row>
    <row r="75" spans="1:18" s="102" customFormat="1" ht="12.75" customHeight="1" thickBot="1">
      <c r="A75" s="340" t="s">
        <v>165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11"/>
      <c r="O75" s="311"/>
      <c r="P75" s="311"/>
      <c r="Q75" s="311"/>
      <c r="R75" s="342" t="s">
        <v>132</v>
      </c>
    </row>
  </sheetData>
  <sheetProtection password="C6E4" sheet="1" objects="1" scenarios="1" selectLockedCells="1"/>
  <protectedRanges>
    <protectedRange sqref="H14:H15 H37:H39 H34:H35 H17 D11:E12 H11:H12" name="Flow Control Credits"/>
  </protectedRanges>
  <mergeCells count="34">
    <mergeCell ref="A41:D41"/>
    <mergeCell ref="A42:D42"/>
    <mergeCell ref="A43:D43"/>
    <mergeCell ref="A62:N62"/>
    <mergeCell ref="A56:D56"/>
    <mergeCell ref="A36:D36"/>
    <mergeCell ref="F34:I34"/>
    <mergeCell ref="A51:D51"/>
    <mergeCell ref="J10:N10"/>
    <mergeCell ref="A63:N63"/>
    <mergeCell ref="A37:D37"/>
    <mergeCell ref="A38:D38"/>
    <mergeCell ref="A39:D39"/>
    <mergeCell ref="A40:D40"/>
    <mergeCell ref="A30:D30"/>
    <mergeCell ref="A46:D46"/>
    <mergeCell ref="A33:D33"/>
    <mergeCell ref="A12:D12"/>
    <mergeCell ref="A17:D17"/>
    <mergeCell ref="A16:D16"/>
    <mergeCell ref="A18:D18"/>
    <mergeCell ref="A23:D23"/>
    <mergeCell ref="A24:D24"/>
    <mergeCell ref="A25:D25"/>
    <mergeCell ref="A5:N5"/>
    <mergeCell ref="A64:N64"/>
    <mergeCell ref="A68:B68"/>
    <mergeCell ref="A9:N9"/>
    <mergeCell ref="A19:D19"/>
    <mergeCell ref="A48:D48"/>
    <mergeCell ref="A47:D47"/>
    <mergeCell ref="A20:D20"/>
    <mergeCell ref="A13:D13"/>
    <mergeCell ref="A7:N7"/>
  </mergeCells>
  <dataValidations count="6">
    <dataValidation type="list" allowBlank="1" showInputMessage="1" showErrorMessage="1" sqref="C54 C27 C32">
      <formula1>Infilt</formula1>
    </dataValidation>
    <dataValidation type="list" showInputMessage="1" showErrorMessage="1" sqref="C26">
      <formula1>Bioret</formula1>
    </dataValidation>
    <dataValidation type="list" allowBlank="1" showInputMessage="1" showErrorMessage="1" sqref="C31">
      <formula1>PPFacility</formula1>
    </dataValidation>
    <dataValidation type="list" allowBlank="1" showInputMessage="1" showErrorMessage="1" sqref="Q3:Q4">
      <formula1>Projects</formula1>
    </dataValidation>
    <dataValidation type="list" allowBlank="1" showInputMessage="1" showErrorMessage="1" sqref="C49">
      <formula1>Planter</formula1>
    </dataValidation>
    <dataValidation type="list" allowBlank="1" showInputMessage="1" showErrorMessage="1" sqref="C53">
      <formula1>BioretDet</formula1>
    </dataValidation>
  </dataValidations>
  <printOptions horizontalCentered="1"/>
  <pageMargins left="0.8" right="0.8" top="0.75" bottom="0.5" header="0.5" footer="0.5"/>
  <pageSetup fitToHeight="1" fitToWidth="1" horizontalDpi="600" verticalDpi="600" orientation="portrait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Herrera Environmental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Form - Pre-Sized Flow Control Worksheet 2009</dc:title>
  <dc:subject/>
  <dc:creator>Alice Lancaster</dc:creator>
  <cp:keywords/>
  <dc:description/>
  <cp:lastModifiedBy>sharkw</cp:lastModifiedBy>
  <cp:lastPrinted>2009-11-25T04:38:03Z</cp:lastPrinted>
  <dcterms:created xsi:type="dcterms:W3CDTF">1996-10-14T23:33:28Z</dcterms:created>
  <dcterms:modified xsi:type="dcterms:W3CDTF">2017-02-07T23:21:35Z</dcterms:modified>
  <cp:category/>
  <cp:version/>
  <cp:contentType/>
  <cp:contentStatus/>
</cp:coreProperties>
</file>