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P:\PrjMgmt\_DSG\"/>
    </mc:Choice>
  </mc:AlternateContent>
  <bookViews>
    <workbookView xWindow="480" yWindow="15" windowWidth="11385" windowHeight="8790" tabRatio="755" activeTab="1"/>
  </bookViews>
  <sheets>
    <sheet name="Headloss Calcs" sheetId="1" r:id="rId1"/>
    <sheet name="Station Piping" sheetId="127" r:id="rId2"/>
    <sheet name="Pump Characterstics" sheetId="126" r:id="rId3"/>
    <sheet name="Manufacter's Curve and Modified" sheetId="128" r:id="rId4"/>
    <sheet name="Modified Pump and System Curves" sheetId="53" r:id="rId5"/>
    <sheet name="HL 1.0" sheetId="61" r:id="rId6"/>
    <sheet name="HL 2.0" sheetId="91" r:id="rId7"/>
    <sheet name="HL 3.0" sheetId="92" r:id="rId8"/>
    <sheet name="HL 4.0" sheetId="93" r:id="rId9"/>
    <sheet name="HL 5.0" sheetId="94" r:id="rId10"/>
    <sheet name="HL 6.0" sheetId="95" r:id="rId11"/>
    <sheet name="HL 7.0" sheetId="96" r:id="rId12"/>
    <sheet name="HL 8.0" sheetId="97" r:id="rId13"/>
    <sheet name="HL 9.0" sheetId="98" r:id="rId14"/>
    <sheet name="HL 10.0" sheetId="99" r:id="rId15"/>
    <sheet name="HL 11.0" sheetId="100" r:id="rId16"/>
    <sheet name="HL 12.0" sheetId="101" r:id="rId17"/>
    <sheet name="HL 13.0" sheetId="102" r:id="rId18"/>
    <sheet name="HL 14.0" sheetId="103" r:id="rId19"/>
    <sheet name="HL 15.0" sheetId="104" r:id="rId20"/>
    <sheet name="HL 16.0" sheetId="105" r:id="rId21"/>
    <sheet name="HL 17.0" sheetId="106" r:id="rId22"/>
    <sheet name="HL 18.0" sheetId="107" r:id="rId23"/>
    <sheet name="HL 19.0" sheetId="108" r:id="rId24"/>
    <sheet name="HL 20.0" sheetId="109" r:id="rId25"/>
    <sheet name="HL 21.0" sheetId="110" r:id="rId26"/>
    <sheet name="HL 22.0" sheetId="111" r:id="rId27"/>
    <sheet name="HL 23.0" sheetId="112" r:id="rId28"/>
    <sheet name="HL 24.0" sheetId="113" r:id="rId29"/>
    <sheet name="HL 25.0" sheetId="114" r:id="rId30"/>
    <sheet name="HL 26.0" sheetId="115" r:id="rId31"/>
    <sheet name="HL 27.0" sheetId="116" r:id="rId32"/>
    <sheet name="HL 28.0" sheetId="117" r:id="rId33"/>
    <sheet name="HL 29.0" sheetId="118" r:id="rId34"/>
    <sheet name="HL 30.0" sheetId="119" r:id="rId35"/>
    <sheet name="HL 31.0" sheetId="120" r:id="rId36"/>
    <sheet name="HL 32.0" sheetId="121" r:id="rId37"/>
    <sheet name="HL 33.0" sheetId="122" r:id="rId38"/>
    <sheet name="HL 34.0" sheetId="123" r:id="rId39"/>
    <sheet name="HL 35.0" sheetId="124" r:id="rId40"/>
    <sheet name="HL 36.0" sheetId="125" r:id="rId41"/>
  </sheets>
  <definedNames>
    <definedName name="_xlnm.Print_Area" localSheetId="0">'Headloss Calcs'!$A$1:$K$56</definedName>
    <definedName name="_xlnm.Print_Area" localSheetId="1">'Station Piping'!$A$1:$M$103</definedName>
  </definedNames>
  <calcPr calcId="171027"/>
</workbook>
</file>

<file path=xl/calcChain.xml><?xml version="1.0" encoding="utf-8"?>
<calcChain xmlns="http://schemas.openxmlformats.org/spreadsheetml/2006/main">
  <c r="F12" i="1" l="1"/>
  <c r="F11" i="1"/>
  <c r="F14" i="1"/>
  <c r="F16" i="1"/>
  <c r="F13" i="1"/>
  <c r="F15" i="1" s="1"/>
  <c r="H14" i="126"/>
  <c r="B27" i="126"/>
  <c r="H27" i="126" s="1"/>
  <c r="G27" i="126"/>
  <c r="I27" i="126"/>
  <c r="E70" i="127"/>
  <c r="A27" i="126"/>
  <c r="C27" i="126" s="1"/>
  <c r="H13" i="126"/>
  <c r="B26" i="126"/>
  <c r="H26" i="126" s="1"/>
  <c r="G26" i="126"/>
  <c r="I26" i="126"/>
  <c r="A26" i="126"/>
  <c r="C26" i="126"/>
  <c r="H12" i="126"/>
  <c r="B25" i="126" s="1"/>
  <c r="G25" i="126"/>
  <c r="I25" i="126" s="1"/>
  <c r="A25" i="126"/>
  <c r="C25" i="126"/>
  <c r="G14" i="126"/>
  <c r="I14" i="126"/>
  <c r="C14" i="126"/>
  <c r="G13" i="126"/>
  <c r="I13" i="126" s="1"/>
  <c r="C13" i="126"/>
  <c r="G12" i="126"/>
  <c r="I12" i="126"/>
  <c r="C12" i="126"/>
  <c r="G21" i="126"/>
  <c r="I21" i="126"/>
  <c r="G22" i="126"/>
  <c r="I22" i="126" s="1"/>
  <c r="G23" i="126"/>
  <c r="I23" i="126" s="1"/>
  <c r="G24" i="126"/>
  <c r="I24" i="126" s="1"/>
  <c r="A21" i="126"/>
  <c r="C21" i="126" s="1"/>
  <c r="A22" i="126"/>
  <c r="C22" i="126"/>
  <c r="A23" i="126"/>
  <c r="C23" i="126" s="1"/>
  <c r="A24" i="126"/>
  <c r="C24" i="126" s="1"/>
  <c r="G8" i="126"/>
  <c r="I8" i="126"/>
  <c r="G9" i="126"/>
  <c r="I9" i="126" s="1"/>
  <c r="G10" i="126"/>
  <c r="I10" i="126" s="1"/>
  <c r="G11" i="126"/>
  <c r="I11" i="126" s="1"/>
  <c r="G20" i="126"/>
  <c r="I20" i="126" s="1"/>
  <c r="A20" i="126"/>
  <c r="C20" i="126"/>
  <c r="G7" i="126"/>
  <c r="I7" i="126" s="1"/>
  <c r="F43" i="127"/>
  <c r="H43" i="127" s="1"/>
  <c r="H7" i="126"/>
  <c r="B20" i="126"/>
  <c r="H20" i="126" s="1"/>
  <c r="H8" i="126"/>
  <c r="B21" i="126"/>
  <c r="H21" i="126" s="1"/>
  <c r="H9" i="126"/>
  <c r="B22" i="126"/>
  <c r="H10" i="126"/>
  <c r="B23" i="126"/>
  <c r="H23" i="126"/>
  <c r="H11" i="126"/>
  <c r="B24" i="126" s="1"/>
  <c r="H24" i="126" s="1"/>
  <c r="C7" i="126"/>
  <c r="C8" i="126"/>
  <c r="C9" i="126"/>
  <c r="C10" i="126"/>
  <c r="C11" i="126"/>
  <c r="C89" i="127"/>
  <c r="H89" i="127" s="1"/>
  <c r="D93" i="127"/>
  <c r="I93" i="127" s="1"/>
  <c r="K93" i="127" s="1"/>
  <c r="L93" i="127" s="1"/>
  <c r="D94" i="127"/>
  <c r="I94" i="127"/>
  <c r="K94" i="127"/>
  <c r="L94" i="127" s="1"/>
  <c r="D95" i="127"/>
  <c r="D96" i="127"/>
  <c r="D97" i="127"/>
  <c r="D98" i="127"/>
  <c r="I98" i="127" s="1"/>
  <c r="K98" i="127" s="1"/>
  <c r="L98" i="127" s="1"/>
  <c r="D99" i="127"/>
  <c r="I99" i="127" s="1"/>
  <c r="K99" i="127" s="1"/>
  <c r="L99" i="127" s="1"/>
  <c r="D100" i="127"/>
  <c r="F98" i="127"/>
  <c r="F99" i="127"/>
  <c r="F100" i="127"/>
  <c r="I100" i="127"/>
  <c r="K100" i="127"/>
  <c r="L100" i="127" s="1"/>
  <c r="G100" i="127"/>
  <c r="E100" i="127"/>
  <c r="G99" i="127"/>
  <c r="H99" i="127"/>
  <c r="E99" i="127"/>
  <c r="F97" i="127"/>
  <c r="I97" i="127" s="1"/>
  <c r="K97" i="127" s="1"/>
  <c r="L97" i="127" s="1"/>
  <c r="F96" i="127"/>
  <c r="H96" i="127" s="1"/>
  <c r="F95" i="127"/>
  <c r="H95" i="127" s="1"/>
  <c r="I95" i="127"/>
  <c r="K95" i="127" s="1"/>
  <c r="L95" i="127" s="1"/>
  <c r="F94" i="127"/>
  <c r="G98" i="127"/>
  <c r="H98" i="127"/>
  <c r="E98" i="127"/>
  <c r="G97" i="127"/>
  <c r="E97" i="127"/>
  <c r="G96" i="127"/>
  <c r="E96" i="127"/>
  <c r="G95" i="127"/>
  <c r="E95" i="127"/>
  <c r="G94" i="127"/>
  <c r="E94" i="127"/>
  <c r="F93" i="127"/>
  <c r="H93" i="127" s="1"/>
  <c r="G93" i="127"/>
  <c r="E93" i="127"/>
  <c r="E89" i="127"/>
  <c r="F89" i="127"/>
  <c r="E76" i="127"/>
  <c r="D76" i="127"/>
  <c r="F76" i="127"/>
  <c r="I76" i="127"/>
  <c r="K76" i="127" s="1"/>
  <c r="G76" i="127"/>
  <c r="H76" i="127" s="1"/>
  <c r="D75" i="127"/>
  <c r="F75" i="127"/>
  <c r="I75" i="127"/>
  <c r="G75" i="127"/>
  <c r="H75" i="127"/>
  <c r="K75" i="127" s="1"/>
  <c r="D61" i="127"/>
  <c r="I61" i="127" s="1"/>
  <c r="K61" i="127" s="1"/>
  <c r="L61" i="127" s="1"/>
  <c r="F61" i="127"/>
  <c r="D60" i="127"/>
  <c r="F60" i="127"/>
  <c r="I60" i="127"/>
  <c r="K60" i="127" s="1"/>
  <c r="L60" i="127" s="1"/>
  <c r="D59" i="127"/>
  <c r="F59" i="127"/>
  <c r="H59" i="127" s="1"/>
  <c r="D58" i="127"/>
  <c r="I58" i="127" s="1"/>
  <c r="K58" i="127"/>
  <c r="L58" i="127" s="1"/>
  <c r="F58" i="127"/>
  <c r="D57" i="127"/>
  <c r="I57" i="127" s="1"/>
  <c r="F57" i="127"/>
  <c r="K57" i="127"/>
  <c r="L57" i="127"/>
  <c r="D56" i="127"/>
  <c r="I56" i="127" s="1"/>
  <c r="K56" i="127" s="1"/>
  <c r="L56" i="127"/>
  <c r="F56" i="127"/>
  <c r="D55" i="127"/>
  <c r="I55" i="127" s="1"/>
  <c r="K55" i="127" s="1"/>
  <c r="L55" i="127" s="1"/>
  <c r="F55" i="127"/>
  <c r="D54" i="127"/>
  <c r="F54" i="127"/>
  <c r="H54" i="127" s="1"/>
  <c r="D69" i="127"/>
  <c r="I69" i="127" s="1"/>
  <c r="F69" i="127"/>
  <c r="G69" i="127"/>
  <c r="H69" i="127"/>
  <c r="K69" i="127" s="1"/>
  <c r="D70" i="127"/>
  <c r="I70" i="127" s="1"/>
  <c r="K70" i="127" s="1"/>
  <c r="K71" i="127" s="1"/>
  <c r="F70" i="127"/>
  <c r="G70" i="127"/>
  <c r="H70" i="127"/>
  <c r="G61" i="127"/>
  <c r="H61" i="127"/>
  <c r="E61" i="127"/>
  <c r="G60" i="127"/>
  <c r="H60" i="127" s="1"/>
  <c r="E60" i="127"/>
  <c r="G59" i="127"/>
  <c r="E59" i="127"/>
  <c r="G58" i="127"/>
  <c r="H58" i="127" s="1"/>
  <c r="E58" i="127"/>
  <c r="G57" i="127"/>
  <c r="H57" i="127" s="1"/>
  <c r="E57" i="127"/>
  <c r="G56" i="127"/>
  <c r="H56" i="127" s="1"/>
  <c r="E56" i="127"/>
  <c r="G55" i="127"/>
  <c r="H55" i="127"/>
  <c r="E55" i="127"/>
  <c r="G54" i="127"/>
  <c r="E54" i="127"/>
  <c r="D49" i="127"/>
  <c r="F49" i="127"/>
  <c r="D48" i="127"/>
  <c r="F48" i="127"/>
  <c r="D47" i="127"/>
  <c r="I47" i="127" s="1"/>
  <c r="K47" i="127" s="1"/>
  <c r="L47" i="127" s="1"/>
  <c r="F47" i="127"/>
  <c r="D46" i="127"/>
  <c r="I46" i="127"/>
  <c r="K46" i="127" s="1"/>
  <c r="L46" i="127" s="1"/>
  <c r="F46" i="127"/>
  <c r="H46" i="127" s="1"/>
  <c r="D45" i="127"/>
  <c r="I45" i="127" s="1"/>
  <c r="K45" i="127" s="1"/>
  <c r="L45" i="127" s="1"/>
  <c r="F45" i="127"/>
  <c r="H45" i="127"/>
  <c r="D44" i="127"/>
  <c r="F44" i="127"/>
  <c r="H44" i="127" s="1"/>
  <c r="D43" i="127"/>
  <c r="I43" i="127"/>
  <c r="K43" i="127"/>
  <c r="L43" i="127" s="1"/>
  <c r="D42" i="127"/>
  <c r="M42" i="127"/>
  <c r="F42" i="127"/>
  <c r="I42" i="127" s="1"/>
  <c r="K42" i="127" s="1"/>
  <c r="L42" i="127" s="1"/>
  <c r="E49" i="127"/>
  <c r="G49" i="127"/>
  <c r="G42" i="127"/>
  <c r="H42" i="127"/>
  <c r="E48" i="127"/>
  <c r="G48" i="127"/>
  <c r="E47" i="127"/>
  <c r="G47" i="127"/>
  <c r="H47" i="127" s="1"/>
  <c r="E46" i="127"/>
  <c r="G46" i="127"/>
  <c r="E45" i="127"/>
  <c r="G45" i="127"/>
  <c r="E44" i="127"/>
  <c r="G44" i="127"/>
  <c r="E43" i="127"/>
  <c r="G43" i="127"/>
  <c r="E42" i="127"/>
  <c r="C35" i="127"/>
  <c r="D35" i="127"/>
  <c r="C34" i="127"/>
  <c r="D34" i="127"/>
  <c r="G21" i="127"/>
  <c r="H21" i="127" s="1"/>
  <c r="G20" i="127"/>
  <c r="H20" i="127"/>
  <c r="G19" i="127"/>
  <c r="H19" i="127"/>
  <c r="G18" i="127"/>
  <c r="H18" i="127" s="1"/>
  <c r="B18" i="127"/>
  <c r="C18" i="127" s="1"/>
  <c r="D37" i="91"/>
  <c r="E37" i="91" s="1"/>
  <c r="F37" i="91"/>
  <c r="D36" i="91"/>
  <c r="E36" i="91"/>
  <c r="F36" i="91"/>
  <c r="K36" i="91" s="1"/>
  <c r="N36" i="91" s="1"/>
  <c r="D35" i="91"/>
  <c r="E35" i="91" s="1"/>
  <c r="F35" i="91"/>
  <c r="D34" i="91"/>
  <c r="E34" i="91" s="1"/>
  <c r="F34" i="91"/>
  <c r="D33" i="91"/>
  <c r="E33" i="91" s="1"/>
  <c r="F33" i="91"/>
  <c r="D32" i="91"/>
  <c r="E32" i="91"/>
  <c r="J32" i="91" s="1"/>
  <c r="F32" i="91"/>
  <c r="D31" i="91"/>
  <c r="E31" i="91" s="1"/>
  <c r="F31" i="91"/>
  <c r="D30" i="91"/>
  <c r="E30" i="91" s="1"/>
  <c r="F30" i="91"/>
  <c r="D29" i="91"/>
  <c r="E29" i="91" s="1"/>
  <c r="F29" i="91"/>
  <c r="D28" i="91"/>
  <c r="E28" i="91" s="1"/>
  <c r="J28" i="91" s="1"/>
  <c r="F28" i="91"/>
  <c r="D27" i="91"/>
  <c r="E27" i="91" s="1"/>
  <c r="F27" i="91"/>
  <c r="D26" i="91"/>
  <c r="E26" i="91" s="1"/>
  <c r="F26" i="91"/>
  <c r="D25" i="91"/>
  <c r="E25" i="91" s="1"/>
  <c r="F25" i="91"/>
  <c r="D24" i="91"/>
  <c r="E24" i="91"/>
  <c r="F24" i="91"/>
  <c r="D23" i="91"/>
  <c r="E23" i="91" s="1"/>
  <c r="F23" i="91"/>
  <c r="D22" i="91"/>
  <c r="E22" i="91" s="1"/>
  <c r="F22" i="91"/>
  <c r="D37" i="92"/>
  <c r="E37" i="92" s="1"/>
  <c r="F37" i="92"/>
  <c r="D36" i="92"/>
  <c r="E36" i="92"/>
  <c r="F36" i="92"/>
  <c r="D35" i="92"/>
  <c r="E35" i="92" s="1"/>
  <c r="F35" i="92"/>
  <c r="D34" i="92"/>
  <c r="E34" i="92" s="1"/>
  <c r="F34" i="92"/>
  <c r="D33" i="92"/>
  <c r="E33" i="92" s="1"/>
  <c r="F33" i="92"/>
  <c r="D32" i="92"/>
  <c r="E32" i="92" s="1"/>
  <c r="J32" i="92" s="1"/>
  <c r="F32" i="92"/>
  <c r="D31" i="92"/>
  <c r="E31" i="92" s="1"/>
  <c r="F31" i="92"/>
  <c r="D30" i="92"/>
  <c r="E30" i="92" s="1"/>
  <c r="F30" i="92"/>
  <c r="D29" i="92"/>
  <c r="E29" i="92" s="1"/>
  <c r="J29" i="92" s="1"/>
  <c r="F29" i="92"/>
  <c r="D28" i="92"/>
  <c r="E28" i="92" s="1"/>
  <c r="F28" i="92"/>
  <c r="D27" i="92"/>
  <c r="E27" i="92" s="1"/>
  <c r="F27" i="92"/>
  <c r="D26" i="92"/>
  <c r="E26" i="92" s="1"/>
  <c r="F26" i="92"/>
  <c r="D25" i="92"/>
  <c r="E25" i="92" s="1"/>
  <c r="J25" i="92" s="1"/>
  <c r="F25" i="92"/>
  <c r="D24" i="92"/>
  <c r="E24" i="92"/>
  <c r="F24" i="92"/>
  <c r="D23" i="92"/>
  <c r="E23" i="92" s="1"/>
  <c r="F23" i="92"/>
  <c r="D22" i="92"/>
  <c r="E22" i="92"/>
  <c r="J22" i="92" s="1"/>
  <c r="F22" i="92"/>
  <c r="D37" i="93"/>
  <c r="E37" i="93" s="1"/>
  <c r="F37" i="93"/>
  <c r="D36" i="93"/>
  <c r="E36" i="93"/>
  <c r="F36" i="93"/>
  <c r="D35" i="93"/>
  <c r="E35" i="93" s="1"/>
  <c r="F35" i="93"/>
  <c r="D34" i="93"/>
  <c r="E34" i="93"/>
  <c r="F34" i="93"/>
  <c r="D33" i="93"/>
  <c r="E33" i="93" s="1"/>
  <c r="F33" i="93"/>
  <c r="D32" i="93"/>
  <c r="E32" i="93"/>
  <c r="F32" i="93"/>
  <c r="K32" i="93" s="1"/>
  <c r="N32" i="93" s="1"/>
  <c r="D31" i="93"/>
  <c r="E31" i="93" s="1"/>
  <c r="F31" i="93"/>
  <c r="D30" i="93"/>
  <c r="E30" i="93" s="1"/>
  <c r="F30" i="93"/>
  <c r="D29" i="93"/>
  <c r="E29" i="93" s="1"/>
  <c r="F29" i="93"/>
  <c r="D28" i="93"/>
  <c r="E28" i="93" s="1"/>
  <c r="F28" i="93"/>
  <c r="D27" i="93"/>
  <c r="E27" i="93" s="1"/>
  <c r="F27" i="93"/>
  <c r="D26" i="93"/>
  <c r="E26" i="93" s="1"/>
  <c r="F26" i="93"/>
  <c r="D25" i="93"/>
  <c r="E25" i="93" s="1"/>
  <c r="F25" i="93"/>
  <c r="D24" i="93"/>
  <c r="E24" i="93"/>
  <c r="F24" i="93"/>
  <c r="D23" i="93"/>
  <c r="E23" i="93" s="1"/>
  <c r="F23" i="93"/>
  <c r="D22" i="93"/>
  <c r="E22" i="93" s="1"/>
  <c r="F22" i="93"/>
  <c r="D37" i="94"/>
  <c r="E37" i="94" s="1"/>
  <c r="F37" i="94"/>
  <c r="D36" i="94"/>
  <c r="E36" i="94"/>
  <c r="F36" i="94"/>
  <c r="D35" i="94"/>
  <c r="E35" i="94" s="1"/>
  <c r="F35" i="94"/>
  <c r="D34" i="94"/>
  <c r="E34" i="94"/>
  <c r="F34" i="94"/>
  <c r="D33" i="94"/>
  <c r="E33" i="94" s="1"/>
  <c r="F33" i="94"/>
  <c r="D32" i="94"/>
  <c r="E32" i="94" s="1"/>
  <c r="F32" i="94"/>
  <c r="D31" i="94"/>
  <c r="E31" i="94" s="1"/>
  <c r="F31" i="94"/>
  <c r="D30" i="94"/>
  <c r="E30" i="94" s="1"/>
  <c r="F30" i="94"/>
  <c r="D29" i="94"/>
  <c r="E29" i="94" s="1"/>
  <c r="F29" i="94"/>
  <c r="D28" i="94"/>
  <c r="E28" i="94" s="1"/>
  <c r="F28" i="94"/>
  <c r="D27" i="94"/>
  <c r="E27" i="94" s="1"/>
  <c r="F27" i="94"/>
  <c r="D26" i="94"/>
  <c r="E26" i="94"/>
  <c r="F26" i="94"/>
  <c r="D25" i="94"/>
  <c r="E25" i="94" s="1"/>
  <c r="F25" i="94"/>
  <c r="D24" i="94"/>
  <c r="E24" i="94"/>
  <c r="F24" i="94"/>
  <c r="D23" i="94"/>
  <c r="E23" i="94" s="1"/>
  <c r="F23" i="94"/>
  <c r="D22" i="94"/>
  <c r="E22" i="94"/>
  <c r="F22" i="94"/>
  <c r="D37" i="95"/>
  <c r="E37" i="95" s="1"/>
  <c r="F37" i="95"/>
  <c r="D36" i="95"/>
  <c r="E36" i="95"/>
  <c r="F36" i="95"/>
  <c r="D35" i="95"/>
  <c r="E35" i="95" s="1"/>
  <c r="F35" i="95"/>
  <c r="D34" i="95"/>
  <c r="E34" i="95"/>
  <c r="F34" i="95"/>
  <c r="D33" i="95"/>
  <c r="E33" i="95" s="1"/>
  <c r="F33" i="95"/>
  <c r="D32" i="95"/>
  <c r="E32" i="95" s="1"/>
  <c r="F32" i="95"/>
  <c r="D31" i="95"/>
  <c r="E31" i="95" s="1"/>
  <c r="F31" i="95"/>
  <c r="D30" i="95"/>
  <c r="E30" i="95" s="1"/>
  <c r="F30" i="95"/>
  <c r="D29" i="95"/>
  <c r="E29" i="95" s="1"/>
  <c r="F29" i="95"/>
  <c r="D28" i="95"/>
  <c r="E28" i="95" s="1"/>
  <c r="F28" i="95"/>
  <c r="D27" i="95"/>
  <c r="E27" i="95" s="1"/>
  <c r="F27" i="95"/>
  <c r="D26" i="95"/>
  <c r="E26" i="95"/>
  <c r="F26" i="95"/>
  <c r="D25" i="95"/>
  <c r="E25" i="95" s="1"/>
  <c r="F25" i="95"/>
  <c r="D24" i="95"/>
  <c r="E24" i="95"/>
  <c r="F24" i="95"/>
  <c r="D23" i="95"/>
  <c r="E23" i="95" s="1"/>
  <c r="F23" i="95"/>
  <c r="D22" i="95"/>
  <c r="E22" i="95"/>
  <c r="F22" i="95"/>
  <c r="D37" i="96"/>
  <c r="E37" i="96" s="1"/>
  <c r="F37" i="96"/>
  <c r="D36" i="96"/>
  <c r="E36" i="96"/>
  <c r="F36" i="96"/>
  <c r="D35" i="96"/>
  <c r="E35" i="96" s="1"/>
  <c r="F35" i="96"/>
  <c r="D34" i="96"/>
  <c r="E34" i="96"/>
  <c r="F34" i="96"/>
  <c r="D33" i="96"/>
  <c r="E33" i="96" s="1"/>
  <c r="F33" i="96"/>
  <c r="D32" i="96"/>
  <c r="E32" i="96" s="1"/>
  <c r="F32" i="96"/>
  <c r="D31" i="96"/>
  <c r="E31" i="96" s="1"/>
  <c r="F31" i="96"/>
  <c r="D30" i="96"/>
  <c r="E30" i="96" s="1"/>
  <c r="F30" i="96"/>
  <c r="D29" i="96"/>
  <c r="E29" i="96" s="1"/>
  <c r="F29" i="96"/>
  <c r="D28" i="96"/>
  <c r="E28" i="96" s="1"/>
  <c r="F28" i="96"/>
  <c r="D27" i="96"/>
  <c r="E27" i="96" s="1"/>
  <c r="F27" i="96"/>
  <c r="D26" i="96"/>
  <c r="E26" i="96" s="1"/>
  <c r="J26" i="96" s="1"/>
  <c r="F26" i="96"/>
  <c r="D25" i="96"/>
  <c r="E25" i="96" s="1"/>
  <c r="F25" i="96"/>
  <c r="D24" i="96"/>
  <c r="E24" i="96"/>
  <c r="F24" i="96"/>
  <c r="D23" i="96"/>
  <c r="E23" i="96" s="1"/>
  <c r="F23" i="96"/>
  <c r="D22" i="96"/>
  <c r="E22" i="96" s="1"/>
  <c r="F22" i="96"/>
  <c r="D37" i="97"/>
  <c r="E37" i="97" s="1"/>
  <c r="F37" i="97"/>
  <c r="D36" i="97"/>
  <c r="E36" i="97"/>
  <c r="F36" i="97"/>
  <c r="D35" i="97"/>
  <c r="E35" i="97" s="1"/>
  <c r="J35" i="97" s="1"/>
  <c r="F35" i="97"/>
  <c r="D34" i="97"/>
  <c r="E34" i="97"/>
  <c r="F34" i="97"/>
  <c r="D33" i="97"/>
  <c r="E33" i="97" s="1"/>
  <c r="F33" i="97"/>
  <c r="D32" i="97"/>
  <c r="E32" i="97"/>
  <c r="J32" i="97" s="1"/>
  <c r="F32" i="97"/>
  <c r="D31" i="97"/>
  <c r="E31" i="97" s="1"/>
  <c r="F31" i="97"/>
  <c r="D30" i="97"/>
  <c r="E30" i="97" s="1"/>
  <c r="J30" i="97" s="1"/>
  <c r="F30" i="97"/>
  <c r="D29" i="97"/>
  <c r="E29" i="97" s="1"/>
  <c r="F29" i="97"/>
  <c r="D28" i="97"/>
  <c r="E28" i="97" s="1"/>
  <c r="J28" i="97" s="1"/>
  <c r="F28" i="97"/>
  <c r="D27" i="97"/>
  <c r="E27" i="97" s="1"/>
  <c r="F27" i="97"/>
  <c r="D26" i="97"/>
  <c r="E26" i="97" s="1"/>
  <c r="J26" i="97" s="1"/>
  <c r="K26" i="97" s="1"/>
  <c r="F26" i="97"/>
  <c r="D25" i="97"/>
  <c r="E25" i="97" s="1"/>
  <c r="F25" i="97"/>
  <c r="D24" i="97"/>
  <c r="E24" i="97"/>
  <c r="F24" i="97"/>
  <c r="D23" i="97"/>
  <c r="E23" i="97" s="1"/>
  <c r="J23" i="97" s="1"/>
  <c r="F23" i="97"/>
  <c r="D22" i="97"/>
  <c r="E22" i="97" s="1"/>
  <c r="F22" i="97"/>
  <c r="D37" i="98"/>
  <c r="E37" i="98" s="1"/>
  <c r="F37" i="98"/>
  <c r="D36" i="98"/>
  <c r="E36" i="98"/>
  <c r="F36" i="98"/>
  <c r="D35" i="98"/>
  <c r="E35" i="98" s="1"/>
  <c r="F35" i="98"/>
  <c r="D34" i="98"/>
  <c r="E34" i="98"/>
  <c r="F34" i="98"/>
  <c r="D33" i="98"/>
  <c r="E33" i="98" s="1"/>
  <c r="F33" i="98"/>
  <c r="D32" i="98"/>
  <c r="E32" i="98" s="1"/>
  <c r="F32" i="98"/>
  <c r="D31" i="98"/>
  <c r="E31" i="98" s="1"/>
  <c r="F31" i="98"/>
  <c r="D30" i="98"/>
  <c r="E30" i="98" s="1"/>
  <c r="F30" i="98"/>
  <c r="D29" i="98"/>
  <c r="E29" i="98" s="1"/>
  <c r="F29" i="98"/>
  <c r="D28" i="98"/>
  <c r="E28" i="98" s="1"/>
  <c r="F28" i="98"/>
  <c r="D27" i="98"/>
  <c r="E27" i="98" s="1"/>
  <c r="F27" i="98"/>
  <c r="D26" i="98"/>
  <c r="E26" i="98"/>
  <c r="F26" i="98"/>
  <c r="D25" i="98"/>
  <c r="E25" i="98" s="1"/>
  <c r="F25" i="98"/>
  <c r="D24" i="98"/>
  <c r="E24" i="98"/>
  <c r="F24" i="98"/>
  <c r="D23" i="98"/>
  <c r="E23" i="98" s="1"/>
  <c r="F23" i="98"/>
  <c r="D22" i="98"/>
  <c r="E22" i="98"/>
  <c r="F22" i="98"/>
  <c r="D37" i="99"/>
  <c r="E37" i="99" s="1"/>
  <c r="F37" i="99"/>
  <c r="D36" i="99"/>
  <c r="E36" i="99"/>
  <c r="F36" i="99"/>
  <c r="D35" i="99"/>
  <c r="E35" i="99" s="1"/>
  <c r="F35" i="99"/>
  <c r="D34" i="99"/>
  <c r="E34" i="99"/>
  <c r="F34" i="99"/>
  <c r="D33" i="99"/>
  <c r="E33" i="99" s="1"/>
  <c r="F33" i="99"/>
  <c r="D32" i="99"/>
  <c r="E32" i="99" s="1"/>
  <c r="F32" i="99"/>
  <c r="D31" i="99"/>
  <c r="E31" i="99" s="1"/>
  <c r="F31" i="99"/>
  <c r="D30" i="99"/>
  <c r="E30" i="99" s="1"/>
  <c r="F30" i="99"/>
  <c r="D29" i="99"/>
  <c r="E29" i="99" s="1"/>
  <c r="F29" i="99"/>
  <c r="D28" i="99"/>
  <c r="E28" i="99" s="1"/>
  <c r="F28" i="99"/>
  <c r="D27" i="99"/>
  <c r="E27" i="99" s="1"/>
  <c r="F27" i="99"/>
  <c r="D26" i="99"/>
  <c r="E26" i="99"/>
  <c r="F26" i="99"/>
  <c r="D25" i="99"/>
  <c r="E25" i="99" s="1"/>
  <c r="F25" i="99"/>
  <c r="D24" i="99"/>
  <c r="E24" i="99"/>
  <c r="F24" i="99"/>
  <c r="D23" i="99"/>
  <c r="E23" i="99" s="1"/>
  <c r="F23" i="99"/>
  <c r="D22" i="99"/>
  <c r="E22" i="99"/>
  <c r="J22" i="99" s="1"/>
  <c r="F22" i="99"/>
  <c r="D37" i="100"/>
  <c r="E37" i="100" s="1"/>
  <c r="F37" i="100"/>
  <c r="D36" i="100"/>
  <c r="E36" i="100"/>
  <c r="F36" i="100"/>
  <c r="D35" i="100"/>
  <c r="E35" i="100" s="1"/>
  <c r="F35" i="100"/>
  <c r="D34" i="100"/>
  <c r="E34" i="100"/>
  <c r="F34" i="100"/>
  <c r="D33" i="100"/>
  <c r="E33" i="100" s="1"/>
  <c r="F33" i="100"/>
  <c r="D32" i="100"/>
  <c r="E32" i="100" s="1"/>
  <c r="F32" i="100"/>
  <c r="D31" i="100"/>
  <c r="E31" i="100" s="1"/>
  <c r="F31" i="100"/>
  <c r="D30" i="100"/>
  <c r="E30" i="100" s="1"/>
  <c r="F30" i="100"/>
  <c r="D29" i="100"/>
  <c r="E29" i="100" s="1"/>
  <c r="J29" i="100" s="1"/>
  <c r="F29" i="100"/>
  <c r="D28" i="100"/>
  <c r="E28" i="100" s="1"/>
  <c r="F28" i="100"/>
  <c r="D27" i="100"/>
  <c r="E27" i="100" s="1"/>
  <c r="F27" i="100"/>
  <c r="D26" i="100"/>
  <c r="E26" i="100" s="1"/>
  <c r="F26" i="100"/>
  <c r="D25" i="100"/>
  <c r="E25" i="100" s="1"/>
  <c r="F25" i="100"/>
  <c r="D24" i="100"/>
  <c r="E24" i="100"/>
  <c r="F24" i="100"/>
  <c r="D23" i="100"/>
  <c r="E23" i="100" s="1"/>
  <c r="F23" i="100"/>
  <c r="D22" i="100"/>
  <c r="E22" i="100"/>
  <c r="F22" i="100"/>
  <c r="D37" i="101"/>
  <c r="E37" i="101" s="1"/>
  <c r="F37" i="101"/>
  <c r="D36" i="101"/>
  <c r="E36" i="101"/>
  <c r="F36" i="101"/>
  <c r="D35" i="101"/>
  <c r="E35" i="101" s="1"/>
  <c r="F35" i="101"/>
  <c r="D34" i="101"/>
  <c r="E34" i="101"/>
  <c r="F34" i="101"/>
  <c r="D33" i="101"/>
  <c r="E33" i="101" s="1"/>
  <c r="F33" i="101"/>
  <c r="D32" i="101"/>
  <c r="E32" i="101"/>
  <c r="F32" i="101"/>
  <c r="D31" i="101"/>
  <c r="E31" i="101" s="1"/>
  <c r="F31" i="101"/>
  <c r="D30" i="101"/>
  <c r="E30" i="101" s="1"/>
  <c r="F30" i="101"/>
  <c r="D29" i="101"/>
  <c r="E29" i="101" s="1"/>
  <c r="F29" i="101"/>
  <c r="D28" i="101"/>
  <c r="E28" i="101" s="1"/>
  <c r="F28" i="101"/>
  <c r="D27" i="101"/>
  <c r="E27" i="101" s="1"/>
  <c r="F27" i="101"/>
  <c r="D26" i="101"/>
  <c r="E26" i="101"/>
  <c r="F26" i="101"/>
  <c r="D25" i="101"/>
  <c r="E25" i="101" s="1"/>
  <c r="F25" i="101"/>
  <c r="D24" i="101"/>
  <c r="E24" i="101"/>
  <c r="F24" i="101"/>
  <c r="D23" i="101"/>
  <c r="E23" i="101" s="1"/>
  <c r="F23" i="101"/>
  <c r="D22" i="101"/>
  <c r="E22" i="101" s="1"/>
  <c r="F22" i="101"/>
  <c r="D37" i="102"/>
  <c r="E37" i="102" s="1"/>
  <c r="F37" i="102"/>
  <c r="D36" i="102"/>
  <c r="E36" i="102"/>
  <c r="F36" i="102"/>
  <c r="D35" i="102"/>
  <c r="E35" i="102" s="1"/>
  <c r="F35" i="102"/>
  <c r="D34" i="102"/>
  <c r="E34" i="102"/>
  <c r="F34" i="102"/>
  <c r="D33" i="102"/>
  <c r="E33" i="102" s="1"/>
  <c r="F33" i="102"/>
  <c r="D32" i="102"/>
  <c r="E32" i="102" s="1"/>
  <c r="F32" i="102"/>
  <c r="D31" i="102"/>
  <c r="E31" i="102" s="1"/>
  <c r="F31" i="102"/>
  <c r="D30" i="102"/>
  <c r="E30" i="102" s="1"/>
  <c r="F30" i="102"/>
  <c r="D29" i="102"/>
  <c r="E29" i="102" s="1"/>
  <c r="F29" i="102"/>
  <c r="D28" i="102"/>
  <c r="E28" i="102" s="1"/>
  <c r="F28" i="102"/>
  <c r="D27" i="102"/>
  <c r="E27" i="102" s="1"/>
  <c r="F27" i="102"/>
  <c r="D26" i="102"/>
  <c r="E26" i="102"/>
  <c r="F26" i="102"/>
  <c r="D25" i="102"/>
  <c r="E25" i="102" s="1"/>
  <c r="F25" i="102"/>
  <c r="D24" i="102"/>
  <c r="E24" i="102"/>
  <c r="F24" i="102"/>
  <c r="D23" i="102"/>
  <c r="E23" i="102" s="1"/>
  <c r="F23" i="102"/>
  <c r="D22" i="102"/>
  <c r="E22" i="102"/>
  <c r="F22" i="102"/>
  <c r="D37" i="103"/>
  <c r="E37" i="103" s="1"/>
  <c r="F37" i="103"/>
  <c r="D36" i="103"/>
  <c r="E36" i="103"/>
  <c r="F36" i="103"/>
  <c r="D35" i="103"/>
  <c r="E35" i="103" s="1"/>
  <c r="F35" i="103"/>
  <c r="D34" i="103"/>
  <c r="E34" i="103"/>
  <c r="F34" i="103"/>
  <c r="D33" i="103"/>
  <c r="E33" i="103" s="1"/>
  <c r="F33" i="103"/>
  <c r="D32" i="103"/>
  <c r="E32" i="103" s="1"/>
  <c r="F32" i="103"/>
  <c r="D31" i="103"/>
  <c r="E31" i="103" s="1"/>
  <c r="F31" i="103"/>
  <c r="D30" i="103"/>
  <c r="E30" i="103" s="1"/>
  <c r="F30" i="103"/>
  <c r="D29" i="103"/>
  <c r="E29" i="103" s="1"/>
  <c r="F29" i="103"/>
  <c r="D28" i="103"/>
  <c r="E28" i="103" s="1"/>
  <c r="F28" i="103"/>
  <c r="D27" i="103"/>
  <c r="E27" i="103" s="1"/>
  <c r="F27" i="103"/>
  <c r="D26" i="103"/>
  <c r="E26" i="103"/>
  <c r="F26" i="103"/>
  <c r="D25" i="103"/>
  <c r="E25" i="103" s="1"/>
  <c r="F25" i="103"/>
  <c r="D24" i="103"/>
  <c r="E24" i="103"/>
  <c r="F24" i="103"/>
  <c r="D23" i="103"/>
  <c r="E23" i="103" s="1"/>
  <c r="F23" i="103"/>
  <c r="D22" i="103"/>
  <c r="E22" i="103"/>
  <c r="F22" i="103"/>
  <c r="D37" i="104"/>
  <c r="E37" i="104" s="1"/>
  <c r="F37" i="104"/>
  <c r="D36" i="104"/>
  <c r="E36" i="104"/>
  <c r="F36" i="104"/>
  <c r="D35" i="104"/>
  <c r="E35" i="104" s="1"/>
  <c r="F35" i="104"/>
  <c r="D34" i="104"/>
  <c r="E34" i="104"/>
  <c r="F34" i="104"/>
  <c r="D33" i="104"/>
  <c r="E33" i="104" s="1"/>
  <c r="F33" i="104"/>
  <c r="D32" i="104"/>
  <c r="E32" i="104" s="1"/>
  <c r="F32" i="104"/>
  <c r="D31" i="104"/>
  <c r="E31" i="104" s="1"/>
  <c r="F31" i="104"/>
  <c r="D30" i="104"/>
  <c r="E30" i="104" s="1"/>
  <c r="F30" i="104"/>
  <c r="D29" i="104"/>
  <c r="E29" i="104" s="1"/>
  <c r="F29" i="104"/>
  <c r="D28" i="104"/>
  <c r="E28" i="104" s="1"/>
  <c r="F28" i="104"/>
  <c r="D27" i="104"/>
  <c r="E27" i="104" s="1"/>
  <c r="F27" i="104"/>
  <c r="D26" i="104"/>
  <c r="E26" i="104" s="1"/>
  <c r="F26" i="104"/>
  <c r="D25" i="104"/>
  <c r="E25" i="104" s="1"/>
  <c r="F25" i="104"/>
  <c r="D24" i="104"/>
  <c r="E24" i="104"/>
  <c r="F24" i="104"/>
  <c r="D23" i="104"/>
  <c r="E23" i="104" s="1"/>
  <c r="F23" i="104"/>
  <c r="D22" i="104"/>
  <c r="E22" i="104" s="1"/>
  <c r="F22" i="104"/>
  <c r="D37" i="105"/>
  <c r="E37" i="105" s="1"/>
  <c r="F37" i="105"/>
  <c r="D36" i="105"/>
  <c r="E36" i="105"/>
  <c r="F36" i="105"/>
  <c r="D35" i="105"/>
  <c r="E35" i="105" s="1"/>
  <c r="F35" i="105"/>
  <c r="D34" i="105"/>
  <c r="E34" i="105"/>
  <c r="F34" i="105"/>
  <c r="D33" i="105"/>
  <c r="E33" i="105" s="1"/>
  <c r="F33" i="105"/>
  <c r="D32" i="105"/>
  <c r="E32" i="105"/>
  <c r="F32" i="105"/>
  <c r="D31" i="105"/>
  <c r="E31" i="105" s="1"/>
  <c r="F31" i="105"/>
  <c r="D30" i="105"/>
  <c r="E30" i="105" s="1"/>
  <c r="F30" i="105"/>
  <c r="D29" i="105"/>
  <c r="E29" i="105" s="1"/>
  <c r="F29" i="105"/>
  <c r="D28" i="105"/>
  <c r="E28" i="105" s="1"/>
  <c r="F28" i="105"/>
  <c r="D27" i="105"/>
  <c r="E27" i="105" s="1"/>
  <c r="F27" i="105"/>
  <c r="D26" i="105"/>
  <c r="E26" i="105"/>
  <c r="F26" i="105"/>
  <c r="D25" i="105"/>
  <c r="E25" i="105" s="1"/>
  <c r="F25" i="105"/>
  <c r="D24" i="105"/>
  <c r="E24" i="105"/>
  <c r="F24" i="105"/>
  <c r="D23" i="105"/>
  <c r="E23" i="105" s="1"/>
  <c r="F23" i="105"/>
  <c r="D22" i="105"/>
  <c r="E22" i="105" s="1"/>
  <c r="F22" i="105"/>
  <c r="D37" i="106"/>
  <c r="E37" i="106" s="1"/>
  <c r="F37" i="106"/>
  <c r="D36" i="106"/>
  <c r="E36" i="106"/>
  <c r="F36" i="106"/>
  <c r="D35" i="106"/>
  <c r="E35" i="106" s="1"/>
  <c r="F35" i="106"/>
  <c r="D34" i="106"/>
  <c r="E34" i="106"/>
  <c r="F34" i="106"/>
  <c r="D33" i="106"/>
  <c r="E33" i="106" s="1"/>
  <c r="F33" i="106"/>
  <c r="D32" i="106"/>
  <c r="E32" i="106" s="1"/>
  <c r="F32" i="106"/>
  <c r="D31" i="106"/>
  <c r="E31" i="106" s="1"/>
  <c r="F31" i="106"/>
  <c r="D30" i="106"/>
  <c r="E30" i="106" s="1"/>
  <c r="F30" i="106"/>
  <c r="D29" i="106"/>
  <c r="E29" i="106" s="1"/>
  <c r="F29" i="106"/>
  <c r="D28" i="106"/>
  <c r="E28" i="106" s="1"/>
  <c r="F28" i="106"/>
  <c r="D27" i="106"/>
  <c r="E27" i="106" s="1"/>
  <c r="F27" i="106"/>
  <c r="D26" i="106"/>
  <c r="E26" i="106"/>
  <c r="F26" i="106"/>
  <c r="D25" i="106"/>
  <c r="E25" i="106" s="1"/>
  <c r="F25" i="106"/>
  <c r="D24" i="106"/>
  <c r="E24" i="106"/>
  <c r="F24" i="106"/>
  <c r="D23" i="106"/>
  <c r="E23" i="106" s="1"/>
  <c r="F23" i="106"/>
  <c r="D22" i="106"/>
  <c r="E22" i="106"/>
  <c r="F22" i="106"/>
  <c r="D37" i="107"/>
  <c r="E37" i="107" s="1"/>
  <c r="F37" i="107"/>
  <c r="D36" i="107"/>
  <c r="E36" i="107"/>
  <c r="F36" i="107"/>
  <c r="D35" i="107"/>
  <c r="E35" i="107" s="1"/>
  <c r="F35" i="107"/>
  <c r="D34" i="107"/>
  <c r="E34" i="107"/>
  <c r="F34" i="107"/>
  <c r="D33" i="107"/>
  <c r="E33" i="107" s="1"/>
  <c r="F33" i="107"/>
  <c r="D32" i="107"/>
  <c r="E32" i="107" s="1"/>
  <c r="F32" i="107"/>
  <c r="D31" i="107"/>
  <c r="E31" i="107" s="1"/>
  <c r="F31" i="107"/>
  <c r="D30" i="107"/>
  <c r="E30" i="107" s="1"/>
  <c r="F30" i="107"/>
  <c r="D29" i="107"/>
  <c r="E29" i="107" s="1"/>
  <c r="F29" i="107"/>
  <c r="D28" i="107"/>
  <c r="E28" i="107" s="1"/>
  <c r="F28" i="107"/>
  <c r="D27" i="107"/>
  <c r="E27" i="107" s="1"/>
  <c r="F27" i="107"/>
  <c r="D26" i="107"/>
  <c r="E26" i="107"/>
  <c r="J26" i="107" s="1"/>
  <c r="F26" i="107"/>
  <c r="D25" i="107"/>
  <c r="E25" i="107" s="1"/>
  <c r="F25" i="107"/>
  <c r="D24" i="107"/>
  <c r="E24" i="107"/>
  <c r="F24" i="107"/>
  <c r="D23" i="107"/>
  <c r="E23" i="107" s="1"/>
  <c r="F23" i="107"/>
  <c r="D22" i="107"/>
  <c r="E22" i="107"/>
  <c r="F22" i="107"/>
  <c r="D37" i="108"/>
  <c r="E37" i="108" s="1"/>
  <c r="F37" i="108"/>
  <c r="D36" i="108"/>
  <c r="E36" i="108"/>
  <c r="F36" i="108"/>
  <c r="D35" i="108"/>
  <c r="E35" i="108" s="1"/>
  <c r="F35" i="108"/>
  <c r="D34" i="108"/>
  <c r="E34" i="108"/>
  <c r="F34" i="108"/>
  <c r="D33" i="108"/>
  <c r="E33" i="108" s="1"/>
  <c r="F33" i="108"/>
  <c r="D32" i="108"/>
  <c r="E32" i="108" s="1"/>
  <c r="F32" i="108"/>
  <c r="D31" i="108"/>
  <c r="E31" i="108" s="1"/>
  <c r="F31" i="108"/>
  <c r="D30" i="108"/>
  <c r="E30" i="108" s="1"/>
  <c r="F30" i="108"/>
  <c r="D29" i="108"/>
  <c r="E29" i="108" s="1"/>
  <c r="F29" i="108"/>
  <c r="D28" i="108"/>
  <c r="E28" i="108" s="1"/>
  <c r="F28" i="108"/>
  <c r="D27" i="108"/>
  <c r="E27" i="108" s="1"/>
  <c r="F27" i="108"/>
  <c r="D26" i="108"/>
  <c r="E26" i="108" s="1"/>
  <c r="F26" i="108"/>
  <c r="D25" i="108"/>
  <c r="E25" i="108" s="1"/>
  <c r="F25" i="108"/>
  <c r="D24" i="108"/>
  <c r="E24" i="108"/>
  <c r="F24" i="108"/>
  <c r="D23" i="108"/>
  <c r="E23" i="108" s="1"/>
  <c r="F23" i="108"/>
  <c r="D22" i="108"/>
  <c r="E22" i="108" s="1"/>
  <c r="J22" i="108" s="1"/>
  <c r="K22" i="108" s="1"/>
  <c r="F22" i="108"/>
  <c r="D37" i="109"/>
  <c r="E37" i="109" s="1"/>
  <c r="F37" i="109"/>
  <c r="D36" i="109"/>
  <c r="E36" i="109"/>
  <c r="F36" i="109"/>
  <c r="D35" i="109"/>
  <c r="E35" i="109" s="1"/>
  <c r="F35" i="109"/>
  <c r="D34" i="109"/>
  <c r="E34" i="109"/>
  <c r="F34" i="109"/>
  <c r="D33" i="109"/>
  <c r="E33" i="109" s="1"/>
  <c r="F33" i="109"/>
  <c r="D32" i="109"/>
  <c r="E32" i="109"/>
  <c r="F32" i="109"/>
  <c r="D31" i="109"/>
  <c r="E31" i="109" s="1"/>
  <c r="F31" i="109"/>
  <c r="D30" i="109"/>
  <c r="E30" i="109" s="1"/>
  <c r="F30" i="109"/>
  <c r="D29" i="109"/>
  <c r="E29" i="109" s="1"/>
  <c r="F29" i="109"/>
  <c r="D28" i="109"/>
  <c r="E28" i="109" s="1"/>
  <c r="F28" i="109"/>
  <c r="D27" i="109"/>
  <c r="E27" i="109" s="1"/>
  <c r="F27" i="109"/>
  <c r="D26" i="109"/>
  <c r="E26" i="109"/>
  <c r="F26" i="109"/>
  <c r="D25" i="109"/>
  <c r="E25" i="109" s="1"/>
  <c r="F25" i="109"/>
  <c r="D24" i="109"/>
  <c r="E24" i="109"/>
  <c r="F24" i="109"/>
  <c r="D23" i="109"/>
  <c r="E23" i="109" s="1"/>
  <c r="F23" i="109"/>
  <c r="D22" i="109"/>
  <c r="E22" i="109" s="1"/>
  <c r="F22" i="109"/>
  <c r="D37" i="110"/>
  <c r="E37" i="110" s="1"/>
  <c r="F37" i="110"/>
  <c r="D36" i="110"/>
  <c r="E36" i="110"/>
  <c r="F36" i="110"/>
  <c r="D35" i="110"/>
  <c r="E35" i="110" s="1"/>
  <c r="F35" i="110"/>
  <c r="D34" i="110"/>
  <c r="E34" i="110"/>
  <c r="F34" i="110"/>
  <c r="D33" i="110"/>
  <c r="E33" i="110" s="1"/>
  <c r="F33" i="110"/>
  <c r="D32" i="110"/>
  <c r="E32" i="110" s="1"/>
  <c r="F32" i="110"/>
  <c r="D31" i="110"/>
  <c r="E31" i="110" s="1"/>
  <c r="F31" i="110"/>
  <c r="D30" i="110"/>
  <c r="E30" i="110" s="1"/>
  <c r="F30" i="110"/>
  <c r="D29" i="110"/>
  <c r="E29" i="110" s="1"/>
  <c r="F29" i="110"/>
  <c r="D28" i="110"/>
  <c r="E28" i="110" s="1"/>
  <c r="F28" i="110"/>
  <c r="D27" i="110"/>
  <c r="E27" i="110" s="1"/>
  <c r="F27" i="110"/>
  <c r="D26" i="110"/>
  <c r="E26" i="110"/>
  <c r="F26" i="110"/>
  <c r="D25" i="110"/>
  <c r="E25" i="110" s="1"/>
  <c r="F25" i="110"/>
  <c r="D24" i="110"/>
  <c r="E24" i="110"/>
  <c r="F24" i="110"/>
  <c r="D23" i="110"/>
  <c r="E23" i="110" s="1"/>
  <c r="F23" i="110"/>
  <c r="D22" i="110"/>
  <c r="E22" i="110"/>
  <c r="J22" i="110" s="1"/>
  <c r="F22" i="110"/>
  <c r="D37" i="111"/>
  <c r="E37" i="111" s="1"/>
  <c r="F37" i="111"/>
  <c r="D36" i="111"/>
  <c r="E36" i="111"/>
  <c r="F36" i="111"/>
  <c r="D35" i="111"/>
  <c r="E35" i="111" s="1"/>
  <c r="F35" i="111"/>
  <c r="D34" i="111"/>
  <c r="E34" i="111"/>
  <c r="F34" i="111"/>
  <c r="D33" i="111"/>
  <c r="E33" i="111" s="1"/>
  <c r="F33" i="111"/>
  <c r="D32" i="111"/>
  <c r="E32" i="111" s="1"/>
  <c r="F32" i="111"/>
  <c r="D31" i="111"/>
  <c r="E31" i="111" s="1"/>
  <c r="F31" i="111"/>
  <c r="D30" i="111"/>
  <c r="E30" i="111" s="1"/>
  <c r="F30" i="111"/>
  <c r="D29" i="111"/>
  <c r="E29" i="111" s="1"/>
  <c r="F29" i="111"/>
  <c r="D28" i="111"/>
  <c r="E28" i="111" s="1"/>
  <c r="F28" i="111"/>
  <c r="D27" i="111"/>
  <c r="E27" i="111" s="1"/>
  <c r="F27" i="111"/>
  <c r="D26" i="111"/>
  <c r="E26" i="111"/>
  <c r="F26" i="111"/>
  <c r="D25" i="111"/>
  <c r="E25" i="111" s="1"/>
  <c r="F25" i="111"/>
  <c r="D24" i="111"/>
  <c r="E24" i="111"/>
  <c r="F24" i="111"/>
  <c r="D23" i="111"/>
  <c r="E23" i="111" s="1"/>
  <c r="F23" i="111"/>
  <c r="D22" i="111"/>
  <c r="E22" i="111"/>
  <c r="F22" i="111"/>
  <c r="D37" i="112"/>
  <c r="E37" i="112" s="1"/>
  <c r="F37" i="112"/>
  <c r="D36" i="112"/>
  <c r="E36" i="112"/>
  <c r="F36" i="112"/>
  <c r="D35" i="112"/>
  <c r="E35" i="112" s="1"/>
  <c r="F35" i="112"/>
  <c r="D34" i="112"/>
  <c r="E34" i="112"/>
  <c r="F34" i="112"/>
  <c r="D33" i="112"/>
  <c r="E33" i="112" s="1"/>
  <c r="F33" i="112"/>
  <c r="D32" i="112"/>
  <c r="E32" i="112" s="1"/>
  <c r="F32" i="112"/>
  <c r="D31" i="112"/>
  <c r="E31" i="112" s="1"/>
  <c r="F31" i="112"/>
  <c r="D30" i="112"/>
  <c r="E30" i="112" s="1"/>
  <c r="F30" i="112"/>
  <c r="D29" i="112"/>
  <c r="E29" i="112" s="1"/>
  <c r="F29" i="112"/>
  <c r="D28" i="112"/>
  <c r="E28" i="112" s="1"/>
  <c r="F28" i="112"/>
  <c r="D27" i="112"/>
  <c r="E27" i="112" s="1"/>
  <c r="F27" i="112"/>
  <c r="D26" i="112"/>
  <c r="E26" i="112" s="1"/>
  <c r="F26" i="112"/>
  <c r="D25" i="112"/>
  <c r="E25" i="112" s="1"/>
  <c r="F25" i="112"/>
  <c r="D24" i="112"/>
  <c r="E24" i="112"/>
  <c r="F24" i="112"/>
  <c r="D23" i="112"/>
  <c r="E23" i="112" s="1"/>
  <c r="F23" i="112"/>
  <c r="D22" i="112"/>
  <c r="E22" i="112" s="1"/>
  <c r="F22" i="112"/>
  <c r="D37" i="113"/>
  <c r="E37" i="113" s="1"/>
  <c r="F37" i="113"/>
  <c r="D36" i="113"/>
  <c r="E36" i="113"/>
  <c r="F36" i="113"/>
  <c r="D35" i="113"/>
  <c r="E35" i="113" s="1"/>
  <c r="F35" i="113"/>
  <c r="D34" i="113"/>
  <c r="E34" i="113"/>
  <c r="F34" i="113"/>
  <c r="D33" i="113"/>
  <c r="E33" i="113" s="1"/>
  <c r="F33" i="113"/>
  <c r="D32" i="113"/>
  <c r="E32" i="113"/>
  <c r="F32" i="113"/>
  <c r="D31" i="113"/>
  <c r="E31" i="113" s="1"/>
  <c r="F31" i="113"/>
  <c r="D30" i="113"/>
  <c r="E30" i="113" s="1"/>
  <c r="F30" i="113"/>
  <c r="D29" i="113"/>
  <c r="E29" i="113" s="1"/>
  <c r="F29" i="113"/>
  <c r="D28" i="113"/>
  <c r="E28" i="113" s="1"/>
  <c r="F28" i="113"/>
  <c r="D27" i="113"/>
  <c r="E27" i="113" s="1"/>
  <c r="F27" i="113"/>
  <c r="D26" i="113"/>
  <c r="E26" i="113" s="1"/>
  <c r="F26" i="113"/>
  <c r="D25" i="113"/>
  <c r="E25" i="113" s="1"/>
  <c r="F25" i="113"/>
  <c r="D24" i="113"/>
  <c r="E24" i="113"/>
  <c r="F24" i="113"/>
  <c r="D23" i="113"/>
  <c r="E23" i="113" s="1"/>
  <c r="F23" i="113"/>
  <c r="D22" i="113"/>
  <c r="E22" i="113" s="1"/>
  <c r="F22" i="113"/>
  <c r="D37" i="114"/>
  <c r="E37" i="114" s="1"/>
  <c r="F37" i="114"/>
  <c r="D36" i="114"/>
  <c r="E36" i="114"/>
  <c r="F36" i="114"/>
  <c r="D35" i="114"/>
  <c r="E35" i="114" s="1"/>
  <c r="F35" i="114"/>
  <c r="D34" i="114"/>
  <c r="E34" i="114"/>
  <c r="F34" i="114"/>
  <c r="D33" i="114"/>
  <c r="E33" i="114" s="1"/>
  <c r="F33" i="114"/>
  <c r="D32" i="114"/>
  <c r="E32" i="114" s="1"/>
  <c r="F32" i="114"/>
  <c r="D31" i="114"/>
  <c r="E31" i="114" s="1"/>
  <c r="F31" i="114"/>
  <c r="D30" i="114"/>
  <c r="E30" i="114" s="1"/>
  <c r="F30" i="114"/>
  <c r="D29" i="114"/>
  <c r="E29" i="114" s="1"/>
  <c r="F29" i="114"/>
  <c r="D28" i="114"/>
  <c r="E28" i="114" s="1"/>
  <c r="F28" i="114"/>
  <c r="D27" i="114"/>
  <c r="E27" i="114" s="1"/>
  <c r="F27" i="114"/>
  <c r="D26" i="114"/>
  <c r="E26" i="114"/>
  <c r="F26" i="114"/>
  <c r="D25" i="114"/>
  <c r="E25" i="114" s="1"/>
  <c r="F25" i="114"/>
  <c r="D24" i="114"/>
  <c r="E24" i="114"/>
  <c r="F24" i="114"/>
  <c r="D23" i="114"/>
  <c r="E23" i="114" s="1"/>
  <c r="F23" i="114"/>
  <c r="D22" i="114"/>
  <c r="E22" i="114"/>
  <c r="F22" i="114"/>
  <c r="D37" i="115"/>
  <c r="E37" i="115" s="1"/>
  <c r="F37" i="115"/>
  <c r="D36" i="115"/>
  <c r="E36" i="115"/>
  <c r="F36" i="115"/>
  <c r="D35" i="115"/>
  <c r="E35" i="115" s="1"/>
  <c r="F35" i="115"/>
  <c r="D34" i="115"/>
  <c r="E34" i="115"/>
  <c r="F34" i="115"/>
  <c r="D33" i="115"/>
  <c r="E33" i="115" s="1"/>
  <c r="F33" i="115"/>
  <c r="D32" i="115"/>
  <c r="E32" i="115" s="1"/>
  <c r="F32" i="115"/>
  <c r="D31" i="115"/>
  <c r="E31" i="115" s="1"/>
  <c r="F31" i="115"/>
  <c r="D30" i="115"/>
  <c r="E30" i="115" s="1"/>
  <c r="F30" i="115"/>
  <c r="D29" i="115"/>
  <c r="E29" i="115" s="1"/>
  <c r="F29" i="115"/>
  <c r="K29" i="115" s="1"/>
  <c r="N29" i="115" s="1"/>
  <c r="D28" i="115"/>
  <c r="E28" i="115" s="1"/>
  <c r="F28" i="115"/>
  <c r="D27" i="115"/>
  <c r="E27" i="115" s="1"/>
  <c r="F27" i="115"/>
  <c r="D26" i="115"/>
  <c r="E26" i="115"/>
  <c r="F26" i="115"/>
  <c r="D25" i="115"/>
  <c r="E25" i="115" s="1"/>
  <c r="J25" i="115" s="1"/>
  <c r="F25" i="115"/>
  <c r="D24" i="115"/>
  <c r="E24" i="115"/>
  <c r="F24" i="115"/>
  <c r="D23" i="115"/>
  <c r="E23" i="115" s="1"/>
  <c r="F23" i="115"/>
  <c r="D22" i="115"/>
  <c r="E22" i="115"/>
  <c r="F22" i="115"/>
  <c r="D37" i="116"/>
  <c r="E37" i="116"/>
  <c r="F37" i="116"/>
  <c r="D36" i="116"/>
  <c r="E36" i="116" s="1"/>
  <c r="F36" i="116"/>
  <c r="D35" i="116"/>
  <c r="E35" i="116"/>
  <c r="J35" i="116" s="1"/>
  <c r="F35" i="116"/>
  <c r="D34" i="116"/>
  <c r="E34" i="116" s="1"/>
  <c r="F34" i="116"/>
  <c r="D33" i="116"/>
  <c r="E33" i="116"/>
  <c r="F33" i="116"/>
  <c r="D32" i="116"/>
  <c r="E32" i="116" s="1"/>
  <c r="F32" i="116"/>
  <c r="D31" i="116"/>
  <c r="E31" i="116"/>
  <c r="F31" i="116"/>
  <c r="D30" i="116"/>
  <c r="E30" i="116" s="1"/>
  <c r="F30" i="116"/>
  <c r="D29" i="116"/>
  <c r="E29" i="116" s="1"/>
  <c r="F29" i="116"/>
  <c r="D28" i="116"/>
  <c r="E28" i="116" s="1"/>
  <c r="F28" i="116"/>
  <c r="D27" i="116"/>
  <c r="E27" i="116" s="1"/>
  <c r="F27" i="116"/>
  <c r="D26" i="116"/>
  <c r="E26" i="116" s="1"/>
  <c r="F26" i="116"/>
  <c r="D25" i="116"/>
  <c r="E25" i="116" s="1"/>
  <c r="F25" i="116"/>
  <c r="D24" i="116"/>
  <c r="E24" i="116" s="1"/>
  <c r="J24" i="116" s="1"/>
  <c r="F24" i="116"/>
  <c r="D23" i="116"/>
  <c r="E23" i="116" s="1"/>
  <c r="F23" i="116"/>
  <c r="D22" i="116"/>
  <c r="E22" i="116" s="1"/>
  <c r="J22" i="116" s="1"/>
  <c r="F22" i="116"/>
  <c r="D37" i="117"/>
  <c r="E37" i="117"/>
  <c r="F37" i="117"/>
  <c r="D36" i="117"/>
  <c r="E36" i="117" s="1"/>
  <c r="F36" i="117"/>
  <c r="D35" i="117"/>
  <c r="E35" i="117"/>
  <c r="F35" i="117"/>
  <c r="D34" i="117"/>
  <c r="E34" i="117" s="1"/>
  <c r="F34" i="117"/>
  <c r="D33" i="117"/>
  <c r="E33" i="117"/>
  <c r="F33" i="117"/>
  <c r="D32" i="117"/>
  <c r="E32" i="117" s="1"/>
  <c r="F32" i="117"/>
  <c r="D31" i="117"/>
  <c r="E31" i="117"/>
  <c r="F31" i="117"/>
  <c r="D30" i="117"/>
  <c r="E30" i="117" s="1"/>
  <c r="F30" i="117"/>
  <c r="D29" i="117"/>
  <c r="E29" i="117"/>
  <c r="F29" i="117"/>
  <c r="D28" i="117"/>
  <c r="E28" i="117" s="1"/>
  <c r="F28" i="117"/>
  <c r="D27" i="117"/>
  <c r="E27" i="117" s="1"/>
  <c r="F27" i="117"/>
  <c r="D26" i="117"/>
  <c r="E26" i="117" s="1"/>
  <c r="F26" i="117"/>
  <c r="D25" i="117"/>
  <c r="E25" i="117" s="1"/>
  <c r="F25" i="117"/>
  <c r="D24" i="117"/>
  <c r="E24" i="117" s="1"/>
  <c r="F24" i="117"/>
  <c r="D23" i="117"/>
  <c r="E23" i="117"/>
  <c r="J23" i="117" s="1"/>
  <c r="F23" i="117"/>
  <c r="D22" i="117"/>
  <c r="E22" i="117" s="1"/>
  <c r="F22" i="117"/>
  <c r="D37" i="118"/>
  <c r="E37" i="118"/>
  <c r="F37" i="118"/>
  <c r="D36" i="118"/>
  <c r="E36" i="118" s="1"/>
  <c r="F36" i="118"/>
  <c r="K36" i="118" s="1"/>
  <c r="D35" i="118"/>
  <c r="E35" i="118" s="1"/>
  <c r="F35" i="118"/>
  <c r="D34" i="118"/>
  <c r="E34" i="118" s="1"/>
  <c r="F34" i="118"/>
  <c r="D33" i="118"/>
  <c r="E33" i="118"/>
  <c r="F33" i="118"/>
  <c r="D32" i="118"/>
  <c r="E32" i="118" s="1"/>
  <c r="F32" i="118"/>
  <c r="D31" i="118"/>
  <c r="E31" i="118"/>
  <c r="F31" i="118"/>
  <c r="D30" i="118"/>
  <c r="E30" i="118" s="1"/>
  <c r="F30" i="118"/>
  <c r="D29" i="118"/>
  <c r="E29" i="118" s="1"/>
  <c r="F29" i="118"/>
  <c r="D28" i="118"/>
  <c r="E28" i="118" s="1"/>
  <c r="F28" i="118"/>
  <c r="D27" i="118"/>
  <c r="E27" i="118" s="1"/>
  <c r="F27" i="118"/>
  <c r="D26" i="118"/>
  <c r="E26" i="118" s="1"/>
  <c r="F26" i="118"/>
  <c r="D25" i="118"/>
  <c r="E25" i="118" s="1"/>
  <c r="F25" i="118"/>
  <c r="D24" i="118"/>
  <c r="E24" i="118" s="1"/>
  <c r="F24" i="118"/>
  <c r="D23" i="118"/>
  <c r="E23" i="118"/>
  <c r="F23" i="118"/>
  <c r="D22" i="118"/>
  <c r="E22" i="118" s="1"/>
  <c r="F22" i="118"/>
  <c r="D37" i="119"/>
  <c r="E37" i="119"/>
  <c r="F37" i="119"/>
  <c r="D36" i="119"/>
  <c r="E36" i="119" s="1"/>
  <c r="F36" i="119"/>
  <c r="D35" i="119"/>
  <c r="E35" i="119"/>
  <c r="J35" i="119" s="1"/>
  <c r="F35" i="119"/>
  <c r="D34" i="119"/>
  <c r="E34" i="119" s="1"/>
  <c r="F34" i="119"/>
  <c r="D33" i="119"/>
  <c r="E33" i="119"/>
  <c r="F33" i="119"/>
  <c r="D32" i="119"/>
  <c r="E32" i="119" s="1"/>
  <c r="F32" i="119"/>
  <c r="D31" i="119"/>
  <c r="E31" i="119"/>
  <c r="F31" i="119"/>
  <c r="D30" i="119"/>
  <c r="E30" i="119" s="1"/>
  <c r="F30" i="119"/>
  <c r="D29" i="119"/>
  <c r="E29" i="119" s="1"/>
  <c r="F29" i="119"/>
  <c r="D28" i="119"/>
  <c r="E28" i="119" s="1"/>
  <c r="F28" i="119"/>
  <c r="D27" i="119"/>
  <c r="E27" i="119" s="1"/>
  <c r="F27" i="119"/>
  <c r="D26" i="119"/>
  <c r="E26" i="119" s="1"/>
  <c r="F26" i="119"/>
  <c r="D25" i="119"/>
  <c r="E25" i="119" s="1"/>
  <c r="F25" i="119"/>
  <c r="D24" i="119"/>
  <c r="E24" i="119" s="1"/>
  <c r="F24" i="119"/>
  <c r="D23" i="119"/>
  <c r="E23" i="119"/>
  <c r="F23" i="119"/>
  <c r="D22" i="119"/>
  <c r="E22" i="119" s="1"/>
  <c r="F22" i="119"/>
  <c r="D37" i="120"/>
  <c r="E37" i="120"/>
  <c r="F37" i="120"/>
  <c r="D36" i="120"/>
  <c r="E36" i="120" s="1"/>
  <c r="F36" i="120"/>
  <c r="D35" i="120"/>
  <c r="E35" i="120"/>
  <c r="F35" i="120"/>
  <c r="D34" i="120"/>
  <c r="E34" i="120" s="1"/>
  <c r="F34" i="120"/>
  <c r="D33" i="120"/>
  <c r="E33" i="120"/>
  <c r="F33" i="120"/>
  <c r="D32" i="120"/>
  <c r="E32" i="120" s="1"/>
  <c r="F32" i="120"/>
  <c r="D31" i="120"/>
  <c r="E31" i="120"/>
  <c r="F31" i="120"/>
  <c r="D30" i="120"/>
  <c r="E30" i="120" s="1"/>
  <c r="F30" i="120"/>
  <c r="D29" i="120"/>
  <c r="E29" i="120" s="1"/>
  <c r="F29" i="120"/>
  <c r="D28" i="120"/>
  <c r="E28" i="120" s="1"/>
  <c r="F28" i="120"/>
  <c r="D27" i="120"/>
  <c r="E27" i="120" s="1"/>
  <c r="F27" i="120"/>
  <c r="D26" i="120"/>
  <c r="E26" i="120" s="1"/>
  <c r="F26" i="120"/>
  <c r="D25" i="120"/>
  <c r="E25" i="120" s="1"/>
  <c r="F25" i="120"/>
  <c r="D24" i="120"/>
  <c r="E24" i="120" s="1"/>
  <c r="F24" i="120"/>
  <c r="D23" i="120"/>
  <c r="E23" i="120" s="1"/>
  <c r="F23" i="120"/>
  <c r="D22" i="120"/>
  <c r="E22" i="120" s="1"/>
  <c r="F22" i="120"/>
  <c r="D37" i="121"/>
  <c r="E37" i="121"/>
  <c r="F37" i="121"/>
  <c r="D36" i="121"/>
  <c r="E36" i="121" s="1"/>
  <c r="F36" i="121"/>
  <c r="D35" i="121"/>
  <c r="E35" i="121"/>
  <c r="F35" i="121"/>
  <c r="D34" i="121"/>
  <c r="E34" i="121" s="1"/>
  <c r="F34" i="121"/>
  <c r="D33" i="121"/>
  <c r="E33" i="121"/>
  <c r="F33" i="121"/>
  <c r="D32" i="121"/>
  <c r="E32" i="121" s="1"/>
  <c r="F32" i="121"/>
  <c r="D31" i="121"/>
  <c r="E31" i="121"/>
  <c r="F31" i="121"/>
  <c r="D30" i="121"/>
  <c r="E30" i="121" s="1"/>
  <c r="F30" i="121"/>
  <c r="D29" i="121"/>
  <c r="E29" i="121"/>
  <c r="F29" i="121"/>
  <c r="D28" i="121"/>
  <c r="E28" i="121" s="1"/>
  <c r="F28" i="121"/>
  <c r="D27" i="121"/>
  <c r="E27" i="121" s="1"/>
  <c r="F27" i="121"/>
  <c r="D26" i="121"/>
  <c r="E26" i="121" s="1"/>
  <c r="F26" i="121"/>
  <c r="D25" i="121"/>
  <c r="E25" i="121" s="1"/>
  <c r="F25" i="121"/>
  <c r="D24" i="121"/>
  <c r="E24" i="121" s="1"/>
  <c r="F24" i="121"/>
  <c r="D23" i="121"/>
  <c r="E23" i="121" s="1"/>
  <c r="J23" i="121" s="1"/>
  <c r="F23" i="121"/>
  <c r="D22" i="121"/>
  <c r="E22" i="121" s="1"/>
  <c r="F22" i="121"/>
  <c r="D37" i="122"/>
  <c r="E37" i="122"/>
  <c r="F37" i="122"/>
  <c r="D36" i="122"/>
  <c r="E36" i="122" s="1"/>
  <c r="F36" i="122"/>
  <c r="D35" i="122"/>
  <c r="E35" i="122" s="1"/>
  <c r="F35" i="122"/>
  <c r="D34" i="122"/>
  <c r="E34" i="122" s="1"/>
  <c r="F34" i="122"/>
  <c r="D33" i="122"/>
  <c r="E33" i="122"/>
  <c r="F33" i="122"/>
  <c r="D32" i="122"/>
  <c r="E32" i="122" s="1"/>
  <c r="F32" i="122"/>
  <c r="D31" i="122"/>
  <c r="E31" i="122"/>
  <c r="F31" i="122"/>
  <c r="D30" i="122"/>
  <c r="E30" i="122" s="1"/>
  <c r="F30" i="122"/>
  <c r="D29" i="122"/>
  <c r="E29" i="122" s="1"/>
  <c r="F29" i="122"/>
  <c r="D28" i="122"/>
  <c r="E28" i="122" s="1"/>
  <c r="F28" i="122"/>
  <c r="D27" i="122"/>
  <c r="E27" i="122" s="1"/>
  <c r="F27" i="122"/>
  <c r="D26" i="122"/>
  <c r="E26" i="122" s="1"/>
  <c r="F26" i="122"/>
  <c r="D25" i="122"/>
  <c r="E25" i="122" s="1"/>
  <c r="F25" i="122"/>
  <c r="D24" i="122"/>
  <c r="E24" i="122" s="1"/>
  <c r="F24" i="122"/>
  <c r="D23" i="122"/>
  <c r="E23" i="122"/>
  <c r="F23" i="122"/>
  <c r="D22" i="122"/>
  <c r="E22" i="122" s="1"/>
  <c r="F22" i="122"/>
  <c r="D37" i="123"/>
  <c r="E37" i="123"/>
  <c r="F37" i="123"/>
  <c r="D36" i="123"/>
  <c r="E36" i="123" s="1"/>
  <c r="F36" i="123"/>
  <c r="D35" i="123"/>
  <c r="E35" i="123"/>
  <c r="F35" i="123"/>
  <c r="D34" i="123"/>
  <c r="E34" i="123" s="1"/>
  <c r="F34" i="123"/>
  <c r="D33" i="123"/>
  <c r="E33" i="123"/>
  <c r="F33" i="123"/>
  <c r="D32" i="123"/>
  <c r="E32" i="123" s="1"/>
  <c r="F32" i="123"/>
  <c r="D31" i="123"/>
  <c r="E31" i="123"/>
  <c r="F31" i="123"/>
  <c r="D30" i="123"/>
  <c r="E30" i="123" s="1"/>
  <c r="F30" i="123"/>
  <c r="D29" i="123"/>
  <c r="E29" i="123" s="1"/>
  <c r="F29" i="123"/>
  <c r="D28" i="123"/>
  <c r="E28" i="123" s="1"/>
  <c r="F28" i="123"/>
  <c r="D27" i="123"/>
  <c r="E27" i="123" s="1"/>
  <c r="F27" i="123"/>
  <c r="D26" i="123"/>
  <c r="E26" i="123" s="1"/>
  <c r="F26" i="123"/>
  <c r="D25" i="123"/>
  <c r="E25" i="123" s="1"/>
  <c r="F25" i="123"/>
  <c r="D24" i="123"/>
  <c r="E24" i="123" s="1"/>
  <c r="F24" i="123"/>
  <c r="D23" i="123"/>
  <c r="E23" i="123"/>
  <c r="F23" i="123"/>
  <c r="D22" i="123"/>
  <c r="E22" i="123" s="1"/>
  <c r="F22" i="123"/>
  <c r="D37" i="124"/>
  <c r="E37" i="124"/>
  <c r="F37" i="124"/>
  <c r="D36" i="124"/>
  <c r="E36" i="124" s="1"/>
  <c r="F36" i="124"/>
  <c r="D35" i="124"/>
  <c r="E35" i="124"/>
  <c r="F35" i="124"/>
  <c r="D34" i="124"/>
  <c r="E34" i="124" s="1"/>
  <c r="F34" i="124"/>
  <c r="D33" i="124"/>
  <c r="E33" i="124"/>
  <c r="F33" i="124"/>
  <c r="D32" i="124"/>
  <c r="E32" i="124" s="1"/>
  <c r="F32" i="124"/>
  <c r="D31" i="124"/>
  <c r="E31" i="124"/>
  <c r="F31" i="124"/>
  <c r="D30" i="124"/>
  <c r="E30" i="124" s="1"/>
  <c r="F30" i="124"/>
  <c r="D29" i="124"/>
  <c r="E29" i="124" s="1"/>
  <c r="F29" i="124"/>
  <c r="D28" i="124"/>
  <c r="E28" i="124" s="1"/>
  <c r="F28" i="124"/>
  <c r="D27" i="124"/>
  <c r="E27" i="124" s="1"/>
  <c r="F27" i="124"/>
  <c r="D26" i="124"/>
  <c r="E26" i="124" s="1"/>
  <c r="F26" i="124"/>
  <c r="D25" i="124"/>
  <c r="E25" i="124" s="1"/>
  <c r="F25" i="124"/>
  <c r="D24" i="124"/>
  <c r="E24" i="124" s="1"/>
  <c r="F24" i="124"/>
  <c r="D23" i="124"/>
  <c r="E23" i="124" s="1"/>
  <c r="F23" i="124"/>
  <c r="D22" i="124"/>
  <c r="E22" i="124" s="1"/>
  <c r="F22" i="124"/>
  <c r="D37" i="125"/>
  <c r="E37" i="125"/>
  <c r="F37" i="125"/>
  <c r="D36" i="125"/>
  <c r="E36" i="125" s="1"/>
  <c r="F36" i="125"/>
  <c r="D35" i="125"/>
  <c r="E35" i="125"/>
  <c r="F35" i="125"/>
  <c r="D34" i="125"/>
  <c r="E34" i="125" s="1"/>
  <c r="F34" i="125"/>
  <c r="D33" i="125"/>
  <c r="E33" i="125"/>
  <c r="F33" i="125"/>
  <c r="D32" i="125"/>
  <c r="E32" i="125" s="1"/>
  <c r="F32" i="125"/>
  <c r="D31" i="125"/>
  <c r="E31" i="125"/>
  <c r="F31" i="125"/>
  <c r="D30" i="125"/>
  <c r="E30" i="125" s="1"/>
  <c r="F30" i="125"/>
  <c r="D29" i="125"/>
  <c r="E29" i="125"/>
  <c r="F29" i="125"/>
  <c r="D28" i="125"/>
  <c r="E28" i="125" s="1"/>
  <c r="F28" i="125"/>
  <c r="D27" i="125"/>
  <c r="E27" i="125" s="1"/>
  <c r="F27" i="125"/>
  <c r="D26" i="125"/>
  <c r="E26" i="125" s="1"/>
  <c r="F26" i="125"/>
  <c r="D25" i="125"/>
  <c r="E25" i="125" s="1"/>
  <c r="F25" i="125"/>
  <c r="D24" i="125"/>
  <c r="E24" i="125" s="1"/>
  <c r="F24" i="125"/>
  <c r="D23" i="125"/>
  <c r="E23" i="125" s="1"/>
  <c r="F23" i="125"/>
  <c r="D22" i="125"/>
  <c r="E22" i="125" s="1"/>
  <c r="F22" i="125"/>
  <c r="F37" i="61"/>
  <c r="F36" i="61"/>
  <c r="F35" i="61"/>
  <c r="F34" i="61"/>
  <c r="F33" i="61"/>
  <c r="F32" i="61"/>
  <c r="F31" i="61"/>
  <c r="F30" i="61"/>
  <c r="F29" i="61"/>
  <c r="F28" i="61"/>
  <c r="F27" i="61"/>
  <c r="D26" i="61"/>
  <c r="E26" i="61" s="1"/>
  <c r="F26" i="61"/>
  <c r="D25" i="61"/>
  <c r="E25" i="61" s="1"/>
  <c r="F25" i="61"/>
  <c r="D24" i="61"/>
  <c r="E24" i="61" s="1"/>
  <c r="F24" i="61"/>
  <c r="D23" i="61"/>
  <c r="E23" i="61"/>
  <c r="F23" i="61"/>
  <c r="D22" i="61"/>
  <c r="E22" i="61" s="1"/>
  <c r="F22" i="61"/>
  <c r="D18" i="91"/>
  <c r="E18" i="91"/>
  <c r="F18" i="91"/>
  <c r="D17" i="91"/>
  <c r="E17" i="91" s="1"/>
  <c r="F17" i="91"/>
  <c r="D16" i="91"/>
  <c r="E16" i="91" s="1"/>
  <c r="F16" i="91"/>
  <c r="D15" i="91"/>
  <c r="E15" i="91" s="1"/>
  <c r="F15" i="91"/>
  <c r="D14" i="91"/>
  <c r="E14" i="91" s="1"/>
  <c r="F14" i="91"/>
  <c r="D13" i="91"/>
  <c r="E13" i="91" s="1"/>
  <c r="F13" i="91"/>
  <c r="D12" i="91"/>
  <c r="E12" i="91" s="1"/>
  <c r="F12" i="91"/>
  <c r="D11" i="91"/>
  <c r="E11" i="91" s="1"/>
  <c r="F11" i="91"/>
  <c r="D10" i="91"/>
  <c r="E10" i="91"/>
  <c r="F10" i="91"/>
  <c r="D9" i="91"/>
  <c r="E9" i="91" s="1"/>
  <c r="F9" i="91"/>
  <c r="D8" i="91"/>
  <c r="E8" i="91"/>
  <c r="F8" i="91"/>
  <c r="D7" i="91"/>
  <c r="E7" i="91" s="1"/>
  <c r="F7" i="91"/>
  <c r="D6" i="91"/>
  <c r="E6" i="91"/>
  <c r="F6" i="91"/>
  <c r="D5" i="91"/>
  <c r="E5" i="91" s="1"/>
  <c r="F5" i="91"/>
  <c r="D4" i="91"/>
  <c r="E4" i="91"/>
  <c r="F4" i="91"/>
  <c r="D3" i="91"/>
  <c r="E3" i="91" s="1"/>
  <c r="F3" i="91"/>
  <c r="D18" i="92"/>
  <c r="E18" i="92"/>
  <c r="F18" i="92"/>
  <c r="D17" i="92"/>
  <c r="E17" i="92" s="1"/>
  <c r="F17" i="92"/>
  <c r="D16" i="92"/>
  <c r="E16" i="92" s="1"/>
  <c r="F16" i="92"/>
  <c r="D15" i="92"/>
  <c r="E15" i="92" s="1"/>
  <c r="F15" i="92"/>
  <c r="D14" i="92"/>
  <c r="E14" i="92" s="1"/>
  <c r="F14" i="92"/>
  <c r="D13" i="92"/>
  <c r="E13" i="92" s="1"/>
  <c r="F13" i="92"/>
  <c r="D12" i="92"/>
  <c r="E12" i="92" s="1"/>
  <c r="F12" i="92"/>
  <c r="D11" i="92"/>
  <c r="E11" i="92" s="1"/>
  <c r="F11" i="92"/>
  <c r="D10" i="92"/>
  <c r="E10" i="92"/>
  <c r="F10" i="92"/>
  <c r="D9" i="92"/>
  <c r="E9" i="92" s="1"/>
  <c r="F9" i="92"/>
  <c r="D8" i="92"/>
  <c r="E8" i="92"/>
  <c r="F8" i="92"/>
  <c r="D7" i="92"/>
  <c r="E7" i="92" s="1"/>
  <c r="F7" i="92"/>
  <c r="D6" i="92"/>
  <c r="E6" i="92"/>
  <c r="F6" i="92"/>
  <c r="D5" i="92"/>
  <c r="E5" i="92" s="1"/>
  <c r="F5" i="92"/>
  <c r="D4" i="92"/>
  <c r="E4" i="92"/>
  <c r="F4" i="92"/>
  <c r="D3" i="92"/>
  <c r="E3" i="92" s="1"/>
  <c r="F3" i="92"/>
  <c r="D18" i="93"/>
  <c r="E18" i="93"/>
  <c r="F18" i="93"/>
  <c r="D17" i="93"/>
  <c r="E17" i="93" s="1"/>
  <c r="F17" i="93"/>
  <c r="D16" i="93"/>
  <c r="E16" i="93" s="1"/>
  <c r="F16" i="93"/>
  <c r="D15" i="93"/>
  <c r="E15" i="93" s="1"/>
  <c r="F15" i="93"/>
  <c r="D14" i="93"/>
  <c r="E14" i="93" s="1"/>
  <c r="F14" i="93"/>
  <c r="D13" i="93"/>
  <c r="E13" i="93" s="1"/>
  <c r="F13" i="93"/>
  <c r="D12" i="93"/>
  <c r="E12" i="93" s="1"/>
  <c r="F12" i="93"/>
  <c r="D11" i="93"/>
  <c r="E11" i="93" s="1"/>
  <c r="F11" i="93"/>
  <c r="D10" i="93"/>
  <c r="E10" i="93" s="1"/>
  <c r="F10" i="93"/>
  <c r="D9" i="93"/>
  <c r="E9" i="93" s="1"/>
  <c r="F9" i="93"/>
  <c r="D8" i="93"/>
  <c r="E8" i="93"/>
  <c r="F8" i="93"/>
  <c r="D7" i="93"/>
  <c r="E7" i="93" s="1"/>
  <c r="F7" i="93"/>
  <c r="D6" i="93"/>
  <c r="E6" i="93" s="1"/>
  <c r="F6" i="93"/>
  <c r="D5" i="93"/>
  <c r="E5" i="93" s="1"/>
  <c r="F5" i="93"/>
  <c r="D4" i="93"/>
  <c r="E4" i="93"/>
  <c r="F4" i="93"/>
  <c r="D3" i="93"/>
  <c r="E3" i="93" s="1"/>
  <c r="F3" i="93"/>
  <c r="D18" i="94"/>
  <c r="E18" i="94"/>
  <c r="F18" i="94"/>
  <c r="D17" i="94"/>
  <c r="E17" i="94" s="1"/>
  <c r="F17" i="94"/>
  <c r="D16" i="94"/>
  <c r="E16" i="94"/>
  <c r="F16" i="94"/>
  <c r="D15" i="94"/>
  <c r="E15" i="94" s="1"/>
  <c r="F15" i="94"/>
  <c r="D14" i="94"/>
  <c r="E14" i="94" s="1"/>
  <c r="F14" i="94"/>
  <c r="D13" i="94"/>
  <c r="E13" i="94" s="1"/>
  <c r="F13" i="94"/>
  <c r="D12" i="94"/>
  <c r="E12" i="94" s="1"/>
  <c r="F12" i="94"/>
  <c r="D11" i="94"/>
  <c r="E11" i="94" s="1"/>
  <c r="F11" i="94"/>
  <c r="D10" i="94"/>
  <c r="E10" i="94" s="1"/>
  <c r="F10" i="94"/>
  <c r="D9" i="94"/>
  <c r="E9" i="94" s="1"/>
  <c r="F9" i="94"/>
  <c r="D8" i="94"/>
  <c r="E8" i="94"/>
  <c r="F8" i="94"/>
  <c r="D7" i="94"/>
  <c r="E7" i="94" s="1"/>
  <c r="F7" i="94"/>
  <c r="D6" i="94"/>
  <c r="E6" i="94" s="1"/>
  <c r="F6" i="94"/>
  <c r="D5" i="94"/>
  <c r="E5" i="94" s="1"/>
  <c r="F5" i="94"/>
  <c r="D4" i="94"/>
  <c r="E4" i="94"/>
  <c r="F4" i="94"/>
  <c r="D3" i="94"/>
  <c r="E3" i="94" s="1"/>
  <c r="F3" i="94"/>
  <c r="D18" i="95"/>
  <c r="E18" i="95"/>
  <c r="F18" i="95"/>
  <c r="D17" i="95"/>
  <c r="E17" i="95" s="1"/>
  <c r="F17" i="95"/>
  <c r="D16" i="95"/>
  <c r="E16" i="95" s="1"/>
  <c r="F16" i="95"/>
  <c r="D15" i="95"/>
  <c r="E15" i="95" s="1"/>
  <c r="F15" i="95"/>
  <c r="D14" i="95"/>
  <c r="E14" i="95" s="1"/>
  <c r="F14" i="95"/>
  <c r="D13" i="95"/>
  <c r="E13" i="95" s="1"/>
  <c r="F13" i="95"/>
  <c r="D12" i="95"/>
  <c r="E12" i="95" s="1"/>
  <c r="F12" i="95"/>
  <c r="D11" i="95"/>
  <c r="E11" i="95" s="1"/>
  <c r="F11" i="95"/>
  <c r="D10" i="95"/>
  <c r="E10" i="95"/>
  <c r="F10" i="95"/>
  <c r="D9" i="95"/>
  <c r="E9" i="95" s="1"/>
  <c r="F9" i="95"/>
  <c r="D8" i="95"/>
  <c r="E8" i="95"/>
  <c r="F8" i="95"/>
  <c r="D7" i="95"/>
  <c r="E7" i="95" s="1"/>
  <c r="F7" i="95"/>
  <c r="D6" i="95"/>
  <c r="E6" i="95"/>
  <c r="F6" i="95"/>
  <c r="D5" i="95"/>
  <c r="E5" i="95" s="1"/>
  <c r="F5" i="95"/>
  <c r="D4" i="95"/>
  <c r="E4" i="95"/>
  <c r="F4" i="95"/>
  <c r="D3" i="95"/>
  <c r="E3" i="95" s="1"/>
  <c r="F3" i="95"/>
  <c r="D18" i="96"/>
  <c r="E18" i="96"/>
  <c r="F18" i="96"/>
  <c r="D17" i="96"/>
  <c r="E17" i="96" s="1"/>
  <c r="F17" i="96"/>
  <c r="D16" i="96"/>
  <c r="E16" i="96" s="1"/>
  <c r="F16" i="96"/>
  <c r="D15" i="96"/>
  <c r="E15" i="96" s="1"/>
  <c r="F15" i="96"/>
  <c r="D14" i="96"/>
  <c r="E14" i="96" s="1"/>
  <c r="F14" i="96"/>
  <c r="D13" i="96"/>
  <c r="E13" i="96" s="1"/>
  <c r="F13" i="96"/>
  <c r="D12" i="96"/>
  <c r="E12" i="96" s="1"/>
  <c r="F12" i="96"/>
  <c r="D11" i="96"/>
  <c r="E11" i="96" s="1"/>
  <c r="F11" i="96"/>
  <c r="D10" i="96"/>
  <c r="E10" i="96"/>
  <c r="F10" i="96"/>
  <c r="D9" i="96"/>
  <c r="E9" i="96" s="1"/>
  <c r="F9" i="96"/>
  <c r="D8" i="96"/>
  <c r="E8" i="96"/>
  <c r="F8" i="96"/>
  <c r="D7" i="96"/>
  <c r="E7" i="96" s="1"/>
  <c r="F7" i="96"/>
  <c r="D6" i="96"/>
  <c r="E6" i="96"/>
  <c r="F6" i="96"/>
  <c r="D5" i="96"/>
  <c r="E5" i="96" s="1"/>
  <c r="F5" i="96"/>
  <c r="D4" i="96"/>
  <c r="E4" i="96"/>
  <c r="F4" i="96"/>
  <c r="D3" i="96"/>
  <c r="E3" i="96" s="1"/>
  <c r="F3" i="96"/>
  <c r="D18" i="97"/>
  <c r="E18" i="97"/>
  <c r="F18" i="97"/>
  <c r="D17" i="97"/>
  <c r="E17" i="97" s="1"/>
  <c r="F17" i="97"/>
  <c r="D16" i="97"/>
  <c r="E16" i="97" s="1"/>
  <c r="F16" i="97"/>
  <c r="K16" i="97" s="1"/>
  <c r="N16" i="97" s="1"/>
  <c r="D15" i="97"/>
  <c r="E15" i="97" s="1"/>
  <c r="F15" i="97"/>
  <c r="D14" i="97"/>
  <c r="E14" i="97" s="1"/>
  <c r="F14" i="97"/>
  <c r="D13" i="97"/>
  <c r="E13" i="97" s="1"/>
  <c r="F13" i="97"/>
  <c r="D12" i="97"/>
  <c r="E12" i="97" s="1"/>
  <c r="F12" i="97"/>
  <c r="D11" i="97"/>
  <c r="E11" i="97" s="1"/>
  <c r="F11" i="97"/>
  <c r="D10" i="97"/>
  <c r="E10" i="97" s="1"/>
  <c r="F10" i="97"/>
  <c r="D9" i="97"/>
  <c r="E9" i="97" s="1"/>
  <c r="F9" i="97"/>
  <c r="D8" i="97"/>
  <c r="E8" i="97"/>
  <c r="J8" i="97" s="1"/>
  <c r="K8" i="97" s="1"/>
  <c r="F8" i="97"/>
  <c r="D7" i="97"/>
  <c r="E7" i="97" s="1"/>
  <c r="F7" i="97"/>
  <c r="D6" i="97"/>
  <c r="E6" i="97"/>
  <c r="F6" i="97"/>
  <c r="D5" i="97"/>
  <c r="E5" i="97" s="1"/>
  <c r="F5" i="97"/>
  <c r="K5" i="97" s="1"/>
  <c r="D4" i="97"/>
  <c r="E4" i="97"/>
  <c r="F4" i="97"/>
  <c r="D3" i="97"/>
  <c r="E3" i="97" s="1"/>
  <c r="F3" i="97"/>
  <c r="D18" i="98"/>
  <c r="E18" i="98"/>
  <c r="F18" i="98"/>
  <c r="K18" i="98" s="1"/>
  <c r="N18" i="98" s="1"/>
  <c r="D17" i="98"/>
  <c r="E17" i="98" s="1"/>
  <c r="F17" i="98"/>
  <c r="D16" i="98"/>
  <c r="E16" i="98"/>
  <c r="F16" i="98"/>
  <c r="D15" i="98"/>
  <c r="E15" i="98" s="1"/>
  <c r="F15" i="98"/>
  <c r="D14" i="98"/>
  <c r="E14" i="98" s="1"/>
  <c r="F14" i="98"/>
  <c r="D13" i="98"/>
  <c r="E13" i="98" s="1"/>
  <c r="F13" i="98"/>
  <c r="D12" i="98"/>
  <c r="E12" i="98" s="1"/>
  <c r="F12" i="98"/>
  <c r="D11" i="98"/>
  <c r="E11" i="98" s="1"/>
  <c r="F11" i="98"/>
  <c r="D10" i="98"/>
  <c r="E10" i="98" s="1"/>
  <c r="J10" i="98" s="1"/>
  <c r="F10" i="98"/>
  <c r="D9" i="98"/>
  <c r="E9" i="98" s="1"/>
  <c r="F9" i="98"/>
  <c r="D8" i="98"/>
  <c r="E8" i="98"/>
  <c r="F8" i="98"/>
  <c r="D7" i="98"/>
  <c r="E7" i="98" s="1"/>
  <c r="F7" i="98"/>
  <c r="D6" i="98"/>
  <c r="E6" i="98" s="1"/>
  <c r="F6" i="98"/>
  <c r="D5" i="98"/>
  <c r="E5" i="98" s="1"/>
  <c r="F5" i="98"/>
  <c r="D4" i="98"/>
  <c r="E4" i="98"/>
  <c r="F4" i="98"/>
  <c r="D3" i="98"/>
  <c r="E3" i="98" s="1"/>
  <c r="F3" i="98"/>
  <c r="D18" i="99"/>
  <c r="E18" i="99"/>
  <c r="F18" i="99"/>
  <c r="D17" i="99"/>
  <c r="E17" i="99" s="1"/>
  <c r="F17" i="99"/>
  <c r="D16" i="99"/>
  <c r="E16" i="99" s="1"/>
  <c r="J16" i="99" s="1"/>
  <c r="F16" i="99"/>
  <c r="D15" i="99"/>
  <c r="E15" i="99" s="1"/>
  <c r="F15" i="99"/>
  <c r="D14" i="99"/>
  <c r="E14" i="99" s="1"/>
  <c r="F14" i="99"/>
  <c r="D13" i="99"/>
  <c r="E13" i="99" s="1"/>
  <c r="F13" i="99"/>
  <c r="D12" i="99"/>
  <c r="E12" i="99" s="1"/>
  <c r="F12" i="99"/>
  <c r="D11" i="99"/>
  <c r="E11" i="99" s="1"/>
  <c r="F11" i="99"/>
  <c r="D10" i="99"/>
  <c r="E10" i="99"/>
  <c r="F10" i="99"/>
  <c r="D9" i="99"/>
  <c r="E9" i="99" s="1"/>
  <c r="F9" i="99"/>
  <c r="D8" i="99"/>
  <c r="E8" i="99"/>
  <c r="F8" i="99"/>
  <c r="D7" i="99"/>
  <c r="E7" i="99" s="1"/>
  <c r="F7" i="99"/>
  <c r="D6" i="99"/>
  <c r="E6" i="99"/>
  <c r="F6" i="99"/>
  <c r="D5" i="99"/>
  <c r="E5" i="99" s="1"/>
  <c r="F5" i="99"/>
  <c r="D4" i="99"/>
  <c r="E4" i="99"/>
  <c r="F4" i="99"/>
  <c r="D3" i="99"/>
  <c r="E3" i="99" s="1"/>
  <c r="F3" i="99"/>
  <c r="D18" i="100"/>
  <c r="E18" i="100"/>
  <c r="F18" i="100"/>
  <c r="D17" i="100"/>
  <c r="E17" i="100" s="1"/>
  <c r="F17" i="100"/>
  <c r="D16" i="100"/>
  <c r="E16" i="100" s="1"/>
  <c r="F16" i="100"/>
  <c r="D15" i="100"/>
  <c r="E15" i="100" s="1"/>
  <c r="F15" i="100"/>
  <c r="D14" i="100"/>
  <c r="E14" i="100" s="1"/>
  <c r="F14" i="100"/>
  <c r="D13" i="100"/>
  <c r="E13" i="100" s="1"/>
  <c r="F13" i="100"/>
  <c r="D12" i="100"/>
  <c r="E12" i="100" s="1"/>
  <c r="F12" i="100"/>
  <c r="D11" i="100"/>
  <c r="E11" i="100" s="1"/>
  <c r="F11" i="100"/>
  <c r="D10" i="100"/>
  <c r="E10" i="100"/>
  <c r="F10" i="100"/>
  <c r="D9" i="100"/>
  <c r="E9" i="100" s="1"/>
  <c r="F9" i="100"/>
  <c r="D8" i="100"/>
  <c r="E8" i="100"/>
  <c r="F8" i="100"/>
  <c r="D7" i="100"/>
  <c r="E7" i="100" s="1"/>
  <c r="F7" i="100"/>
  <c r="D6" i="100"/>
  <c r="E6" i="100"/>
  <c r="F6" i="100"/>
  <c r="D5" i="100"/>
  <c r="E5" i="100" s="1"/>
  <c r="F5" i="100"/>
  <c r="D4" i="100"/>
  <c r="E4" i="100"/>
  <c r="F4" i="100"/>
  <c r="D3" i="100"/>
  <c r="E3" i="100" s="1"/>
  <c r="F3" i="100"/>
  <c r="D18" i="101"/>
  <c r="E18" i="101"/>
  <c r="F18" i="101"/>
  <c r="D17" i="101"/>
  <c r="E17" i="101" s="1"/>
  <c r="F17" i="101"/>
  <c r="D16" i="101"/>
  <c r="E16" i="101" s="1"/>
  <c r="F16" i="101"/>
  <c r="D15" i="101"/>
  <c r="E15" i="101" s="1"/>
  <c r="F15" i="101"/>
  <c r="D14" i="101"/>
  <c r="E14" i="101" s="1"/>
  <c r="F14" i="101"/>
  <c r="D13" i="101"/>
  <c r="E13" i="101" s="1"/>
  <c r="F13" i="101"/>
  <c r="D12" i="101"/>
  <c r="E12" i="101" s="1"/>
  <c r="F12" i="101"/>
  <c r="D11" i="101"/>
  <c r="E11" i="101" s="1"/>
  <c r="F11" i="101"/>
  <c r="D10" i="101"/>
  <c r="E10" i="101" s="1"/>
  <c r="F10" i="101"/>
  <c r="D9" i="101"/>
  <c r="E9" i="101" s="1"/>
  <c r="F9" i="101"/>
  <c r="D8" i="101"/>
  <c r="E8" i="101"/>
  <c r="F8" i="101"/>
  <c r="D7" i="101"/>
  <c r="E7" i="101" s="1"/>
  <c r="F7" i="101"/>
  <c r="D6" i="101"/>
  <c r="E6" i="101"/>
  <c r="J6" i="101" s="1"/>
  <c r="F6" i="101"/>
  <c r="D5" i="101"/>
  <c r="E5" i="101" s="1"/>
  <c r="F5" i="101"/>
  <c r="D4" i="101"/>
  <c r="E4" i="101"/>
  <c r="F4" i="101"/>
  <c r="D3" i="101"/>
  <c r="E3" i="101" s="1"/>
  <c r="F3" i="101"/>
  <c r="D18" i="102"/>
  <c r="E18" i="102"/>
  <c r="F18" i="102"/>
  <c r="D17" i="102"/>
  <c r="E17" i="102" s="1"/>
  <c r="F17" i="102"/>
  <c r="D16" i="102"/>
  <c r="E16" i="102"/>
  <c r="F16" i="102"/>
  <c r="D15" i="102"/>
  <c r="E15" i="102" s="1"/>
  <c r="F15" i="102"/>
  <c r="D14" i="102"/>
  <c r="E14" i="102" s="1"/>
  <c r="F14" i="102"/>
  <c r="D13" i="102"/>
  <c r="E13" i="102" s="1"/>
  <c r="F13" i="102"/>
  <c r="D12" i="102"/>
  <c r="E12" i="102" s="1"/>
  <c r="F12" i="102"/>
  <c r="D11" i="102"/>
  <c r="E11" i="102" s="1"/>
  <c r="F11" i="102"/>
  <c r="D10" i="102"/>
  <c r="E10" i="102"/>
  <c r="F10" i="102"/>
  <c r="D9" i="102"/>
  <c r="E9" i="102" s="1"/>
  <c r="F9" i="102"/>
  <c r="D8" i="102"/>
  <c r="E8" i="102"/>
  <c r="F8" i="102"/>
  <c r="D7" i="102"/>
  <c r="E7" i="102" s="1"/>
  <c r="F7" i="102"/>
  <c r="D6" i="102"/>
  <c r="E6" i="102" s="1"/>
  <c r="F6" i="102"/>
  <c r="D5" i="102"/>
  <c r="E5" i="102" s="1"/>
  <c r="F5" i="102"/>
  <c r="D4" i="102"/>
  <c r="E4" i="102"/>
  <c r="F4" i="102"/>
  <c r="D3" i="102"/>
  <c r="E3" i="102" s="1"/>
  <c r="F3" i="102"/>
  <c r="D18" i="103"/>
  <c r="E18" i="103"/>
  <c r="F18" i="103"/>
  <c r="D17" i="103"/>
  <c r="E17" i="103" s="1"/>
  <c r="F17" i="103"/>
  <c r="D16" i="103"/>
  <c r="E16" i="103" s="1"/>
  <c r="F16" i="103"/>
  <c r="D15" i="103"/>
  <c r="E15" i="103" s="1"/>
  <c r="F15" i="103"/>
  <c r="D14" i="103"/>
  <c r="E14" i="103" s="1"/>
  <c r="F14" i="103"/>
  <c r="D13" i="103"/>
  <c r="E13" i="103" s="1"/>
  <c r="F13" i="103"/>
  <c r="D12" i="103"/>
  <c r="E12" i="103" s="1"/>
  <c r="F12" i="103"/>
  <c r="D11" i="103"/>
  <c r="E11" i="103" s="1"/>
  <c r="F11" i="103"/>
  <c r="D10" i="103"/>
  <c r="E10" i="103"/>
  <c r="J10" i="103" s="1"/>
  <c r="K10" i="103" s="1"/>
  <c r="F10" i="103"/>
  <c r="D9" i="103"/>
  <c r="E9" i="103" s="1"/>
  <c r="F9" i="103"/>
  <c r="D8" i="103"/>
  <c r="E8" i="103"/>
  <c r="F8" i="103"/>
  <c r="D7" i="103"/>
  <c r="E7" i="103" s="1"/>
  <c r="F7" i="103"/>
  <c r="D6" i="103"/>
  <c r="E6" i="103"/>
  <c r="F6" i="103"/>
  <c r="D5" i="103"/>
  <c r="E5" i="103" s="1"/>
  <c r="F5" i="103"/>
  <c r="D4" i="103"/>
  <c r="E4" i="103"/>
  <c r="F4" i="103"/>
  <c r="D3" i="103"/>
  <c r="E3" i="103" s="1"/>
  <c r="F3" i="103"/>
  <c r="D18" i="104"/>
  <c r="E18" i="104"/>
  <c r="F18" i="104"/>
  <c r="D17" i="104"/>
  <c r="E17" i="104" s="1"/>
  <c r="F17" i="104"/>
  <c r="D16" i="104"/>
  <c r="E16" i="104" s="1"/>
  <c r="F16" i="104"/>
  <c r="D15" i="104"/>
  <c r="E15" i="104" s="1"/>
  <c r="F15" i="104"/>
  <c r="D14" i="104"/>
  <c r="E14" i="104" s="1"/>
  <c r="F14" i="104"/>
  <c r="D13" i="104"/>
  <c r="E13" i="104" s="1"/>
  <c r="F13" i="104"/>
  <c r="D12" i="104"/>
  <c r="E12" i="104" s="1"/>
  <c r="F12" i="104"/>
  <c r="D11" i="104"/>
  <c r="E11" i="104" s="1"/>
  <c r="F11" i="104"/>
  <c r="D10" i="104"/>
  <c r="E10" i="104"/>
  <c r="F10" i="104"/>
  <c r="D9" i="104"/>
  <c r="E9" i="104" s="1"/>
  <c r="F9" i="104"/>
  <c r="D8" i="104"/>
  <c r="E8" i="104"/>
  <c r="F8" i="104"/>
  <c r="D7" i="104"/>
  <c r="E7" i="104" s="1"/>
  <c r="F7" i="104"/>
  <c r="D6" i="104"/>
  <c r="E6" i="104"/>
  <c r="F6" i="104"/>
  <c r="D5" i="104"/>
  <c r="E5" i="104" s="1"/>
  <c r="F5" i="104"/>
  <c r="D4" i="104"/>
  <c r="E4" i="104"/>
  <c r="F4" i="104"/>
  <c r="D3" i="104"/>
  <c r="E3" i="104" s="1"/>
  <c r="F3" i="104"/>
  <c r="D18" i="105"/>
  <c r="E18" i="105"/>
  <c r="F18" i="105"/>
  <c r="D17" i="105"/>
  <c r="E17" i="105" s="1"/>
  <c r="F17" i="105"/>
  <c r="D16" i="105"/>
  <c r="E16" i="105" s="1"/>
  <c r="F16" i="105"/>
  <c r="D15" i="105"/>
  <c r="E15" i="105" s="1"/>
  <c r="F15" i="105"/>
  <c r="D14" i="105"/>
  <c r="E14" i="105" s="1"/>
  <c r="F14" i="105"/>
  <c r="D13" i="105"/>
  <c r="E13" i="105" s="1"/>
  <c r="F13" i="105"/>
  <c r="D12" i="105"/>
  <c r="E12" i="105" s="1"/>
  <c r="F12" i="105"/>
  <c r="D11" i="105"/>
  <c r="E11" i="105" s="1"/>
  <c r="J11" i="105" s="1"/>
  <c r="F11" i="105"/>
  <c r="D10" i="105"/>
  <c r="E10" i="105" s="1"/>
  <c r="F10" i="105"/>
  <c r="D9" i="105"/>
  <c r="E9" i="105" s="1"/>
  <c r="F9" i="105"/>
  <c r="D8" i="105"/>
  <c r="E8" i="105"/>
  <c r="F8" i="105"/>
  <c r="D7" i="105"/>
  <c r="E7" i="105" s="1"/>
  <c r="F7" i="105"/>
  <c r="D6" i="105"/>
  <c r="E6" i="105" s="1"/>
  <c r="J6" i="105" s="1"/>
  <c r="M6" i="105" s="1"/>
  <c r="F6" i="105"/>
  <c r="D5" i="105"/>
  <c r="E5" i="105" s="1"/>
  <c r="F5" i="105"/>
  <c r="D4" i="105"/>
  <c r="E4" i="105"/>
  <c r="F4" i="105"/>
  <c r="D3" i="105"/>
  <c r="E3" i="105" s="1"/>
  <c r="F3" i="105"/>
  <c r="D18" i="106"/>
  <c r="E18" i="106"/>
  <c r="F18" i="106"/>
  <c r="D17" i="106"/>
  <c r="E17" i="106" s="1"/>
  <c r="F17" i="106"/>
  <c r="D16" i="106"/>
  <c r="E16" i="106"/>
  <c r="F16" i="106"/>
  <c r="D15" i="106"/>
  <c r="E15" i="106" s="1"/>
  <c r="F15" i="106"/>
  <c r="D14" i="106"/>
  <c r="E14" i="106" s="1"/>
  <c r="F14" i="106"/>
  <c r="D13" i="106"/>
  <c r="E13" i="106" s="1"/>
  <c r="F13" i="106"/>
  <c r="D12" i="106"/>
  <c r="E12" i="106" s="1"/>
  <c r="F12" i="106"/>
  <c r="D11" i="106"/>
  <c r="E11" i="106" s="1"/>
  <c r="F11" i="106"/>
  <c r="D10" i="106"/>
  <c r="E10" i="106"/>
  <c r="J10" i="106" s="1"/>
  <c r="F10" i="106"/>
  <c r="D9" i="106"/>
  <c r="E9" i="106" s="1"/>
  <c r="F9" i="106"/>
  <c r="D8" i="106"/>
  <c r="E8" i="106"/>
  <c r="F8" i="106"/>
  <c r="D7" i="106"/>
  <c r="E7" i="106" s="1"/>
  <c r="F7" i="106"/>
  <c r="D6" i="106"/>
  <c r="E6" i="106" s="1"/>
  <c r="F6" i="106"/>
  <c r="D5" i="106"/>
  <c r="E5" i="106" s="1"/>
  <c r="F5" i="106"/>
  <c r="D4" i="106"/>
  <c r="E4" i="106"/>
  <c r="F4" i="106"/>
  <c r="D3" i="106"/>
  <c r="E3" i="106" s="1"/>
  <c r="F3" i="106"/>
  <c r="D18" i="107"/>
  <c r="E18" i="107"/>
  <c r="F18" i="107"/>
  <c r="D17" i="107"/>
  <c r="E17" i="107" s="1"/>
  <c r="F17" i="107"/>
  <c r="D16" i="107"/>
  <c r="E16" i="107"/>
  <c r="F16" i="107"/>
  <c r="D15" i="107"/>
  <c r="E15" i="107" s="1"/>
  <c r="F15" i="107"/>
  <c r="D14" i="107"/>
  <c r="E14" i="107" s="1"/>
  <c r="F14" i="107"/>
  <c r="D13" i="107"/>
  <c r="E13" i="107" s="1"/>
  <c r="F13" i="107"/>
  <c r="D12" i="107"/>
  <c r="E12" i="107" s="1"/>
  <c r="J12" i="107" s="1"/>
  <c r="F12" i="107"/>
  <c r="D11" i="107"/>
  <c r="E11" i="107" s="1"/>
  <c r="F11" i="107"/>
  <c r="D10" i="107"/>
  <c r="E10" i="107"/>
  <c r="F10" i="107"/>
  <c r="D9" i="107"/>
  <c r="E9" i="107" s="1"/>
  <c r="F9" i="107"/>
  <c r="D8" i="107"/>
  <c r="E8" i="107"/>
  <c r="F8" i="107"/>
  <c r="D7" i="107"/>
  <c r="E7" i="107" s="1"/>
  <c r="F7" i="107"/>
  <c r="D6" i="107"/>
  <c r="E6" i="107" s="1"/>
  <c r="F6" i="107"/>
  <c r="D5" i="107"/>
  <c r="E5" i="107" s="1"/>
  <c r="F5" i="107"/>
  <c r="D4" i="107"/>
  <c r="E4" i="107"/>
  <c r="F4" i="107"/>
  <c r="D3" i="107"/>
  <c r="E3" i="107" s="1"/>
  <c r="J3" i="107" s="1"/>
  <c r="F3" i="107"/>
  <c r="D18" i="108"/>
  <c r="E18" i="108"/>
  <c r="F18" i="108"/>
  <c r="D17" i="108"/>
  <c r="E17" i="108" s="1"/>
  <c r="F17" i="108"/>
  <c r="D16" i="108"/>
  <c r="E16" i="108"/>
  <c r="F16" i="108"/>
  <c r="D15" i="108"/>
  <c r="E15" i="108" s="1"/>
  <c r="F15" i="108"/>
  <c r="D14" i="108"/>
  <c r="E14" i="108" s="1"/>
  <c r="F14" i="108"/>
  <c r="D13" i="108"/>
  <c r="E13" i="108" s="1"/>
  <c r="F13" i="108"/>
  <c r="D12" i="108"/>
  <c r="E12" i="108" s="1"/>
  <c r="F12" i="108"/>
  <c r="D11" i="108"/>
  <c r="E11" i="108" s="1"/>
  <c r="J11" i="108" s="1"/>
  <c r="F11" i="108"/>
  <c r="D10" i="108"/>
  <c r="E10" i="108"/>
  <c r="F10" i="108"/>
  <c r="D9" i="108"/>
  <c r="E9" i="108" s="1"/>
  <c r="F9" i="108"/>
  <c r="D8" i="108"/>
  <c r="E8" i="108"/>
  <c r="F8" i="108"/>
  <c r="D7" i="108"/>
  <c r="E7" i="108" s="1"/>
  <c r="F7" i="108"/>
  <c r="D6" i="108"/>
  <c r="E6" i="108"/>
  <c r="F6" i="108"/>
  <c r="D5" i="108"/>
  <c r="E5" i="108" s="1"/>
  <c r="F5" i="108"/>
  <c r="D4" i="108"/>
  <c r="E4" i="108"/>
  <c r="F4" i="108"/>
  <c r="D3" i="108"/>
  <c r="E3" i="108" s="1"/>
  <c r="F3" i="108"/>
  <c r="D18" i="109"/>
  <c r="E18" i="109"/>
  <c r="F18" i="109"/>
  <c r="D17" i="109"/>
  <c r="E17" i="109" s="1"/>
  <c r="F17" i="109"/>
  <c r="D16" i="109"/>
  <c r="E16" i="109" s="1"/>
  <c r="F16" i="109"/>
  <c r="D15" i="109"/>
  <c r="E15" i="109" s="1"/>
  <c r="F15" i="109"/>
  <c r="D14" i="109"/>
  <c r="E14" i="109" s="1"/>
  <c r="F14" i="109"/>
  <c r="D13" i="109"/>
  <c r="E13" i="109" s="1"/>
  <c r="F13" i="109"/>
  <c r="D12" i="109"/>
  <c r="E12" i="109" s="1"/>
  <c r="F12" i="109"/>
  <c r="D11" i="109"/>
  <c r="E11" i="109" s="1"/>
  <c r="F11" i="109"/>
  <c r="D10" i="109"/>
  <c r="E10" i="109" s="1"/>
  <c r="F10" i="109"/>
  <c r="D9" i="109"/>
  <c r="E9" i="109" s="1"/>
  <c r="F9" i="109"/>
  <c r="D8" i="109"/>
  <c r="E8" i="109"/>
  <c r="F8" i="109"/>
  <c r="D7" i="109"/>
  <c r="E7" i="109" s="1"/>
  <c r="F7" i="109"/>
  <c r="D6" i="109"/>
  <c r="E6" i="109" s="1"/>
  <c r="F6" i="109"/>
  <c r="D5" i="109"/>
  <c r="E5" i="109" s="1"/>
  <c r="F5" i="109"/>
  <c r="D4" i="109"/>
  <c r="E4" i="109"/>
  <c r="F4" i="109"/>
  <c r="D3" i="109"/>
  <c r="E3" i="109" s="1"/>
  <c r="F3" i="109"/>
  <c r="D18" i="110"/>
  <c r="E18" i="110"/>
  <c r="F18" i="110"/>
  <c r="D17" i="110"/>
  <c r="E17" i="110" s="1"/>
  <c r="F17" i="110"/>
  <c r="D16" i="110"/>
  <c r="E16" i="110"/>
  <c r="F16" i="110"/>
  <c r="D15" i="110"/>
  <c r="E15" i="110" s="1"/>
  <c r="F15" i="110"/>
  <c r="D14" i="110"/>
  <c r="E14" i="110" s="1"/>
  <c r="F14" i="110"/>
  <c r="D13" i="110"/>
  <c r="E13" i="110" s="1"/>
  <c r="F13" i="110"/>
  <c r="D12" i="110"/>
  <c r="E12" i="110" s="1"/>
  <c r="F12" i="110"/>
  <c r="D11" i="110"/>
  <c r="E11" i="110" s="1"/>
  <c r="F11" i="110"/>
  <c r="D10" i="110"/>
  <c r="E10" i="110" s="1"/>
  <c r="F10" i="110"/>
  <c r="D9" i="110"/>
  <c r="E9" i="110" s="1"/>
  <c r="F9" i="110"/>
  <c r="D8" i="110"/>
  <c r="E8" i="110"/>
  <c r="F8" i="110"/>
  <c r="D7" i="110"/>
  <c r="E7" i="110" s="1"/>
  <c r="F7" i="110"/>
  <c r="D6" i="110"/>
  <c r="E6" i="110" s="1"/>
  <c r="F6" i="110"/>
  <c r="D5" i="110"/>
  <c r="E5" i="110" s="1"/>
  <c r="F5" i="110"/>
  <c r="D4" i="110"/>
  <c r="E4" i="110"/>
  <c r="F4" i="110"/>
  <c r="D3" i="110"/>
  <c r="E3" i="110" s="1"/>
  <c r="F3" i="110"/>
  <c r="D18" i="111"/>
  <c r="E18" i="111"/>
  <c r="F18" i="111"/>
  <c r="D17" i="111"/>
  <c r="E17" i="111" s="1"/>
  <c r="F17" i="111"/>
  <c r="D16" i="111"/>
  <c r="E16" i="111" s="1"/>
  <c r="F16" i="111"/>
  <c r="D15" i="111"/>
  <c r="E15" i="111" s="1"/>
  <c r="F15" i="111"/>
  <c r="D14" i="111"/>
  <c r="E14" i="111" s="1"/>
  <c r="F14" i="111"/>
  <c r="D13" i="111"/>
  <c r="E13" i="111" s="1"/>
  <c r="F13" i="111"/>
  <c r="D12" i="111"/>
  <c r="E12" i="111" s="1"/>
  <c r="F12" i="111"/>
  <c r="D11" i="111"/>
  <c r="E11" i="111" s="1"/>
  <c r="F11" i="111"/>
  <c r="D10" i="111"/>
  <c r="E10" i="111"/>
  <c r="F10" i="111"/>
  <c r="D9" i="111"/>
  <c r="E9" i="111" s="1"/>
  <c r="F9" i="111"/>
  <c r="D8" i="111"/>
  <c r="E8" i="111"/>
  <c r="F8" i="111"/>
  <c r="D7" i="111"/>
  <c r="E7" i="111" s="1"/>
  <c r="F7" i="111"/>
  <c r="D6" i="111"/>
  <c r="E6" i="111" s="1"/>
  <c r="F6" i="111"/>
  <c r="D5" i="111"/>
  <c r="E5" i="111" s="1"/>
  <c r="F5" i="111"/>
  <c r="D4" i="111"/>
  <c r="E4" i="111"/>
  <c r="F4" i="111"/>
  <c r="D3" i="111"/>
  <c r="E3" i="111" s="1"/>
  <c r="F3" i="111"/>
  <c r="D18" i="112"/>
  <c r="E18" i="112"/>
  <c r="F18" i="112"/>
  <c r="D17" i="112"/>
  <c r="E17" i="112" s="1"/>
  <c r="F17" i="112"/>
  <c r="D16" i="112"/>
  <c r="E16" i="112"/>
  <c r="F16" i="112"/>
  <c r="D15" i="112"/>
  <c r="E15" i="112" s="1"/>
  <c r="F15" i="112"/>
  <c r="D14" i="112"/>
  <c r="E14" i="112" s="1"/>
  <c r="F14" i="112"/>
  <c r="D13" i="112"/>
  <c r="E13" i="112" s="1"/>
  <c r="F13" i="112"/>
  <c r="D12" i="112"/>
  <c r="E12" i="112" s="1"/>
  <c r="F12" i="112"/>
  <c r="D11" i="112"/>
  <c r="E11" i="112" s="1"/>
  <c r="F11" i="112"/>
  <c r="D10" i="112"/>
  <c r="E10" i="112"/>
  <c r="F10" i="112"/>
  <c r="D9" i="112"/>
  <c r="E9" i="112" s="1"/>
  <c r="F9" i="112"/>
  <c r="D8" i="112"/>
  <c r="E8" i="112"/>
  <c r="F8" i="112"/>
  <c r="D7" i="112"/>
  <c r="E7" i="112" s="1"/>
  <c r="F7" i="112"/>
  <c r="D6" i="112"/>
  <c r="E6" i="112"/>
  <c r="F6" i="112"/>
  <c r="D5" i="112"/>
  <c r="E5" i="112" s="1"/>
  <c r="F5" i="112"/>
  <c r="D4" i="112"/>
  <c r="E4" i="112"/>
  <c r="F4" i="112"/>
  <c r="D3" i="112"/>
  <c r="E3" i="112" s="1"/>
  <c r="F3" i="112"/>
  <c r="D18" i="113"/>
  <c r="E18" i="113"/>
  <c r="F18" i="113"/>
  <c r="D17" i="113"/>
  <c r="E17" i="113" s="1"/>
  <c r="F17" i="113"/>
  <c r="D16" i="113"/>
  <c r="E16" i="113" s="1"/>
  <c r="F16" i="113"/>
  <c r="D15" i="113"/>
  <c r="E15" i="113" s="1"/>
  <c r="F15" i="113"/>
  <c r="D14" i="113"/>
  <c r="E14" i="113" s="1"/>
  <c r="F14" i="113"/>
  <c r="D13" i="113"/>
  <c r="E13" i="113" s="1"/>
  <c r="F13" i="113"/>
  <c r="D12" i="113"/>
  <c r="E12" i="113" s="1"/>
  <c r="F12" i="113"/>
  <c r="D11" i="113"/>
  <c r="E11" i="113" s="1"/>
  <c r="F11" i="113"/>
  <c r="D10" i="113"/>
  <c r="E10" i="113" s="1"/>
  <c r="F10" i="113"/>
  <c r="D9" i="113"/>
  <c r="E9" i="113" s="1"/>
  <c r="F9" i="113"/>
  <c r="D8" i="113"/>
  <c r="E8" i="113" s="1"/>
  <c r="F8" i="113"/>
  <c r="D7" i="113"/>
  <c r="E7" i="113"/>
  <c r="J7" i="113" s="1"/>
  <c r="F7" i="113"/>
  <c r="D6" i="113"/>
  <c r="E6" i="113" s="1"/>
  <c r="F6" i="113"/>
  <c r="D5" i="113"/>
  <c r="E5" i="113"/>
  <c r="F5" i="113"/>
  <c r="D4" i="113"/>
  <c r="E4" i="113" s="1"/>
  <c r="F4" i="113"/>
  <c r="D3" i="113"/>
  <c r="E3" i="113" s="1"/>
  <c r="F3" i="113"/>
  <c r="D18" i="114"/>
  <c r="E18" i="114" s="1"/>
  <c r="F18" i="114"/>
  <c r="D17" i="114"/>
  <c r="E17" i="114" s="1"/>
  <c r="F17" i="114"/>
  <c r="D16" i="114"/>
  <c r="E16" i="114" s="1"/>
  <c r="F16" i="114"/>
  <c r="D15" i="114"/>
  <c r="E15" i="114" s="1"/>
  <c r="F15" i="114"/>
  <c r="D14" i="114"/>
  <c r="E14" i="114" s="1"/>
  <c r="F14" i="114"/>
  <c r="D13" i="114"/>
  <c r="E13" i="114" s="1"/>
  <c r="F13" i="114"/>
  <c r="D12" i="114"/>
  <c r="E12" i="114" s="1"/>
  <c r="F12" i="114"/>
  <c r="D11" i="114"/>
  <c r="E11" i="114" s="1"/>
  <c r="F11" i="114"/>
  <c r="D10" i="114"/>
  <c r="E10" i="114" s="1"/>
  <c r="F10" i="114"/>
  <c r="D9" i="114"/>
  <c r="E9" i="114" s="1"/>
  <c r="F9" i="114"/>
  <c r="D8" i="114"/>
  <c r="E8" i="114" s="1"/>
  <c r="F8" i="114"/>
  <c r="D7" i="114"/>
  <c r="E7" i="114"/>
  <c r="J7" i="114" s="1"/>
  <c r="F7" i="114"/>
  <c r="D6" i="114"/>
  <c r="E6" i="114" s="1"/>
  <c r="F6" i="114"/>
  <c r="D5" i="114"/>
  <c r="E5" i="114" s="1"/>
  <c r="F5" i="114"/>
  <c r="D4" i="114"/>
  <c r="E4" i="114"/>
  <c r="F4" i="114"/>
  <c r="D3" i="114"/>
  <c r="E3" i="114" s="1"/>
  <c r="F3" i="114"/>
  <c r="D18" i="115"/>
  <c r="E18" i="115"/>
  <c r="F18" i="115"/>
  <c r="D17" i="115"/>
  <c r="E17" i="115" s="1"/>
  <c r="F17" i="115"/>
  <c r="D16" i="115"/>
  <c r="E16" i="115" s="1"/>
  <c r="F16" i="115"/>
  <c r="D15" i="115"/>
  <c r="E15" i="115" s="1"/>
  <c r="F15" i="115"/>
  <c r="D14" i="115"/>
  <c r="E14" i="115" s="1"/>
  <c r="F14" i="115"/>
  <c r="D13" i="115"/>
  <c r="E13" i="115" s="1"/>
  <c r="J13" i="115" s="1"/>
  <c r="F13" i="115"/>
  <c r="D12" i="115"/>
  <c r="E12" i="115" s="1"/>
  <c r="F12" i="115"/>
  <c r="D11" i="115"/>
  <c r="E11" i="115" s="1"/>
  <c r="F11" i="115"/>
  <c r="D10" i="115"/>
  <c r="E10" i="115" s="1"/>
  <c r="F10" i="115"/>
  <c r="D9" i="115"/>
  <c r="E9" i="115" s="1"/>
  <c r="F9" i="115"/>
  <c r="D8" i="115"/>
  <c r="E8" i="115" s="1"/>
  <c r="J8" i="115" s="1"/>
  <c r="F8" i="115"/>
  <c r="D7" i="115"/>
  <c r="E7" i="115" s="1"/>
  <c r="F7" i="115"/>
  <c r="D6" i="115"/>
  <c r="E6" i="115" s="1"/>
  <c r="J6" i="115" s="1"/>
  <c r="F6" i="115"/>
  <c r="D5" i="115"/>
  <c r="E5" i="115" s="1"/>
  <c r="J5" i="115" s="1"/>
  <c r="F5" i="115"/>
  <c r="D4" i="115"/>
  <c r="E4" i="115" s="1"/>
  <c r="F4" i="115"/>
  <c r="D3" i="115"/>
  <c r="E3" i="115"/>
  <c r="F3" i="115"/>
  <c r="D18" i="116"/>
  <c r="E18" i="116"/>
  <c r="F18" i="116"/>
  <c r="D17" i="116"/>
  <c r="E17" i="116" s="1"/>
  <c r="F17" i="116"/>
  <c r="D16" i="116"/>
  <c r="E16" i="116"/>
  <c r="F16" i="116"/>
  <c r="D15" i="116"/>
  <c r="E15" i="116"/>
  <c r="F15" i="116"/>
  <c r="D14" i="116"/>
  <c r="E14" i="116"/>
  <c r="F14" i="116"/>
  <c r="D13" i="116"/>
  <c r="E13" i="116" s="1"/>
  <c r="J13" i="116" s="1"/>
  <c r="F13" i="116"/>
  <c r="D12" i="116"/>
  <c r="E12" i="116" s="1"/>
  <c r="F12" i="116"/>
  <c r="D11" i="116"/>
  <c r="E11" i="116" s="1"/>
  <c r="J11" i="116" s="1"/>
  <c r="K11" i="116" s="1"/>
  <c r="F11" i="116"/>
  <c r="D10" i="116"/>
  <c r="E10" i="116" s="1"/>
  <c r="F10" i="116"/>
  <c r="D9" i="116"/>
  <c r="E9" i="116" s="1"/>
  <c r="J9" i="116" s="1"/>
  <c r="M9" i="116" s="1"/>
  <c r="F9" i="116"/>
  <c r="D8" i="116"/>
  <c r="E8" i="116" s="1"/>
  <c r="F8" i="116"/>
  <c r="D7" i="116"/>
  <c r="E7" i="116" s="1"/>
  <c r="F7" i="116"/>
  <c r="D6" i="116"/>
  <c r="E6" i="116" s="1"/>
  <c r="F6" i="116"/>
  <c r="D5" i="116"/>
  <c r="E5" i="116" s="1"/>
  <c r="F5" i="116"/>
  <c r="D4" i="116"/>
  <c r="E4" i="116"/>
  <c r="F4" i="116"/>
  <c r="D3" i="116"/>
  <c r="E3" i="116" s="1"/>
  <c r="F3" i="116"/>
  <c r="D18" i="117"/>
  <c r="E18" i="117" s="1"/>
  <c r="J18" i="117" s="1"/>
  <c r="F18" i="117"/>
  <c r="D17" i="117"/>
  <c r="E17" i="117" s="1"/>
  <c r="J17" i="117" s="1"/>
  <c r="F17" i="117"/>
  <c r="D16" i="117"/>
  <c r="E16" i="117" s="1"/>
  <c r="J16" i="117" s="1"/>
  <c r="K16" i="117" s="1"/>
  <c r="F16" i="117"/>
  <c r="D15" i="117"/>
  <c r="E15" i="117"/>
  <c r="F15" i="117"/>
  <c r="D14" i="117"/>
  <c r="E14" i="117" s="1"/>
  <c r="F14" i="117"/>
  <c r="D13" i="117"/>
  <c r="E13" i="117" s="1"/>
  <c r="J13" i="117" s="1"/>
  <c r="F13" i="117"/>
  <c r="D12" i="117"/>
  <c r="E12" i="117"/>
  <c r="F12" i="117"/>
  <c r="D11" i="117"/>
  <c r="E11" i="117"/>
  <c r="F11" i="117"/>
  <c r="D10" i="117"/>
  <c r="E10" i="117" s="1"/>
  <c r="F10" i="117"/>
  <c r="D9" i="117"/>
  <c r="E9" i="117" s="1"/>
  <c r="F9" i="117"/>
  <c r="D8" i="117"/>
  <c r="E8" i="117" s="1"/>
  <c r="F8" i="117"/>
  <c r="D7" i="117"/>
  <c r="E7" i="117" s="1"/>
  <c r="J7" i="117" s="1"/>
  <c r="F7" i="117"/>
  <c r="K7" i="117" s="1"/>
  <c r="N7" i="117" s="1"/>
  <c r="D6" i="117"/>
  <c r="E6" i="117" s="1"/>
  <c r="F6" i="117"/>
  <c r="D5" i="117"/>
  <c r="E5" i="117"/>
  <c r="F5" i="117"/>
  <c r="D4" i="117"/>
  <c r="E4" i="117" s="1"/>
  <c r="F4" i="117"/>
  <c r="D3" i="117"/>
  <c r="E3" i="117" s="1"/>
  <c r="J3" i="117" s="1"/>
  <c r="F3" i="117"/>
  <c r="D18" i="118"/>
  <c r="E18" i="118" s="1"/>
  <c r="F18" i="118"/>
  <c r="D17" i="118"/>
  <c r="E17" i="118" s="1"/>
  <c r="F17" i="118"/>
  <c r="D16" i="118"/>
  <c r="E16" i="118"/>
  <c r="F16" i="118"/>
  <c r="D15" i="118"/>
  <c r="E15" i="118" s="1"/>
  <c r="F15" i="118"/>
  <c r="D14" i="118"/>
  <c r="E14" i="118"/>
  <c r="F14" i="118"/>
  <c r="D13" i="118"/>
  <c r="E13" i="118" s="1"/>
  <c r="J13" i="118" s="1"/>
  <c r="M13" i="118" s="1"/>
  <c r="F13" i="118"/>
  <c r="D12" i="118"/>
  <c r="E12" i="118"/>
  <c r="F12" i="118"/>
  <c r="D11" i="118"/>
  <c r="E11" i="118"/>
  <c r="J11" i="118" s="1"/>
  <c r="F11" i="118"/>
  <c r="D10" i="118"/>
  <c r="E10" i="118"/>
  <c r="J10" i="118" s="1"/>
  <c r="F10" i="118"/>
  <c r="D9" i="118"/>
  <c r="E9" i="118"/>
  <c r="F9" i="118"/>
  <c r="D8" i="118"/>
  <c r="E8" i="118" s="1"/>
  <c r="J8" i="118" s="1"/>
  <c r="F8" i="118"/>
  <c r="D7" i="118"/>
  <c r="E7" i="118" s="1"/>
  <c r="F7" i="118"/>
  <c r="D6" i="118"/>
  <c r="E6" i="118" s="1"/>
  <c r="F6" i="118"/>
  <c r="D5" i="118"/>
  <c r="E5" i="118" s="1"/>
  <c r="F5" i="118"/>
  <c r="D4" i="118"/>
  <c r="E4" i="118" s="1"/>
  <c r="F4" i="118"/>
  <c r="D3" i="118"/>
  <c r="E3" i="118" s="1"/>
  <c r="F3" i="118"/>
  <c r="D18" i="119"/>
  <c r="E18" i="119" s="1"/>
  <c r="F18" i="119"/>
  <c r="D17" i="119"/>
  <c r="E17" i="119"/>
  <c r="J17" i="119" s="1"/>
  <c r="F17" i="119"/>
  <c r="D16" i="119"/>
  <c r="E16" i="119" s="1"/>
  <c r="F16" i="119"/>
  <c r="D15" i="119"/>
  <c r="E15" i="119"/>
  <c r="F15" i="119"/>
  <c r="D14" i="119"/>
  <c r="E14" i="119" s="1"/>
  <c r="J14" i="119" s="1"/>
  <c r="M14" i="119" s="1"/>
  <c r="F14" i="119"/>
  <c r="D13" i="119"/>
  <c r="E13" i="119" s="1"/>
  <c r="J13" i="119" s="1"/>
  <c r="F13" i="119"/>
  <c r="D12" i="119"/>
  <c r="E12" i="119" s="1"/>
  <c r="F12" i="119"/>
  <c r="D11" i="119"/>
  <c r="E11" i="119" s="1"/>
  <c r="F11" i="119"/>
  <c r="D10" i="119"/>
  <c r="E10" i="119" s="1"/>
  <c r="F10" i="119"/>
  <c r="D9" i="119"/>
  <c r="E9" i="119" s="1"/>
  <c r="J9" i="119" s="1"/>
  <c r="M9" i="119" s="1"/>
  <c r="F9" i="119"/>
  <c r="D8" i="119"/>
  <c r="E8" i="119" s="1"/>
  <c r="F8" i="119"/>
  <c r="D7" i="119"/>
  <c r="E7" i="119" s="1"/>
  <c r="J7" i="119" s="1"/>
  <c r="M7" i="119" s="1"/>
  <c r="F7" i="119"/>
  <c r="D6" i="119"/>
  <c r="E6" i="119" s="1"/>
  <c r="F6" i="119"/>
  <c r="D5" i="119"/>
  <c r="E5" i="119" s="1"/>
  <c r="F5" i="119"/>
  <c r="D4" i="119"/>
  <c r="E4" i="119" s="1"/>
  <c r="F4" i="119"/>
  <c r="D3" i="119"/>
  <c r="E3" i="119" s="1"/>
  <c r="F3" i="119"/>
  <c r="D18" i="120"/>
  <c r="E18" i="120" s="1"/>
  <c r="J18" i="120" s="1"/>
  <c r="F18" i="120"/>
  <c r="D17" i="120"/>
  <c r="E17" i="120" s="1"/>
  <c r="F17" i="120"/>
  <c r="D16" i="120"/>
  <c r="E16" i="120"/>
  <c r="J16" i="120" s="1"/>
  <c r="F16" i="120"/>
  <c r="D15" i="120"/>
  <c r="E15" i="120" s="1"/>
  <c r="J15" i="120" s="1"/>
  <c r="F15" i="120"/>
  <c r="D14" i="120"/>
  <c r="E14" i="120" s="1"/>
  <c r="F14" i="120"/>
  <c r="D13" i="120"/>
  <c r="E13" i="120"/>
  <c r="J13" i="120" s="1"/>
  <c r="F13" i="120"/>
  <c r="K13" i="120" s="1"/>
  <c r="N13" i="120" s="1"/>
  <c r="D12" i="120"/>
  <c r="E12" i="120"/>
  <c r="F12" i="120"/>
  <c r="D11" i="120"/>
  <c r="E11" i="120" s="1"/>
  <c r="F11" i="120"/>
  <c r="D10" i="120"/>
  <c r="E10" i="120" s="1"/>
  <c r="F10" i="120"/>
  <c r="D9" i="120"/>
  <c r="E9" i="120" s="1"/>
  <c r="J9" i="120" s="1"/>
  <c r="F9" i="120"/>
  <c r="D8" i="120"/>
  <c r="E8" i="120" s="1"/>
  <c r="J8" i="120" s="1"/>
  <c r="F8" i="120"/>
  <c r="D7" i="120"/>
  <c r="E7" i="120"/>
  <c r="F7" i="120"/>
  <c r="D6" i="120"/>
  <c r="E6" i="120" s="1"/>
  <c r="F6" i="120"/>
  <c r="D5" i="120"/>
  <c r="E5" i="120" s="1"/>
  <c r="J5" i="120" s="1"/>
  <c r="F5" i="120"/>
  <c r="D4" i="120"/>
  <c r="E4" i="120" s="1"/>
  <c r="F4" i="120"/>
  <c r="D3" i="120"/>
  <c r="E3" i="120"/>
  <c r="J3" i="120" s="1"/>
  <c r="F3" i="120"/>
  <c r="D18" i="121"/>
  <c r="E18" i="121"/>
  <c r="J18" i="121" s="1"/>
  <c r="F18" i="121"/>
  <c r="D17" i="121"/>
  <c r="E17" i="121" s="1"/>
  <c r="J17" i="121" s="1"/>
  <c r="F17" i="121"/>
  <c r="D16" i="121"/>
  <c r="E16" i="121" s="1"/>
  <c r="F16" i="121"/>
  <c r="D15" i="121"/>
  <c r="E15" i="121" s="1"/>
  <c r="F15" i="121"/>
  <c r="D14" i="121"/>
  <c r="E14" i="121" s="1"/>
  <c r="J14" i="121" s="1"/>
  <c r="F14" i="121"/>
  <c r="D13" i="121"/>
  <c r="E13" i="121" s="1"/>
  <c r="J13" i="121" s="1"/>
  <c r="M13" i="121" s="1"/>
  <c r="F13" i="121"/>
  <c r="D12" i="121"/>
  <c r="E12" i="121" s="1"/>
  <c r="F12" i="121"/>
  <c r="D11" i="121"/>
  <c r="E11" i="121" s="1"/>
  <c r="F11" i="121"/>
  <c r="D10" i="121"/>
  <c r="E10" i="121" s="1"/>
  <c r="J10" i="121" s="1"/>
  <c r="F10" i="121"/>
  <c r="D9" i="121"/>
  <c r="E9" i="121"/>
  <c r="J9" i="121" s="1"/>
  <c r="M9" i="121" s="1"/>
  <c r="F9" i="121"/>
  <c r="D8" i="121"/>
  <c r="E8" i="121" s="1"/>
  <c r="F8" i="121"/>
  <c r="D7" i="121"/>
  <c r="E7" i="121" s="1"/>
  <c r="J7" i="121" s="1"/>
  <c r="F7" i="121"/>
  <c r="D6" i="121"/>
  <c r="E6" i="121" s="1"/>
  <c r="F6" i="121"/>
  <c r="D5" i="121"/>
  <c r="E5" i="121"/>
  <c r="J5" i="121" s="1"/>
  <c r="M5" i="121" s="1"/>
  <c r="F5" i="121"/>
  <c r="D4" i="121"/>
  <c r="E4" i="121"/>
  <c r="J4" i="121" s="1"/>
  <c r="F4" i="121"/>
  <c r="D3" i="121"/>
  <c r="E3" i="121" s="1"/>
  <c r="F3" i="121"/>
  <c r="D18" i="122"/>
  <c r="E18" i="122"/>
  <c r="J18" i="122" s="1"/>
  <c r="M18" i="122" s="1"/>
  <c r="F18" i="122"/>
  <c r="D17" i="122"/>
  <c r="E17" i="122" s="1"/>
  <c r="J17" i="122" s="1"/>
  <c r="F17" i="122"/>
  <c r="D16" i="122"/>
  <c r="E16" i="122" s="1"/>
  <c r="J16" i="122" s="1"/>
  <c r="F16" i="122"/>
  <c r="D15" i="122"/>
  <c r="E15" i="122"/>
  <c r="J15" i="122" s="1"/>
  <c r="F15" i="122"/>
  <c r="D14" i="122"/>
  <c r="E14" i="122"/>
  <c r="J14" i="122" s="1"/>
  <c r="F14" i="122"/>
  <c r="D13" i="122"/>
  <c r="E13" i="122" s="1"/>
  <c r="F13" i="122"/>
  <c r="D12" i="122"/>
  <c r="E12" i="122" s="1"/>
  <c r="F12" i="122"/>
  <c r="D11" i="122"/>
  <c r="E11" i="122" s="1"/>
  <c r="F11" i="122"/>
  <c r="D10" i="122"/>
  <c r="E10" i="122"/>
  <c r="J10" i="122" s="1"/>
  <c r="F10" i="122"/>
  <c r="D9" i="122"/>
  <c r="E9" i="122"/>
  <c r="J9" i="122" s="1"/>
  <c r="M9" i="122" s="1"/>
  <c r="F9" i="122"/>
  <c r="D8" i="122"/>
  <c r="E8" i="122" s="1"/>
  <c r="F8" i="122"/>
  <c r="D7" i="122"/>
  <c r="E7" i="122"/>
  <c r="J7" i="122" s="1"/>
  <c r="M7" i="122" s="1"/>
  <c r="F7" i="122"/>
  <c r="D6" i="122"/>
  <c r="E6" i="122"/>
  <c r="F6" i="122"/>
  <c r="D5" i="122"/>
  <c r="E5" i="122"/>
  <c r="J5" i="122" s="1"/>
  <c r="M5" i="122" s="1"/>
  <c r="F5" i="122"/>
  <c r="K5" i="122" s="1"/>
  <c r="D4" i="122"/>
  <c r="E4" i="122" s="1"/>
  <c r="J4" i="122" s="1"/>
  <c r="F4" i="122"/>
  <c r="D3" i="122"/>
  <c r="E3" i="122" s="1"/>
  <c r="F3" i="122"/>
  <c r="D18" i="123"/>
  <c r="E18" i="123" s="1"/>
  <c r="J18" i="123" s="1"/>
  <c r="F18" i="123"/>
  <c r="D17" i="123"/>
  <c r="E17" i="123" s="1"/>
  <c r="J17" i="123" s="1"/>
  <c r="F17" i="123"/>
  <c r="D16" i="123"/>
  <c r="E16" i="123" s="1"/>
  <c r="J16" i="123" s="1"/>
  <c r="F16" i="123"/>
  <c r="D15" i="123"/>
  <c r="E15" i="123" s="1"/>
  <c r="F15" i="123"/>
  <c r="D14" i="123"/>
  <c r="E14" i="123" s="1"/>
  <c r="F14" i="123"/>
  <c r="D13" i="123"/>
  <c r="E13" i="123" s="1"/>
  <c r="J13" i="123" s="1"/>
  <c r="F13" i="123"/>
  <c r="D12" i="123"/>
  <c r="E12" i="123"/>
  <c r="F12" i="123"/>
  <c r="D11" i="123"/>
  <c r="E11" i="123" s="1"/>
  <c r="F11" i="123"/>
  <c r="D10" i="123"/>
  <c r="E10" i="123" s="1"/>
  <c r="J10" i="123" s="1"/>
  <c r="F10" i="123"/>
  <c r="D9" i="123"/>
  <c r="E9" i="123" s="1"/>
  <c r="J9" i="123" s="1"/>
  <c r="M9" i="123" s="1"/>
  <c r="F9" i="123"/>
  <c r="D8" i="123"/>
  <c r="E8" i="123" s="1"/>
  <c r="J8" i="123" s="1"/>
  <c r="F8" i="123"/>
  <c r="D7" i="123"/>
  <c r="E7" i="123"/>
  <c r="J7" i="123" s="1"/>
  <c r="M7" i="123" s="1"/>
  <c r="F7" i="123"/>
  <c r="D6" i="123"/>
  <c r="E6" i="123" s="1"/>
  <c r="F6" i="123"/>
  <c r="D5" i="123"/>
  <c r="E5" i="123" s="1"/>
  <c r="F5" i="123"/>
  <c r="D4" i="123"/>
  <c r="E4" i="123" s="1"/>
  <c r="J4" i="123" s="1"/>
  <c r="F4" i="123"/>
  <c r="D3" i="123"/>
  <c r="E3" i="123"/>
  <c r="J3" i="123" s="1"/>
  <c r="F3" i="123"/>
  <c r="D18" i="124"/>
  <c r="E18" i="124"/>
  <c r="F18" i="124"/>
  <c r="D17" i="124"/>
  <c r="E17" i="124" s="1"/>
  <c r="J17" i="124" s="1"/>
  <c r="F17" i="124"/>
  <c r="D16" i="124"/>
  <c r="E16" i="124" s="1"/>
  <c r="F16" i="124"/>
  <c r="D15" i="124"/>
  <c r="E15" i="124" s="1"/>
  <c r="F15" i="124"/>
  <c r="D14" i="124"/>
  <c r="E14" i="124" s="1"/>
  <c r="F14" i="124"/>
  <c r="D13" i="124"/>
  <c r="E13" i="124" s="1"/>
  <c r="J13" i="124" s="1"/>
  <c r="K13" i="124" s="1"/>
  <c r="F13" i="124"/>
  <c r="D12" i="124"/>
  <c r="E12" i="124" s="1"/>
  <c r="F12" i="124"/>
  <c r="D11" i="124"/>
  <c r="E11" i="124" s="1"/>
  <c r="F11" i="124"/>
  <c r="D10" i="124"/>
  <c r="E10" i="124" s="1"/>
  <c r="J10" i="124" s="1"/>
  <c r="F10" i="124"/>
  <c r="D9" i="124"/>
  <c r="E9" i="124"/>
  <c r="J9" i="124" s="1"/>
  <c r="M9" i="124" s="1"/>
  <c r="F9" i="124"/>
  <c r="D8" i="124"/>
  <c r="E8" i="124" s="1"/>
  <c r="F8" i="124"/>
  <c r="D7" i="124"/>
  <c r="E7" i="124" s="1"/>
  <c r="J7" i="124" s="1"/>
  <c r="F7" i="124"/>
  <c r="D6" i="124"/>
  <c r="E6" i="124" s="1"/>
  <c r="F6" i="124"/>
  <c r="D5" i="124"/>
  <c r="E5" i="124"/>
  <c r="J5" i="124" s="1"/>
  <c r="F5" i="124"/>
  <c r="D4" i="124"/>
  <c r="E4" i="124"/>
  <c r="J4" i="124" s="1"/>
  <c r="F4" i="124"/>
  <c r="D3" i="124"/>
  <c r="E3" i="124" s="1"/>
  <c r="F3" i="124"/>
  <c r="D18" i="125"/>
  <c r="E18" i="125"/>
  <c r="J18" i="125" s="1"/>
  <c r="K18" i="125" s="1"/>
  <c r="F18" i="125"/>
  <c r="D17" i="125"/>
  <c r="E17" i="125" s="1"/>
  <c r="F17" i="125"/>
  <c r="D16" i="125"/>
  <c r="E16" i="125" s="1"/>
  <c r="J16" i="125" s="1"/>
  <c r="F16" i="125"/>
  <c r="D15" i="125"/>
  <c r="E15" i="125"/>
  <c r="F15" i="125"/>
  <c r="D14" i="125"/>
  <c r="E14" i="125"/>
  <c r="J14" i="125" s="1"/>
  <c r="F14" i="125"/>
  <c r="D13" i="125"/>
  <c r="E13" i="125" s="1"/>
  <c r="F13" i="125"/>
  <c r="D12" i="125"/>
  <c r="E12" i="125" s="1"/>
  <c r="F12" i="125"/>
  <c r="D11" i="125"/>
  <c r="E11" i="125" s="1"/>
  <c r="F11" i="125"/>
  <c r="D10" i="125"/>
  <c r="E10" i="125" s="1"/>
  <c r="J10" i="125" s="1"/>
  <c r="F10" i="125"/>
  <c r="D9" i="125"/>
  <c r="E9" i="125" s="1"/>
  <c r="J9" i="125" s="1"/>
  <c r="K9" i="125" s="1"/>
  <c r="F9" i="125"/>
  <c r="D8" i="125"/>
  <c r="E8" i="125" s="1"/>
  <c r="F8" i="125"/>
  <c r="D7" i="125"/>
  <c r="E7" i="125"/>
  <c r="J7" i="125" s="1"/>
  <c r="F7" i="125"/>
  <c r="D6" i="125"/>
  <c r="E6" i="125" s="1"/>
  <c r="J6" i="125" s="1"/>
  <c r="F6" i="125"/>
  <c r="D5" i="125"/>
  <c r="E5" i="125"/>
  <c r="F5" i="125"/>
  <c r="D4" i="125"/>
  <c r="E4" i="125" s="1"/>
  <c r="J4" i="125" s="1"/>
  <c r="F4" i="125"/>
  <c r="D3" i="125"/>
  <c r="E3" i="125" s="1"/>
  <c r="F3" i="125"/>
  <c r="F18" i="61"/>
  <c r="F17" i="61"/>
  <c r="F16" i="61"/>
  <c r="F15" i="61"/>
  <c r="F14" i="61"/>
  <c r="F13" i="61"/>
  <c r="F12" i="61"/>
  <c r="F11" i="61"/>
  <c r="F10" i="61"/>
  <c r="F9" i="61"/>
  <c r="F8" i="61"/>
  <c r="D7" i="61"/>
  <c r="E7" i="61" s="1"/>
  <c r="F7" i="61"/>
  <c r="D6" i="61"/>
  <c r="E6" i="61" s="1"/>
  <c r="F6" i="61"/>
  <c r="D5" i="61"/>
  <c r="E5" i="61" s="1"/>
  <c r="F5" i="61"/>
  <c r="D4" i="61"/>
  <c r="E4" i="61"/>
  <c r="J4" i="61" s="1"/>
  <c r="F4" i="61"/>
  <c r="D3" i="61"/>
  <c r="E3" i="61" s="1"/>
  <c r="F3" i="61"/>
  <c r="B87" i="1"/>
  <c r="D87" i="1"/>
  <c r="E87" i="1" s="1"/>
  <c r="F81" i="1"/>
  <c r="A88" i="1"/>
  <c r="B88" i="1"/>
  <c r="G37" i="125"/>
  <c r="H37" i="125"/>
  <c r="I37" i="125" s="1"/>
  <c r="G36" i="125"/>
  <c r="H36" i="125"/>
  <c r="I36" i="125"/>
  <c r="G35" i="125"/>
  <c r="H35" i="125"/>
  <c r="G34" i="125"/>
  <c r="I34" i="125" s="1"/>
  <c r="H34" i="125"/>
  <c r="G33" i="125"/>
  <c r="I33" i="125" s="1"/>
  <c r="H33" i="125"/>
  <c r="G32" i="125"/>
  <c r="I32" i="125" s="1"/>
  <c r="H32" i="125"/>
  <c r="G31" i="125"/>
  <c r="I31" i="125" s="1"/>
  <c r="H31" i="125"/>
  <c r="G30" i="125"/>
  <c r="H30" i="125"/>
  <c r="I30" i="125"/>
  <c r="G29" i="125"/>
  <c r="I29" i="125" s="1"/>
  <c r="K29" i="125" s="1"/>
  <c r="H29" i="125"/>
  <c r="G28" i="125"/>
  <c r="H28" i="125"/>
  <c r="I28" i="125" s="1"/>
  <c r="G27" i="125"/>
  <c r="H27" i="125"/>
  <c r="I27" i="125"/>
  <c r="G26" i="125"/>
  <c r="H26" i="125"/>
  <c r="G25" i="125"/>
  <c r="H25" i="125"/>
  <c r="G24" i="125"/>
  <c r="H24" i="125"/>
  <c r="I24" i="125" s="1"/>
  <c r="G23" i="125"/>
  <c r="H23" i="125"/>
  <c r="I23" i="125"/>
  <c r="G22" i="125"/>
  <c r="I22" i="125" s="1"/>
  <c r="H22" i="125"/>
  <c r="G37" i="124"/>
  <c r="I37" i="124" s="1"/>
  <c r="H37" i="124"/>
  <c r="G36" i="124"/>
  <c r="H36" i="124"/>
  <c r="I36" i="124"/>
  <c r="G35" i="124"/>
  <c r="H35" i="124"/>
  <c r="I35" i="124"/>
  <c r="G34" i="124"/>
  <c r="I34" i="124" s="1"/>
  <c r="H34" i="124"/>
  <c r="G33" i="124"/>
  <c r="H33" i="124"/>
  <c r="I33" i="124"/>
  <c r="G32" i="124"/>
  <c r="H32" i="124"/>
  <c r="I32" i="124"/>
  <c r="G31" i="124"/>
  <c r="I31" i="124" s="1"/>
  <c r="H31" i="124"/>
  <c r="G30" i="124"/>
  <c r="H30" i="124"/>
  <c r="G29" i="124"/>
  <c r="H29" i="124"/>
  <c r="I29" i="124" s="1"/>
  <c r="G28" i="124"/>
  <c r="H28" i="124"/>
  <c r="I28" i="124" s="1"/>
  <c r="G27" i="124"/>
  <c r="I27" i="124" s="1"/>
  <c r="H27" i="124"/>
  <c r="G26" i="124"/>
  <c r="H26" i="124"/>
  <c r="G25" i="124"/>
  <c r="H25" i="124"/>
  <c r="I25" i="124" s="1"/>
  <c r="G24" i="124"/>
  <c r="I24" i="124" s="1"/>
  <c r="H24" i="124"/>
  <c r="G23" i="124"/>
  <c r="I23" i="124" s="1"/>
  <c r="H23" i="124"/>
  <c r="G22" i="124"/>
  <c r="H22" i="124"/>
  <c r="G37" i="123"/>
  <c r="H37" i="123"/>
  <c r="I37" i="123"/>
  <c r="G36" i="123"/>
  <c r="H36" i="123"/>
  <c r="I36" i="123"/>
  <c r="G35" i="123"/>
  <c r="I35" i="123" s="1"/>
  <c r="H35" i="123"/>
  <c r="G34" i="123"/>
  <c r="H34" i="123"/>
  <c r="G33" i="123"/>
  <c r="I33" i="123" s="1"/>
  <c r="K33" i="123" s="1"/>
  <c r="H33" i="123"/>
  <c r="G32" i="123"/>
  <c r="I32" i="123" s="1"/>
  <c r="H32" i="123"/>
  <c r="G31" i="123"/>
  <c r="H31" i="123"/>
  <c r="I31" i="123"/>
  <c r="G30" i="123"/>
  <c r="H30" i="123"/>
  <c r="I30" i="123" s="1"/>
  <c r="G29" i="123"/>
  <c r="I29" i="123" s="1"/>
  <c r="H29" i="123"/>
  <c r="G28" i="123"/>
  <c r="H28" i="123"/>
  <c r="I28" i="123" s="1"/>
  <c r="G27" i="123"/>
  <c r="H27" i="123"/>
  <c r="I27" i="123"/>
  <c r="G26" i="123"/>
  <c r="H26" i="123"/>
  <c r="G25" i="123"/>
  <c r="I25" i="123" s="1"/>
  <c r="H25" i="123"/>
  <c r="G24" i="123"/>
  <c r="H24" i="123"/>
  <c r="I24" i="123"/>
  <c r="G23" i="123"/>
  <c r="H23" i="123"/>
  <c r="I23" i="123"/>
  <c r="G22" i="123"/>
  <c r="I22" i="123" s="1"/>
  <c r="H22" i="123"/>
  <c r="G37" i="122"/>
  <c r="H37" i="122"/>
  <c r="G36" i="122"/>
  <c r="H36" i="122"/>
  <c r="I36" i="122"/>
  <c r="G35" i="122"/>
  <c r="H35" i="122"/>
  <c r="I35" i="122" s="1"/>
  <c r="G34" i="122"/>
  <c r="I34" i="122" s="1"/>
  <c r="H34" i="122"/>
  <c r="G33" i="122"/>
  <c r="H33" i="122"/>
  <c r="I33" i="122"/>
  <c r="G32" i="122"/>
  <c r="H32" i="122"/>
  <c r="I32" i="122" s="1"/>
  <c r="G31" i="122"/>
  <c r="I31" i="122" s="1"/>
  <c r="H31" i="122"/>
  <c r="G30" i="122"/>
  <c r="I30" i="122" s="1"/>
  <c r="H30" i="122"/>
  <c r="G29" i="122"/>
  <c r="H29" i="122"/>
  <c r="I29" i="122"/>
  <c r="K29" i="122" s="1"/>
  <c r="G28" i="122"/>
  <c r="H28" i="122"/>
  <c r="I28" i="122"/>
  <c r="G27" i="122"/>
  <c r="I27" i="122" s="1"/>
  <c r="H27" i="122"/>
  <c r="G26" i="122"/>
  <c r="H26" i="122"/>
  <c r="G25" i="122"/>
  <c r="H25" i="122"/>
  <c r="I25" i="122"/>
  <c r="G24" i="122"/>
  <c r="I24" i="122" s="1"/>
  <c r="H24" i="122"/>
  <c r="G23" i="122"/>
  <c r="I23" i="122" s="1"/>
  <c r="H23" i="122"/>
  <c r="G22" i="122"/>
  <c r="H22" i="122"/>
  <c r="I22" i="122"/>
  <c r="G37" i="121"/>
  <c r="H37" i="121"/>
  <c r="I37" i="121"/>
  <c r="G36" i="121"/>
  <c r="H36" i="121"/>
  <c r="I36" i="121"/>
  <c r="G35" i="121"/>
  <c r="H35" i="121"/>
  <c r="G34" i="121"/>
  <c r="I34" i="121" s="1"/>
  <c r="H34" i="121"/>
  <c r="G33" i="121"/>
  <c r="I33" i="121" s="1"/>
  <c r="H33" i="121"/>
  <c r="G32" i="121"/>
  <c r="I32" i="121" s="1"/>
  <c r="H32" i="121"/>
  <c r="G31" i="121"/>
  <c r="H31" i="121"/>
  <c r="I31" i="121"/>
  <c r="G30" i="121"/>
  <c r="J30" i="121"/>
  <c r="H30" i="121"/>
  <c r="I30" i="121"/>
  <c r="G29" i="121"/>
  <c r="J29" i="121"/>
  <c r="H29" i="121"/>
  <c r="I29" i="121"/>
  <c r="G28" i="121"/>
  <c r="H28" i="121"/>
  <c r="I28" i="121"/>
  <c r="G27" i="121"/>
  <c r="I27" i="121" s="1"/>
  <c r="H27" i="121"/>
  <c r="G26" i="121"/>
  <c r="H26" i="121"/>
  <c r="I26" i="121" s="1"/>
  <c r="G25" i="121"/>
  <c r="H25" i="121"/>
  <c r="I25" i="121" s="1"/>
  <c r="G24" i="121"/>
  <c r="H24" i="121"/>
  <c r="G23" i="121"/>
  <c r="H23" i="121"/>
  <c r="G22" i="121"/>
  <c r="H22" i="121"/>
  <c r="I22" i="121"/>
  <c r="G37" i="120"/>
  <c r="H37" i="120"/>
  <c r="I37" i="120"/>
  <c r="G36" i="120"/>
  <c r="I36" i="120" s="1"/>
  <c r="H36" i="120"/>
  <c r="G35" i="120"/>
  <c r="I35" i="120" s="1"/>
  <c r="H35" i="120"/>
  <c r="G34" i="120"/>
  <c r="H34" i="120"/>
  <c r="I34" i="120"/>
  <c r="G33" i="120"/>
  <c r="H33" i="120"/>
  <c r="I33" i="120"/>
  <c r="G32" i="120"/>
  <c r="H32" i="120"/>
  <c r="G31" i="120"/>
  <c r="I31" i="120" s="1"/>
  <c r="H31" i="120"/>
  <c r="G30" i="120"/>
  <c r="J30" i="120"/>
  <c r="H30" i="120"/>
  <c r="G29" i="120"/>
  <c r="H29" i="120"/>
  <c r="I29" i="120"/>
  <c r="G28" i="120"/>
  <c r="I28" i="120" s="1"/>
  <c r="H28" i="120"/>
  <c r="G27" i="120"/>
  <c r="I27" i="120" s="1"/>
  <c r="H27" i="120"/>
  <c r="G26" i="120"/>
  <c r="H26" i="120"/>
  <c r="G25" i="120"/>
  <c r="H25" i="120"/>
  <c r="I25" i="120"/>
  <c r="G24" i="120"/>
  <c r="H24" i="120"/>
  <c r="I24" i="120"/>
  <c r="G23" i="120"/>
  <c r="I23" i="120" s="1"/>
  <c r="H23" i="120"/>
  <c r="G22" i="120"/>
  <c r="I22" i="120" s="1"/>
  <c r="K22" i="120" s="1"/>
  <c r="N22" i="120" s="1"/>
  <c r="O22" i="120" s="1"/>
  <c r="J22" i="120"/>
  <c r="H22" i="120"/>
  <c r="G37" i="119"/>
  <c r="H37" i="119"/>
  <c r="I37" i="119"/>
  <c r="G36" i="119"/>
  <c r="H36" i="119"/>
  <c r="I36" i="119"/>
  <c r="G35" i="119"/>
  <c r="H35" i="119"/>
  <c r="I35" i="119" s="1"/>
  <c r="G34" i="119"/>
  <c r="J34" i="119" s="1"/>
  <c r="H34" i="119"/>
  <c r="I34" i="119"/>
  <c r="G33" i="119"/>
  <c r="H33" i="119"/>
  <c r="I33" i="119"/>
  <c r="K33" i="119" s="1"/>
  <c r="G32" i="119"/>
  <c r="I32" i="119" s="1"/>
  <c r="H32" i="119"/>
  <c r="G31" i="119"/>
  <c r="H31" i="119"/>
  <c r="G30" i="119"/>
  <c r="H30" i="119"/>
  <c r="I30" i="119"/>
  <c r="G29" i="119"/>
  <c r="H29" i="119"/>
  <c r="G28" i="119"/>
  <c r="H28" i="119"/>
  <c r="I28" i="119"/>
  <c r="G27" i="119"/>
  <c r="H27" i="119"/>
  <c r="I27" i="119"/>
  <c r="G26" i="119"/>
  <c r="H26" i="119"/>
  <c r="G25" i="119"/>
  <c r="J25" i="119" s="1"/>
  <c r="H25" i="119"/>
  <c r="I25" i="119"/>
  <c r="G24" i="119"/>
  <c r="H24" i="119"/>
  <c r="G23" i="119"/>
  <c r="H23" i="119"/>
  <c r="I23" i="119" s="1"/>
  <c r="G22" i="119"/>
  <c r="H22" i="119"/>
  <c r="I22" i="119"/>
  <c r="G37" i="118"/>
  <c r="I37" i="118" s="1"/>
  <c r="H37" i="118"/>
  <c r="G36" i="118"/>
  <c r="H36" i="118"/>
  <c r="I36" i="118" s="1"/>
  <c r="G35" i="118"/>
  <c r="H35" i="118"/>
  <c r="I35" i="118"/>
  <c r="G34" i="118"/>
  <c r="I34" i="118" s="1"/>
  <c r="H34" i="118"/>
  <c r="G33" i="118"/>
  <c r="H33" i="118"/>
  <c r="G32" i="118"/>
  <c r="H32" i="118"/>
  <c r="I32" i="118"/>
  <c r="G31" i="118"/>
  <c r="H31" i="118"/>
  <c r="I31" i="118"/>
  <c r="G30" i="118"/>
  <c r="H30" i="118"/>
  <c r="G29" i="118"/>
  <c r="I29" i="118" s="1"/>
  <c r="H29" i="118"/>
  <c r="G28" i="118"/>
  <c r="I28" i="118" s="1"/>
  <c r="H28" i="118"/>
  <c r="G27" i="118"/>
  <c r="H27" i="118"/>
  <c r="G26" i="118"/>
  <c r="I26" i="118" s="1"/>
  <c r="H26" i="118"/>
  <c r="G25" i="118"/>
  <c r="H25" i="118"/>
  <c r="G24" i="118"/>
  <c r="I24" i="118" s="1"/>
  <c r="H24" i="118"/>
  <c r="G23" i="118"/>
  <c r="H23" i="118"/>
  <c r="I23" i="118"/>
  <c r="G22" i="118"/>
  <c r="H22" i="118"/>
  <c r="I22" i="118"/>
  <c r="G37" i="117"/>
  <c r="H37" i="117"/>
  <c r="G36" i="117"/>
  <c r="I36" i="117" s="1"/>
  <c r="J36" i="117"/>
  <c r="H36" i="117"/>
  <c r="G35" i="117"/>
  <c r="H35" i="117"/>
  <c r="I35" i="117"/>
  <c r="G34" i="117"/>
  <c r="H34" i="117"/>
  <c r="I34" i="117"/>
  <c r="G33" i="117"/>
  <c r="H33" i="117"/>
  <c r="G32" i="117"/>
  <c r="I32" i="117" s="1"/>
  <c r="H32" i="117"/>
  <c r="G31" i="117"/>
  <c r="H31" i="117"/>
  <c r="G30" i="117"/>
  <c r="I30" i="117" s="1"/>
  <c r="J30" i="117"/>
  <c r="H30" i="117"/>
  <c r="G29" i="117"/>
  <c r="H29" i="117"/>
  <c r="I29" i="117"/>
  <c r="G28" i="117"/>
  <c r="H28" i="117"/>
  <c r="I28" i="117"/>
  <c r="G27" i="117"/>
  <c r="I27" i="117" s="1"/>
  <c r="H27" i="117"/>
  <c r="G26" i="117"/>
  <c r="I26" i="117" s="1"/>
  <c r="H26" i="117"/>
  <c r="G25" i="117"/>
  <c r="H25" i="117"/>
  <c r="G24" i="117"/>
  <c r="H24" i="117"/>
  <c r="I24" i="117" s="1"/>
  <c r="G23" i="117"/>
  <c r="H23" i="117"/>
  <c r="I23" i="117" s="1"/>
  <c r="G22" i="117"/>
  <c r="J22" i="117" s="1"/>
  <c r="H22" i="117"/>
  <c r="G37" i="116"/>
  <c r="J37" i="116" s="1"/>
  <c r="H37" i="116"/>
  <c r="I37" i="116"/>
  <c r="G36" i="116"/>
  <c r="I36" i="116" s="1"/>
  <c r="H36" i="116"/>
  <c r="G35" i="116"/>
  <c r="I35" i="116" s="1"/>
  <c r="H35" i="116"/>
  <c r="G34" i="116"/>
  <c r="H34" i="116"/>
  <c r="G33" i="116"/>
  <c r="H33" i="116"/>
  <c r="I33" i="116" s="1"/>
  <c r="G32" i="116"/>
  <c r="H32" i="116"/>
  <c r="I32" i="116"/>
  <c r="G31" i="116"/>
  <c r="J31" i="116" s="1"/>
  <c r="H31" i="116"/>
  <c r="I31" i="116"/>
  <c r="G30" i="116"/>
  <c r="H30" i="116"/>
  <c r="I30" i="116"/>
  <c r="G29" i="116"/>
  <c r="H29" i="116"/>
  <c r="G28" i="116"/>
  <c r="J28" i="116"/>
  <c r="H28" i="116"/>
  <c r="G27" i="116"/>
  <c r="H27" i="116"/>
  <c r="I27" i="116"/>
  <c r="G26" i="116"/>
  <c r="H26" i="116"/>
  <c r="I26" i="116"/>
  <c r="G25" i="116"/>
  <c r="J25" i="116" s="1"/>
  <c r="H25" i="116"/>
  <c r="I25" i="116"/>
  <c r="G24" i="116"/>
  <c r="I24" i="116" s="1"/>
  <c r="H24" i="116"/>
  <c r="G23" i="116"/>
  <c r="H23" i="116"/>
  <c r="G22" i="116"/>
  <c r="H22" i="116"/>
  <c r="G18" i="125"/>
  <c r="H18" i="125"/>
  <c r="I18" i="125"/>
  <c r="G17" i="125"/>
  <c r="H17" i="125"/>
  <c r="I17" i="125" s="1"/>
  <c r="G16" i="125"/>
  <c r="I16" i="125" s="1"/>
  <c r="H16" i="125"/>
  <c r="G15" i="125"/>
  <c r="I15" i="125" s="1"/>
  <c r="H15" i="125"/>
  <c r="G14" i="125"/>
  <c r="H14" i="125"/>
  <c r="I14" i="125"/>
  <c r="G13" i="125"/>
  <c r="H13" i="125"/>
  <c r="I13" i="125"/>
  <c r="G12" i="125"/>
  <c r="I12" i="125" s="1"/>
  <c r="H12" i="125"/>
  <c r="G11" i="125"/>
  <c r="H11" i="125"/>
  <c r="G10" i="125"/>
  <c r="H10" i="125"/>
  <c r="I10" i="125"/>
  <c r="G9" i="125"/>
  <c r="H9" i="125"/>
  <c r="I9" i="125"/>
  <c r="G8" i="125"/>
  <c r="I8" i="125" s="1"/>
  <c r="H8" i="125"/>
  <c r="G7" i="125"/>
  <c r="I7" i="125" s="1"/>
  <c r="H7" i="125"/>
  <c r="G6" i="125"/>
  <c r="I6" i="125" s="1"/>
  <c r="H6" i="125"/>
  <c r="G5" i="125"/>
  <c r="H5" i="125"/>
  <c r="I5" i="125"/>
  <c r="G4" i="125"/>
  <c r="H4" i="125"/>
  <c r="I4" i="125"/>
  <c r="G3" i="125"/>
  <c r="I3" i="125" s="1"/>
  <c r="H3" i="125"/>
  <c r="G18" i="124"/>
  <c r="H18" i="124"/>
  <c r="I18" i="124"/>
  <c r="G17" i="124"/>
  <c r="H17" i="124"/>
  <c r="I17" i="124"/>
  <c r="G16" i="124"/>
  <c r="I16" i="124" s="1"/>
  <c r="H16" i="124"/>
  <c r="G15" i="124"/>
  <c r="I15" i="124" s="1"/>
  <c r="H15" i="124"/>
  <c r="G14" i="124"/>
  <c r="I14" i="124" s="1"/>
  <c r="H14" i="124"/>
  <c r="G13" i="124"/>
  <c r="H13" i="124"/>
  <c r="I13" i="124"/>
  <c r="G12" i="124"/>
  <c r="I12" i="124" s="1"/>
  <c r="H12" i="124"/>
  <c r="G11" i="124"/>
  <c r="I11" i="124" s="1"/>
  <c r="H11" i="124"/>
  <c r="G10" i="124"/>
  <c r="H10" i="124"/>
  <c r="I10" i="124" s="1"/>
  <c r="G9" i="124"/>
  <c r="H9" i="124"/>
  <c r="I9" i="124" s="1"/>
  <c r="G8" i="124"/>
  <c r="I8" i="124" s="1"/>
  <c r="H8" i="124"/>
  <c r="G7" i="124"/>
  <c r="H7" i="124"/>
  <c r="G6" i="124"/>
  <c r="H6" i="124"/>
  <c r="I6" i="124" s="1"/>
  <c r="G5" i="124"/>
  <c r="H5" i="124"/>
  <c r="I5" i="124"/>
  <c r="G4" i="124"/>
  <c r="I4" i="124" s="1"/>
  <c r="H4" i="124"/>
  <c r="G3" i="124"/>
  <c r="I3" i="124" s="1"/>
  <c r="H3" i="124"/>
  <c r="G18" i="123"/>
  <c r="H18" i="123"/>
  <c r="I18" i="123" s="1"/>
  <c r="G17" i="123"/>
  <c r="H17" i="123"/>
  <c r="I17" i="123" s="1"/>
  <c r="G16" i="123"/>
  <c r="I16" i="123" s="1"/>
  <c r="H16" i="123"/>
  <c r="G15" i="123"/>
  <c r="I15" i="123" s="1"/>
  <c r="H15" i="123"/>
  <c r="G14" i="123"/>
  <c r="H14" i="123"/>
  <c r="I14" i="123"/>
  <c r="G13" i="123"/>
  <c r="H13" i="123"/>
  <c r="I13" i="123"/>
  <c r="G12" i="123"/>
  <c r="I12" i="123" s="1"/>
  <c r="H12" i="123"/>
  <c r="G11" i="123"/>
  <c r="H11" i="123"/>
  <c r="G10" i="123"/>
  <c r="H10" i="123"/>
  <c r="I10" i="123"/>
  <c r="G9" i="123"/>
  <c r="H9" i="123"/>
  <c r="I9" i="123" s="1"/>
  <c r="G8" i="123"/>
  <c r="I8" i="123" s="1"/>
  <c r="H8" i="123"/>
  <c r="G7" i="123"/>
  <c r="H7" i="123"/>
  <c r="G6" i="123"/>
  <c r="H6" i="123"/>
  <c r="G5" i="123"/>
  <c r="H5" i="123"/>
  <c r="I5" i="123"/>
  <c r="G4" i="123"/>
  <c r="H4" i="123"/>
  <c r="I4" i="123"/>
  <c r="G3" i="123"/>
  <c r="I3" i="123" s="1"/>
  <c r="H3" i="123"/>
  <c r="G18" i="122"/>
  <c r="H18" i="122"/>
  <c r="I18" i="122"/>
  <c r="G17" i="122"/>
  <c r="H17" i="122"/>
  <c r="I17" i="122" s="1"/>
  <c r="G16" i="122"/>
  <c r="I16" i="122" s="1"/>
  <c r="H16" i="122"/>
  <c r="G15" i="122"/>
  <c r="H15" i="122"/>
  <c r="G14" i="122"/>
  <c r="I14" i="122" s="1"/>
  <c r="H14" i="122"/>
  <c r="G13" i="122"/>
  <c r="H13" i="122"/>
  <c r="I13" i="122"/>
  <c r="G12" i="122"/>
  <c r="H12" i="122"/>
  <c r="I12" i="122"/>
  <c r="G11" i="122"/>
  <c r="H11" i="122"/>
  <c r="G10" i="122"/>
  <c r="H10" i="122"/>
  <c r="I10" i="122" s="1"/>
  <c r="G9" i="122"/>
  <c r="H9" i="122"/>
  <c r="I9" i="122"/>
  <c r="K9" i="122" s="1"/>
  <c r="N9" i="122" s="1"/>
  <c r="G8" i="122"/>
  <c r="I8" i="122" s="1"/>
  <c r="H8" i="122"/>
  <c r="G7" i="122"/>
  <c r="I7" i="122" s="1"/>
  <c r="H7" i="122"/>
  <c r="G6" i="122"/>
  <c r="H6" i="122"/>
  <c r="I6" i="122"/>
  <c r="G5" i="122"/>
  <c r="H5" i="122"/>
  <c r="I5" i="122"/>
  <c r="G4" i="122"/>
  <c r="I4" i="122" s="1"/>
  <c r="H4" i="122"/>
  <c r="G3" i="122"/>
  <c r="H3" i="122"/>
  <c r="G18" i="121"/>
  <c r="H18" i="121"/>
  <c r="I18" i="121"/>
  <c r="G17" i="121"/>
  <c r="H17" i="121"/>
  <c r="I17" i="121" s="1"/>
  <c r="G16" i="121"/>
  <c r="I16" i="121" s="1"/>
  <c r="H16" i="121"/>
  <c r="G15" i="121"/>
  <c r="I15" i="121" s="1"/>
  <c r="H15" i="121"/>
  <c r="G14" i="121"/>
  <c r="H14" i="121"/>
  <c r="G13" i="121"/>
  <c r="H13" i="121"/>
  <c r="I13" i="121"/>
  <c r="G12" i="121"/>
  <c r="H12" i="121"/>
  <c r="I12" i="121"/>
  <c r="G11" i="121"/>
  <c r="I11" i="121" s="1"/>
  <c r="H11" i="121"/>
  <c r="G10" i="121"/>
  <c r="H10" i="121"/>
  <c r="I10" i="121"/>
  <c r="G9" i="121"/>
  <c r="H9" i="121"/>
  <c r="I9" i="121"/>
  <c r="G8" i="121"/>
  <c r="I8" i="121" s="1"/>
  <c r="H8" i="121"/>
  <c r="G7" i="121"/>
  <c r="I7" i="121" s="1"/>
  <c r="H7" i="121"/>
  <c r="G6" i="121"/>
  <c r="H6" i="121"/>
  <c r="G5" i="121"/>
  <c r="H5" i="121"/>
  <c r="I5" i="121"/>
  <c r="G4" i="121"/>
  <c r="H4" i="121"/>
  <c r="I4" i="121"/>
  <c r="G3" i="121"/>
  <c r="I3" i="121" s="1"/>
  <c r="H3" i="121"/>
  <c r="G18" i="120"/>
  <c r="H18" i="120"/>
  <c r="I18" i="120"/>
  <c r="G17" i="120"/>
  <c r="H17" i="120"/>
  <c r="I17" i="120"/>
  <c r="G16" i="120"/>
  <c r="I16" i="120" s="1"/>
  <c r="H16" i="120"/>
  <c r="G15" i="120"/>
  <c r="H15" i="120"/>
  <c r="G14" i="120"/>
  <c r="I14" i="120" s="1"/>
  <c r="H14" i="120"/>
  <c r="G13" i="120"/>
  <c r="H13" i="120"/>
  <c r="I13" i="120"/>
  <c r="G12" i="120"/>
  <c r="H12" i="120"/>
  <c r="I12" i="120"/>
  <c r="G11" i="120"/>
  <c r="I11" i="120" s="1"/>
  <c r="H11" i="120"/>
  <c r="G10" i="120"/>
  <c r="H10" i="120"/>
  <c r="I10" i="120" s="1"/>
  <c r="G9" i="120"/>
  <c r="H9" i="120"/>
  <c r="I9" i="120" s="1"/>
  <c r="G8" i="120"/>
  <c r="I8" i="120" s="1"/>
  <c r="H8" i="120"/>
  <c r="G7" i="120"/>
  <c r="H7" i="120"/>
  <c r="G6" i="120"/>
  <c r="H6" i="120"/>
  <c r="I6" i="120"/>
  <c r="G5" i="120"/>
  <c r="H5" i="120"/>
  <c r="I5" i="120"/>
  <c r="G4" i="120"/>
  <c r="I4" i="120" s="1"/>
  <c r="H4" i="120"/>
  <c r="G3" i="120"/>
  <c r="H3" i="120"/>
  <c r="G18" i="119"/>
  <c r="H18" i="119"/>
  <c r="I18" i="119" s="1"/>
  <c r="G17" i="119"/>
  <c r="H17" i="119"/>
  <c r="I17" i="119" s="1"/>
  <c r="K17" i="119" s="1"/>
  <c r="G16" i="119"/>
  <c r="I16" i="119" s="1"/>
  <c r="H16" i="119"/>
  <c r="G15" i="119"/>
  <c r="I15" i="119" s="1"/>
  <c r="H15" i="119"/>
  <c r="G14" i="119"/>
  <c r="H14" i="119"/>
  <c r="I14" i="119"/>
  <c r="G13" i="119"/>
  <c r="H13" i="119"/>
  <c r="I13" i="119"/>
  <c r="G12" i="119"/>
  <c r="I12" i="119" s="1"/>
  <c r="H12" i="119"/>
  <c r="G11" i="119"/>
  <c r="H11" i="119"/>
  <c r="G10" i="119"/>
  <c r="H10" i="119"/>
  <c r="I10" i="119"/>
  <c r="G9" i="119"/>
  <c r="H9" i="119"/>
  <c r="I9" i="119" s="1"/>
  <c r="G8" i="119"/>
  <c r="I8" i="119" s="1"/>
  <c r="H8" i="119"/>
  <c r="G7" i="119"/>
  <c r="H7" i="119"/>
  <c r="G6" i="119"/>
  <c r="H6" i="119"/>
  <c r="G5" i="119"/>
  <c r="H5" i="119"/>
  <c r="I5" i="119"/>
  <c r="G4" i="119"/>
  <c r="H4" i="119"/>
  <c r="I4" i="119"/>
  <c r="G3" i="119"/>
  <c r="I3" i="119" s="1"/>
  <c r="H3" i="119"/>
  <c r="G18" i="118"/>
  <c r="H18" i="118"/>
  <c r="I18" i="118"/>
  <c r="G17" i="118"/>
  <c r="H17" i="118"/>
  <c r="I17" i="118"/>
  <c r="G16" i="118"/>
  <c r="I16" i="118" s="1"/>
  <c r="H16" i="118"/>
  <c r="G15" i="118"/>
  <c r="H15" i="118"/>
  <c r="G14" i="118"/>
  <c r="I14" i="118" s="1"/>
  <c r="H14" i="118"/>
  <c r="G13" i="118"/>
  <c r="H13" i="118"/>
  <c r="I13" i="118"/>
  <c r="G12" i="118"/>
  <c r="H12" i="118"/>
  <c r="I12" i="118"/>
  <c r="G11" i="118"/>
  <c r="H11" i="118"/>
  <c r="G10" i="118"/>
  <c r="H10" i="118"/>
  <c r="I10" i="118" s="1"/>
  <c r="G9" i="118"/>
  <c r="H9" i="118"/>
  <c r="I9" i="118"/>
  <c r="G8" i="118"/>
  <c r="I8" i="118" s="1"/>
  <c r="H8" i="118"/>
  <c r="G7" i="118"/>
  <c r="H7" i="118"/>
  <c r="G6" i="118"/>
  <c r="H6" i="118"/>
  <c r="I6" i="118"/>
  <c r="G5" i="118"/>
  <c r="H5" i="118"/>
  <c r="I5" i="118"/>
  <c r="G4" i="118"/>
  <c r="I4" i="118" s="1"/>
  <c r="H4" i="118"/>
  <c r="G3" i="118"/>
  <c r="H3" i="118"/>
  <c r="G18" i="117"/>
  <c r="H18" i="117"/>
  <c r="I18" i="117"/>
  <c r="G17" i="117"/>
  <c r="H17" i="117"/>
  <c r="I17" i="117" s="1"/>
  <c r="G16" i="117"/>
  <c r="I16" i="117" s="1"/>
  <c r="H16" i="117"/>
  <c r="G15" i="117"/>
  <c r="I15" i="117" s="1"/>
  <c r="H15" i="117"/>
  <c r="G14" i="117"/>
  <c r="H14" i="117"/>
  <c r="I14" i="117"/>
  <c r="G13" i="117"/>
  <c r="H13" i="117"/>
  <c r="I13" i="117"/>
  <c r="G12" i="117"/>
  <c r="I12" i="117" s="1"/>
  <c r="H12" i="117"/>
  <c r="G11" i="117"/>
  <c r="H11" i="117"/>
  <c r="G10" i="117"/>
  <c r="H10" i="117"/>
  <c r="I10" i="117"/>
  <c r="G9" i="117"/>
  <c r="H9" i="117"/>
  <c r="I9" i="117"/>
  <c r="G8" i="117"/>
  <c r="I8" i="117" s="1"/>
  <c r="H8" i="117"/>
  <c r="G7" i="117"/>
  <c r="I7" i="117" s="1"/>
  <c r="H7" i="117"/>
  <c r="G6" i="117"/>
  <c r="H6" i="117"/>
  <c r="G5" i="117"/>
  <c r="H5" i="117"/>
  <c r="I5" i="117"/>
  <c r="G4" i="117"/>
  <c r="H4" i="117"/>
  <c r="I4" i="117"/>
  <c r="G3" i="117"/>
  <c r="I3" i="117" s="1"/>
  <c r="H3" i="117"/>
  <c r="G18" i="116"/>
  <c r="H18" i="116"/>
  <c r="I18" i="116"/>
  <c r="G17" i="116"/>
  <c r="H17" i="116"/>
  <c r="I17" i="116"/>
  <c r="G16" i="116"/>
  <c r="I16" i="116" s="1"/>
  <c r="H16" i="116"/>
  <c r="G15" i="116"/>
  <c r="I15" i="116" s="1"/>
  <c r="H15" i="116"/>
  <c r="G14" i="116"/>
  <c r="I14" i="116" s="1"/>
  <c r="H14" i="116"/>
  <c r="G13" i="116"/>
  <c r="H13" i="116"/>
  <c r="I13" i="116"/>
  <c r="G12" i="116"/>
  <c r="I12" i="116" s="1"/>
  <c r="H12" i="116"/>
  <c r="G11" i="116"/>
  <c r="I11" i="116" s="1"/>
  <c r="H11" i="116"/>
  <c r="G10" i="116"/>
  <c r="H10" i="116"/>
  <c r="G9" i="116"/>
  <c r="H9" i="116"/>
  <c r="I9" i="116" s="1"/>
  <c r="G8" i="116"/>
  <c r="H8" i="116"/>
  <c r="I8" i="116"/>
  <c r="G7" i="116"/>
  <c r="I7" i="116" s="1"/>
  <c r="H7" i="116"/>
  <c r="G6" i="116"/>
  <c r="H6" i="116"/>
  <c r="G5" i="116"/>
  <c r="H5" i="116"/>
  <c r="I5" i="116"/>
  <c r="G4" i="116"/>
  <c r="H4" i="116"/>
  <c r="I4" i="116"/>
  <c r="G3" i="116"/>
  <c r="I3" i="116" s="1"/>
  <c r="H3" i="116"/>
  <c r="G22" i="115"/>
  <c r="H22" i="115"/>
  <c r="I22" i="115"/>
  <c r="G23" i="115"/>
  <c r="J23" i="115"/>
  <c r="H23" i="115"/>
  <c r="I23" i="115" s="1"/>
  <c r="K23" i="115" s="1"/>
  <c r="G24" i="115"/>
  <c r="H24" i="115"/>
  <c r="I24" i="115" s="1"/>
  <c r="G25" i="115"/>
  <c r="I25" i="115" s="1"/>
  <c r="H25" i="115"/>
  <c r="G26" i="115"/>
  <c r="I26" i="115" s="1"/>
  <c r="J26" i="115"/>
  <c r="H26" i="115"/>
  <c r="G27" i="115"/>
  <c r="H27" i="115"/>
  <c r="G28" i="115"/>
  <c r="H28" i="115"/>
  <c r="I28" i="115"/>
  <c r="G29" i="115"/>
  <c r="J29" i="115"/>
  <c r="H29" i="115"/>
  <c r="I29" i="115" s="1"/>
  <c r="G30" i="115"/>
  <c r="H30" i="115"/>
  <c r="I30" i="115" s="1"/>
  <c r="G31" i="115"/>
  <c r="H31" i="115"/>
  <c r="I31" i="115"/>
  <c r="G32" i="115"/>
  <c r="J32" i="115" s="1"/>
  <c r="H32" i="115"/>
  <c r="I32" i="115"/>
  <c r="G33" i="115"/>
  <c r="H33" i="115"/>
  <c r="G34" i="115"/>
  <c r="H34" i="115"/>
  <c r="G35" i="115"/>
  <c r="J35" i="115"/>
  <c r="H35" i="115"/>
  <c r="I35" i="115" s="1"/>
  <c r="G36" i="115"/>
  <c r="H36" i="115"/>
  <c r="I36" i="115" s="1"/>
  <c r="G37" i="115"/>
  <c r="H37" i="115"/>
  <c r="I37" i="115"/>
  <c r="G22" i="114"/>
  <c r="I22" i="114" s="1"/>
  <c r="H22" i="114"/>
  <c r="G23" i="114"/>
  <c r="I23" i="114" s="1"/>
  <c r="H23" i="114"/>
  <c r="G24" i="114"/>
  <c r="J24" i="114"/>
  <c r="H24" i="114"/>
  <c r="I24" i="114"/>
  <c r="G25" i="114"/>
  <c r="H25" i="114"/>
  <c r="I25" i="114" s="1"/>
  <c r="G26" i="114"/>
  <c r="I26" i="114" s="1"/>
  <c r="H26" i="114"/>
  <c r="G27" i="114"/>
  <c r="J27" i="114"/>
  <c r="H27" i="114"/>
  <c r="I27" i="114"/>
  <c r="K27" i="114" s="1"/>
  <c r="N27" i="114" s="1"/>
  <c r="G28" i="114"/>
  <c r="H28" i="114"/>
  <c r="G29" i="114"/>
  <c r="H29" i="114"/>
  <c r="I29" i="114"/>
  <c r="G30" i="114"/>
  <c r="J30" i="114"/>
  <c r="H30" i="114"/>
  <c r="I30" i="114" s="1"/>
  <c r="K30" i="114" s="1"/>
  <c r="N30" i="114" s="1"/>
  <c r="G31" i="114"/>
  <c r="H31" i="114"/>
  <c r="I31" i="114" s="1"/>
  <c r="G32" i="114"/>
  <c r="I32" i="114" s="1"/>
  <c r="H32" i="114"/>
  <c r="G33" i="114"/>
  <c r="H33" i="114"/>
  <c r="G34" i="114"/>
  <c r="H34" i="114"/>
  <c r="G35" i="114"/>
  <c r="I35" i="114" s="1"/>
  <c r="H35" i="114"/>
  <c r="G36" i="114"/>
  <c r="J36" i="114"/>
  <c r="H36" i="114"/>
  <c r="I36" i="114" s="1"/>
  <c r="G37" i="114"/>
  <c r="H37" i="114"/>
  <c r="I37" i="114" s="1"/>
  <c r="G22" i="113"/>
  <c r="J22" i="113" s="1"/>
  <c r="H22" i="113"/>
  <c r="G23" i="113"/>
  <c r="H23" i="113"/>
  <c r="I23" i="113"/>
  <c r="G24" i="113"/>
  <c r="I24" i="113" s="1"/>
  <c r="H24" i="113"/>
  <c r="G25" i="113"/>
  <c r="I25" i="113" s="1"/>
  <c r="H25" i="113"/>
  <c r="G26" i="113"/>
  <c r="H26" i="113"/>
  <c r="I26" i="113"/>
  <c r="G27" i="113"/>
  <c r="H27" i="113"/>
  <c r="I27" i="113"/>
  <c r="G28" i="113"/>
  <c r="H28" i="113"/>
  <c r="G29" i="113"/>
  <c r="H29" i="113"/>
  <c r="I29" i="113"/>
  <c r="G30" i="113"/>
  <c r="H30" i="113"/>
  <c r="G31" i="113"/>
  <c r="I31" i="113" s="1"/>
  <c r="H31" i="113"/>
  <c r="G32" i="113"/>
  <c r="H32" i="113"/>
  <c r="I32" i="113"/>
  <c r="G33" i="113"/>
  <c r="H33" i="113"/>
  <c r="I33" i="113" s="1"/>
  <c r="G34" i="113"/>
  <c r="H34" i="113"/>
  <c r="G35" i="113"/>
  <c r="I35" i="113" s="1"/>
  <c r="H35" i="113"/>
  <c r="G36" i="113"/>
  <c r="I36" i="113" s="1"/>
  <c r="H36" i="113"/>
  <c r="G37" i="113"/>
  <c r="H37" i="113"/>
  <c r="G22" i="112"/>
  <c r="H22" i="112"/>
  <c r="G23" i="112"/>
  <c r="J23" i="112"/>
  <c r="H23" i="112"/>
  <c r="I23" i="112" s="1"/>
  <c r="G24" i="112"/>
  <c r="H24" i="112"/>
  <c r="I24" i="112"/>
  <c r="G25" i="112"/>
  <c r="H25" i="112"/>
  <c r="I25" i="112"/>
  <c r="K25" i="112" s="1"/>
  <c r="G26" i="112"/>
  <c r="H26" i="112"/>
  <c r="G27" i="112"/>
  <c r="I27" i="112" s="1"/>
  <c r="H27" i="112"/>
  <c r="G28" i="112"/>
  <c r="I28" i="112" s="1"/>
  <c r="H28" i="112"/>
  <c r="G29" i="112"/>
  <c r="J29" i="112"/>
  <c r="H29" i="112"/>
  <c r="I29" i="112"/>
  <c r="G30" i="112"/>
  <c r="H30" i="112"/>
  <c r="I30" i="112" s="1"/>
  <c r="G31" i="112"/>
  <c r="I31" i="112" s="1"/>
  <c r="H31" i="112"/>
  <c r="G32" i="112"/>
  <c r="J32" i="112"/>
  <c r="K32" i="112" s="1"/>
  <c r="H32" i="112"/>
  <c r="I32" i="112"/>
  <c r="G33" i="112"/>
  <c r="I33" i="112" s="1"/>
  <c r="H33" i="112"/>
  <c r="G34" i="112"/>
  <c r="H34" i="112"/>
  <c r="I34" i="112"/>
  <c r="G35" i="112"/>
  <c r="J35" i="112"/>
  <c r="H35" i="112"/>
  <c r="I35" i="112" s="1"/>
  <c r="G36" i="112"/>
  <c r="H36" i="112"/>
  <c r="I36" i="112" s="1"/>
  <c r="G37" i="112"/>
  <c r="I37" i="112" s="1"/>
  <c r="H37" i="112"/>
  <c r="G22" i="111"/>
  <c r="I22" i="111" s="1"/>
  <c r="H22" i="111"/>
  <c r="G23" i="111"/>
  <c r="I23" i="111" s="1"/>
  <c r="H23" i="111"/>
  <c r="G24" i="111"/>
  <c r="J24" i="111"/>
  <c r="H24" i="111"/>
  <c r="I24" i="111"/>
  <c r="G25" i="111"/>
  <c r="H25" i="111"/>
  <c r="I25" i="111" s="1"/>
  <c r="G26" i="111"/>
  <c r="H26" i="111"/>
  <c r="I26" i="111"/>
  <c r="G27" i="111"/>
  <c r="J27" i="111"/>
  <c r="H27" i="111"/>
  <c r="I27" i="111"/>
  <c r="G28" i="111"/>
  <c r="I28" i="111" s="1"/>
  <c r="H28" i="111"/>
  <c r="G29" i="111"/>
  <c r="I29" i="111" s="1"/>
  <c r="H29" i="111"/>
  <c r="G30" i="111"/>
  <c r="J30" i="111"/>
  <c r="H30" i="111"/>
  <c r="I30" i="111" s="1"/>
  <c r="G31" i="111"/>
  <c r="H31" i="111"/>
  <c r="I31" i="111"/>
  <c r="G32" i="111"/>
  <c r="H32" i="111"/>
  <c r="I32" i="111"/>
  <c r="G33" i="111"/>
  <c r="H33" i="111"/>
  <c r="G34" i="111"/>
  <c r="I34" i="111" s="1"/>
  <c r="H34" i="111"/>
  <c r="G35" i="111"/>
  <c r="I35" i="111" s="1"/>
  <c r="H35" i="111"/>
  <c r="G36" i="111"/>
  <c r="J36" i="111"/>
  <c r="H36" i="111"/>
  <c r="I36" i="111"/>
  <c r="G37" i="111"/>
  <c r="H37" i="111"/>
  <c r="I37" i="111" s="1"/>
  <c r="K37" i="111" s="1"/>
  <c r="G22" i="110"/>
  <c r="I22" i="110" s="1"/>
  <c r="H22" i="110"/>
  <c r="G23" i="110"/>
  <c r="I23" i="110" s="1"/>
  <c r="H23" i="110"/>
  <c r="G24" i="110"/>
  <c r="I24" i="110" s="1"/>
  <c r="H24" i="110"/>
  <c r="G25" i="110"/>
  <c r="I25" i="110" s="1"/>
  <c r="H25" i="110"/>
  <c r="G26" i="110"/>
  <c r="H26" i="110"/>
  <c r="G27" i="110"/>
  <c r="H27" i="110"/>
  <c r="I27" i="110"/>
  <c r="G28" i="110"/>
  <c r="J28" i="110" s="1"/>
  <c r="H28" i="110"/>
  <c r="I28" i="110"/>
  <c r="G29" i="110"/>
  <c r="H29" i="110"/>
  <c r="I29" i="110"/>
  <c r="G30" i="110"/>
  <c r="I30" i="110" s="1"/>
  <c r="H30" i="110"/>
  <c r="G31" i="110"/>
  <c r="J31" i="110"/>
  <c r="H31" i="110"/>
  <c r="I31" i="110"/>
  <c r="G32" i="110"/>
  <c r="H32" i="110"/>
  <c r="G33" i="110"/>
  <c r="H33" i="110"/>
  <c r="I33" i="110"/>
  <c r="G34" i="110"/>
  <c r="J34" i="110"/>
  <c r="H34" i="110"/>
  <c r="I34" i="110"/>
  <c r="G35" i="110"/>
  <c r="H35" i="110"/>
  <c r="I35" i="110"/>
  <c r="G36" i="110"/>
  <c r="I36" i="110" s="1"/>
  <c r="H36" i="110"/>
  <c r="G37" i="110"/>
  <c r="I37" i="110" s="1"/>
  <c r="J37" i="110"/>
  <c r="H37" i="110"/>
  <c r="G3" i="115"/>
  <c r="H3" i="115"/>
  <c r="G4" i="115"/>
  <c r="I4" i="115" s="1"/>
  <c r="H4" i="115"/>
  <c r="G5" i="115"/>
  <c r="H5" i="115"/>
  <c r="I5" i="115"/>
  <c r="G6" i="115"/>
  <c r="H6" i="115"/>
  <c r="I6" i="115" s="1"/>
  <c r="G7" i="115"/>
  <c r="I7" i="115" s="1"/>
  <c r="H7" i="115"/>
  <c r="G8" i="115"/>
  <c r="H8" i="115"/>
  <c r="G9" i="115"/>
  <c r="H9" i="115"/>
  <c r="G10" i="115"/>
  <c r="H10" i="115"/>
  <c r="I10" i="115"/>
  <c r="G11" i="115"/>
  <c r="H11" i="115"/>
  <c r="I11" i="115"/>
  <c r="G12" i="115"/>
  <c r="H12" i="115"/>
  <c r="G13" i="115"/>
  <c r="H13" i="115"/>
  <c r="G14" i="115"/>
  <c r="I14" i="115" s="1"/>
  <c r="H14" i="115"/>
  <c r="G15" i="115"/>
  <c r="H15" i="115"/>
  <c r="I15" i="115"/>
  <c r="G16" i="115"/>
  <c r="I16" i="115" s="1"/>
  <c r="H16" i="115"/>
  <c r="G17" i="115"/>
  <c r="H17" i="115"/>
  <c r="G18" i="115"/>
  <c r="H18" i="115"/>
  <c r="I18" i="115"/>
  <c r="K18" i="115" s="1"/>
  <c r="G3" i="114"/>
  <c r="H3" i="114"/>
  <c r="I3" i="114" s="1"/>
  <c r="G4" i="114"/>
  <c r="I4" i="114" s="1"/>
  <c r="H4" i="114"/>
  <c r="G5" i="114"/>
  <c r="I5" i="114" s="1"/>
  <c r="H5" i="114"/>
  <c r="G6" i="114"/>
  <c r="I6" i="114" s="1"/>
  <c r="J6" i="114"/>
  <c r="H6" i="114"/>
  <c r="G7" i="114"/>
  <c r="H7" i="114"/>
  <c r="I7" i="114"/>
  <c r="G8" i="114"/>
  <c r="H8" i="114"/>
  <c r="I8" i="114"/>
  <c r="G9" i="114"/>
  <c r="I9" i="114" s="1"/>
  <c r="H9" i="114"/>
  <c r="G10" i="114"/>
  <c r="I10" i="114" s="1"/>
  <c r="H10" i="114"/>
  <c r="G11" i="114"/>
  <c r="I11" i="114" s="1"/>
  <c r="H11" i="114"/>
  <c r="G12" i="114"/>
  <c r="H12" i="114"/>
  <c r="I12" i="114"/>
  <c r="G13" i="114"/>
  <c r="I13" i="114" s="1"/>
  <c r="H13" i="114"/>
  <c r="G14" i="114"/>
  <c r="H14" i="114"/>
  <c r="G15" i="114"/>
  <c r="H15" i="114"/>
  <c r="G16" i="114"/>
  <c r="I16" i="114" s="1"/>
  <c r="H16" i="114"/>
  <c r="G17" i="114"/>
  <c r="H17" i="114"/>
  <c r="I17" i="114"/>
  <c r="G18" i="114"/>
  <c r="I18" i="114" s="1"/>
  <c r="H18" i="114"/>
  <c r="G3" i="113"/>
  <c r="H3" i="113"/>
  <c r="G4" i="113"/>
  <c r="H4" i="113"/>
  <c r="I4" i="113"/>
  <c r="G5" i="113"/>
  <c r="H5" i="113"/>
  <c r="I5" i="113" s="1"/>
  <c r="G6" i="113"/>
  <c r="I6" i="113" s="1"/>
  <c r="H6" i="113"/>
  <c r="G7" i="113"/>
  <c r="I7" i="113" s="1"/>
  <c r="K7" i="113" s="1"/>
  <c r="N7" i="113" s="1"/>
  <c r="H7" i="113"/>
  <c r="G8" i="113"/>
  <c r="I8" i="113" s="1"/>
  <c r="H8" i="113"/>
  <c r="G9" i="113"/>
  <c r="H9" i="113"/>
  <c r="I9" i="113"/>
  <c r="G10" i="113"/>
  <c r="I10" i="113" s="1"/>
  <c r="H10" i="113"/>
  <c r="G11" i="113"/>
  <c r="I11" i="113" s="1"/>
  <c r="H11" i="113"/>
  <c r="G12" i="113"/>
  <c r="I12" i="113" s="1"/>
  <c r="H12" i="113"/>
  <c r="G13" i="113"/>
  <c r="H13" i="113"/>
  <c r="G14" i="113"/>
  <c r="H14" i="113"/>
  <c r="I14" i="113"/>
  <c r="G15" i="113"/>
  <c r="I15" i="113" s="1"/>
  <c r="H15" i="113"/>
  <c r="G16" i="113"/>
  <c r="I16" i="113" s="1"/>
  <c r="H16" i="113"/>
  <c r="G17" i="113"/>
  <c r="H17" i="113"/>
  <c r="I17" i="113"/>
  <c r="G18" i="113"/>
  <c r="J18" i="113"/>
  <c r="H18" i="113"/>
  <c r="I18" i="113"/>
  <c r="K18" i="113" s="1"/>
  <c r="G3" i="112"/>
  <c r="H3" i="112"/>
  <c r="I3" i="112"/>
  <c r="G4" i="112"/>
  <c r="H4" i="112"/>
  <c r="G5" i="112"/>
  <c r="I5" i="112" s="1"/>
  <c r="H5" i="112"/>
  <c r="G6" i="112"/>
  <c r="H6" i="112"/>
  <c r="G7" i="112"/>
  <c r="I7" i="112" s="1"/>
  <c r="H7" i="112"/>
  <c r="G8" i="112"/>
  <c r="H8" i="112"/>
  <c r="I8" i="112"/>
  <c r="G9" i="112"/>
  <c r="H9" i="112"/>
  <c r="I9" i="112"/>
  <c r="G10" i="112"/>
  <c r="H10" i="112"/>
  <c r="G11" i="112"/>
  <c r="H11" i="112"/>
  <c r="G12" i="112"/>
  <c r="H12" i="112"/>
  <c r="I12" i="112" s="1"/>
  <c r="G13" i="112"/>
  <c r="J13" i="112" s="1"/>
  <c r="M13" i="112" s="1"/>
  <c r="H13" i="112"/>
  <c r="I13" i="112"/>
  <c r="G14" i="112"/>
  <c r="H14" i="112"/>
  <c r="I14" i="112" s="1"/>
  <c r="G15" i="112"/>
  <c r="I15" i="112" s="1"/>
  <c r="H15" i="112"/>
  <c r="G16" i="112"/>
  <c r="J16" i="112"/>
  <c r="H16" i="112"/>
  <c r="I16" i="112"/>
  <c r="G17" i="112"/>
  <c r="I17" i="112" s="1"/>
  <c r="H17" i="112"/>
  <c r="G18" i="112"/>
  <c r="H18" i="112"/>
  <c r="I18" i="112"/>
  <c r="G3" i="111"/>
  <c r="H3" i="111"/>
  <c r="I3" i="111"/>
  <c r="G4" i="111"/>
  <c r="I4" i="111" s="1"/>
  <c r="H4" i="111"/>
  <c r="G5" i="111"/>
  <c r="J5" i="111"/>
  <c r="M5" i="111" s="1"/>
  <c r="H5" i="111"/>
  <c r="I5" i="111"/>
  <c r="G6" i="111"/>
  <c r="H6" i="111"/>
  <c r="G7" i="111"/>
  <c r="H7" i="111"/>
  <c r="I7" i="111"/>
  <c r="G8" i="111"/>
  <c r="J8" i="111"/>
  <c r="H8" i="111"/>
  <c r="I8" i="111" s="1"/>
  <c r="G9" i="111"/>
  <c r="H9" i="111"/>
  <c r="I9" i="111"/>
  <c r="G10" i="111"/>
  <c r="H10" i="111"/>
  <c r="I10" i="111"/>
  <c r="G11" i="111"/>
  <c r="I11" i="111" s="1"/>
  <c r="H11" i="111"/>
  <c r="G12" i="111"/>
  <c r="I12" i="111" s="1"/>
  <c r="H12" i="111"/>
  <c r="G13" i="111"/>
  <c r="I13" i="111" s="1"/>
  <c r="H13" i="111"/>
  <c r="G14" i="111"/>
  <c r="J14" i="111" s="1"/>
  <c r="H14" i="111"/>
  <c r="I14" i="111"/>
  <c r="G15" i="111"/>
  <c r="H15" i="111"/>
  <c r="I15" i="111"/>
  <c r="G16" i="111"/>
  <c r="I16" i="111" s="1"/>
  <c r="H16" i="111"/>
  <c r="G17" i="111"/>
  <c r="J17" i="111"/>
  <c r="H17" i="111"/>
  <c r="I17" i="111"/>
  <c r="G18" i="111"/>
  <c r="H18" i="111"/>
  <c r="G3" i="110"/>
  <c r="I3" i="110" s="1"/>
  <c r="J3" i="110"/>
  <c r="H3" i="110"/>
  <c r="G4" i="110"/>
  <c r="H4" i="110"/>
  <c r="I4" i="110"/>
  <c r="G5" i="110"/>
  <c r="H5" i="110"/>
  <c r="I5" i="110"/>
  <c r="G6" i="110"/>
  <c r="H6" i="110"/>
  <c r="G7" i="110"/>
  <c r="I7" i="110" s="1"/>
  <c r="H7" i="110"/>
  <c r="G8" i="110"/>
  <c r="H8" i="110"/>
  <c r="G9" i="110"/>
  <c r="I9" i="110" s="1"/>
  <c r="H9" i="110"/>
  <c r="G10" i="110"/>
  <c r="H10" i="110"/>
  <c r="I10" i="110"/>
  <c r="K10" i="110" s="1"/>
  <c r="G11" i="110"/>
  <c r="H11" i="110"/>
  <c r="I11" i="110" s="1"/>
  <c r="G12" i="110"/>
  <c r="H12" i="110"/>
  <c r="G13" i="110"/>
  <c r="H13" i="110"/>
  <c r="I13" i="110"/>
  <c r="K13" i="110" s="1"/>
  <c r="N13" i="110" s="1"/>
  <c r="G14" i="110"/>
  <c r="H14" i="110"/>
  <c r="G15" i="110"/>
  <c r="I15" i="110" s="1"/>
  <c r="J15" i="110"/>
  <c r="H15" i="110"/>
  <c r="G16" i="110"/>
  <c r="H16" i="110"/>
  <c r="I16" i="110"/>
  <c r="G17" i="110"/>
  <c r="H17" i="110"/>
  <c r="I17" i="110"/>
  <c r="G18" i="110"/>
  <c r="H18" i="110"/>
  <c r="G37" i="109"/>
  <c r="I37" i="109" s="1"/>
  <c r="H37" i="109"/>
  <c r="G36" i="109"/>
  <c r="H36" i="109"/>
  <c r="G35" i="109"/>
  <c r="H35" i="109"/>
  <c r="G34" i="109"/>
  <c r="H34" i="109"/>
  <c r="I34" i="109"/>
  <c r="G33" i="109"/>
  <c r="H33" i="109"/>
  <c r="I33" i="109" s="1"/>
  <c r="G32" i="109"/>
  <c r="H32" i="109"/>
  <c r="G31" i="109"/>
  <c r="H31" i="109"/>
  <c r="I31" i="109"/>
  <c r="G30" i="109"/>
  <c r="H30" i="109"/>
  <c r="G29" i="109"/>
  <c r="I29" i="109" s="1"/>
  <c r="K29" i="109" s="1"/>
  <c r="J29" i="109"/>
  <c r="H29" i="109"/>
  <c r="G28" i="109"/>
  <c r="H28" i="109"/>
  <c r="I28" i="109"/>
  <c r="G27" i="109"/>
  <c r="H27" i="109"/>
  <c r="I27" i="109"/>
  <c r="G26" i="109"/>
  <c r="I26" i="109" s="1"/>
  <c r="H26" i="109"/>
  <c r="G25" i="109"/>
  <c r="I25" i="109" s="1"/>
  <c r="H25" i="109"/>
  <c r="G24" i="109"/>
  <c r="H24" i="109"/>
  <c r="G23" i="109"/>
  <c r="I23" i="109" s="1"/>
  <c r="H23" i="109"/>
  <c r="G22" i="109"/>
  <c r="H22" i="109"/>
  <c r="I22" i="109"/>
  <c r="K22" i="109" s="1"/>
  <c r="N22" i="109" s="1"/>
  <c r="O22" i="109" s="1"/>
  <c r="G37" i="108"/>
  <c r="J37" i="108"/>
  <c r="H37" i="108"/>
  <c r="I37" i="108" s="1"/>
  <c r="G36" i="108"/>
  <c r="J36" i="108" s="1"/>
  <c r="H36" i="108"/>
  <c r="I36" i="108"/>
  <c r="G35" i="108"/>
  <c r="H35" i="108"/>
  <c r="I35" i="108"/>
  <c r="G34" i="108"/>
  <c r="I34" i="108" s="1"/>
  <c r="H34" i="108"/>
  <c r="G33" i="108"/>
  <c r="I33" i="108" s="1"/>
  <c r="H33" i="108"/>
  <c r="G32" i="108"/>
  <c r="H32" i="108"/>
  <c r="G31" i="108"/>
  <c r="J31" i="108" s="1"/>
  <c r="M31" i="108" s="1"/>
  <c r="H31" i="108"/>
  <c r="I31" i="108"/>
  <c r="G30" i="108"/>
  <c r="J30" i="108"/>
  <c r="H30" i="108"/>
  <c r="I30" i="108"/>
  <c r="G29" i="108"/>
  <c r="H29" i="108"/>
  <c r="I29" i="108"/>
  <c r="G28" i="108"/>
  <c r="H28" i="108"/>
  <c r="G27" i="108"/>
  <c r="I27" i="108" s="1"/>
  <c r="J27" i="108"/>
  <c r="H27" i="108"/>
  <c r="G26" i="108"/>
  <c r="I26" i="108" s="1"/>
  <c r="K26" i="108" s="1"/>
  <c r="N26" i="108" s="1"/>
  <c r="H26" i="108"/>
  <c r="G25" i="108"/>
  <c r="H25" i="108"/>
  <c r="G24" i="108"/>
  <c r="J24" i="108" s="1"/>
  <c r="H24" i="108"/>
  <c r="I24" i="108"/>
  <c r="G23" i="108"/>
  <c r="H23" i="108"/>
  <c r="I23" i="108" s="1"/>
  <c r="K23" i="108" s="1"/>
  <c r="G22" i="108"/>
  <c r="I22" i="108" s="1"/>
  <c r="H22" i="108"/>
  <c r="G37" i="107"/>
  <c r="H37" i="107"/>
  <c r="G36" i="107"/>
  <c r="H36" i="107"/>
  <c r="I36" i="107"/>
  <c r="G35" i="107"/>
  <c r="J35" i="107" s="1"/>
  <c r="M35" i="107" s="1"/>
  <c r="H35" i="107"/>
  <c r="I35" i="107"/>
  <c r="G34" i="107"/>
  <c r="J34" i="107"/>
  <c r="H34" i="107"/>
  <c r="I34" i="107"/>
  <c r="G33" i="107"/>
  <c r="H33" i="107"/>
  <c r="I33" i="107"/>
  <c r="G32" i="107"/>
  <c r="H32" i="107"/>
  <c r="I32" i="107"/>
  <c r="G31" i="107"/>
  <c r="H31" i="107"/>
  <c r="G30" i="107"/>
  <c r="I30" i="107" s="1"/>
  <c r="H30" i="107"/>
  <c r="G29" i="107"/>
  <c r="H29" i="107"/>
  <c r="G28" i="107"/>
  <c r="H28" i="107"/>
  <c r="I28" i="107"/>
  <c r="G27" i="107"/>
  <c r="H27" i="107"/>
  <c r="I27" i="107" s="1"/>
  <c r="G26" i="107"/>
  <c r="I26" i="107" s="1"/>
  <c r="H26" i="107"/>
  <c r="G25" i="107"/>
  <c r="I25" i="107" s="1"/>
  <c r="H25" i="107"/>
  <c r="G24" i="107"/>
  <c r="I24" i="107" s="1"/>
  <c r="H24" i="107"/>
  <c r="G23" i="107"/>
  <c r="J23" i="107"/>
  <c r="H23" i="107"/>
  <c r="I23" i="107"/>
  <c r="G22" i="107"/>
  <c r="I22" i="107" s="1"/>
  <c r="J22" i="107"/>
  <c r="H22" i="107"/>
  <c r="G37" i="106"/>
  <c r="I37" i="106" s="1"/>
  <c r="H37" i="106"/>
  <c r="G36" i="106"/>
  <c r="J36" i="106"/>
  <c r="H36" i="106"/>
  <c r="G35" i="106"/>
  <c r="H35" i="106"/>
  <c r="I35" i="106"/>
  <c r="G34" i="106"/>
  <c r="H34" i="106"/>
  <c r="I34" i="106" s="1"/>
  <c r="G33" i="106"/>
  <c r="H33" i="106"/>
  <c r="G32" i="106"/>
  <c r="H32" i="106"/>
  <c r="I32" i="106"/>
  <c r="G31" i="106"/>
  <c r="I31" i="106" s="1"/>
  <c r="H31" i="106"/>
  <c r="G30" i="106"/>
  <c r="H30" i="106"/>
  <c r="I30" i="106"/>
  <c r="G29" i="106"/>
  <c r="H29" i="106"/>
  <c r="I29" i="106" s="1"/>
  <c r="G28" i="106"/>
  <c r="I28" i="106" s="1"/>
  <c r="H28" i="106"/>
  <c r="G27" i="106"/>
  <c r="J27" i="106"/>
  <c r="H27" i="106"/>
  <c r="I27" i="106"/>
  <c r="G26" i="106"/>
  <c r="H26" i="106"/>
  <c r="G25" i="106"/>
  <c r="H25" i="106"/>
  <c r="I25" i="106"/>
  <c r="G24" i="106"/>
  <c r="J24" i="106"/>
  <c r="H24" i="106"/>
  <c r="I24" i="106"/>
  <c r="G23" i="106"/>
  <c r="H23" i="106"/>
  <c r="I23" i="106"/>
  <c r="G22" i="106"/>
  <c r="H22" i="106"/>
  <c r="I22" i="106"/>
  <c r="G37" i="105"/>
  <c r="H37" i="105"/>
  <c r="G36" i="105"/>
  <c r="H36" i="105"/>
  <c r="I36" i="105"/>
  <c r="G35" i="105"/>
  <c r="H35" i="105"/>
  <c r="I35" i="105"/>
  <c r="G34" i="105"/>
  <c r="I34" i="105" s="1"/>
  <c r="H34" i="105"/>
  <c r="G33" i="105"/>
  <c r="I33" i="105" s="1"/>
  <c r="H33" i="105"/>
  <c r="G32" i="105"/>
  <c r="I32" i="105" s="1"/>
  <c r="H32" i="105"/>
  <c r="G31" i="105"/>
  <c r="H31" i="105"/>
  <c r="I31" i="105"/>
  <c r="G30" i="105"/>
  <c r="H30" i="105"/>
  <c r="G29" i="105"/>
  <c r="H29" i="105"/>
  <c r="G28" i="105"/>
  <c r="H28" i="105"/>
  <c r="I28" i="105"/>
  <c r="K28" i="105" s="1"/>
  <c r="G27" i="105"/>
  <c r="H27" i="105"/>
  <c r="I27" i="105" s="1"/>
  <c r="G26" i="105"/>
  <c r="I26" i="105" s="1"/>
  <c r="H26" i="105"/>
  <c r="G25" i="105"/>
  <c r="I25" i="105" s="1"/>
  <c r="H25" i="105"/>
  <c r="G24" i="105"/>
  <c r="H24" i="105"/>
  <c r="I24" i="105"/>
  <c r="K24" i="105" s="1"/>
  <c r="G23" i="105"/>
  <c r="H23" i="105"/>
  <c r="I23" i="105"/>
  <c r="G22" i="105"/>
  <c r="J22" i="105" s="1"/>
  <c r="H22" i="105"/>
  <c r="I22" i="105"/>
  <c r="G18" i="109"/>
  <c r="I18" i="109" s="1"/>
  <c r="H18" i="109"/>
  <c r="G17" i="109"/>
  <c r="I17" i="109" s="1"/>
  <c r="H17" i="109"/>
  <c r="G16" i="109"/>
  <c r="I16" i="109" s="1"/>
  <c r="J16" i="109"/>
  <c r="M16" i="109" s="1"/>
  <c r="H16" i="109"/>
  <c r="G15" i="109"/>
  <c r="H15" i="109"/>
  <c r="I15" i="109"/>
  <c r="K15" i="109" s="1"/>
  <c r="G14" i="109"/>
  <c r="H14" i="109"/>
  <c r="I14" i="109"/>
  <c r="G13" i="109"/>
  <c r="H13" i="109"/>
  <c r="G12" i="109"/>
  <c r="H12" i="109"/>
  <c r="I12" i="109"/>
  <c r="G11" i="109"/>
  <c r="I11" i="109" s="1"/>
  <c r="H11" i="109"/>
  <c r="G10" i="109"/>
  <c r="I10" i="109" s="1"/>
  <c r="J10" i="109"/>
  <c r="H10" i="109"/>
  <c r="G9" i="109"/>
  <c r="H9" i="109"/>
  <c r="I9" i="109"/>
  <c r="G8" i="109"/>
  <c r="H8" i="109"/>
  <c r="I8" i="109"/>
  <c r="G7" i="109"/>
  <c r="H7" i="109"/>
  <c r="I7" i="109"/>
  <c r="G6" i="109"/>
  <c r="I6" i="109" s="1"/>
  <c r="H6" i="109"/>
  <c r="G5" i="109"/>
  <c r="I5" i="109" s="1"/>
  <c r="H5" i="109"/>
  <c r="G4" i="109"/>
  <c r="I4" i="109" s="1"/>
  <c r="J4" i="109"/>
  <c r="H4" i="109"/>
  <c r="G3" i="109"/>
  <c r="H3" i="109"/>
  <c r="I3" i="109"/>
  <c r="K3" i="109" s="1"/>
  <c r="N3" i="109" s="1"/>
  <c r="O3" i="109" s="1"/>
  <c r="G18" i="104"/>
  <c r="J18" i="104"/>
  <c r="H18" i="104"/>
  <c r="I18" i="104"/>
  <c r="G17" i="104"/>
  <c r="H17" i="104"/>
  <c r="I17" i="104"/>
  <c r="G16" i="104"/>
  <c r="H16" i="104"/>
  <c r="G15" i="104"/>
  <c r="I15" i="104" s="1"/>
  <c r="J15" i="104"/>
  <c r="H15" i="104"/>
  <c r="G14" i="104"/>
  <c r="I14" i="104" s="1"/>
  <c r="H14" i="104"/>
  <c r="G13" i="104"/>
  <c r="H13" i="104"/>
  <c r="G12" i="104"/>
  <c r="J12" i="104" s="1"/>
  <c r="H12" i="104"/>
  <c r="I12" i="104"/>
  <c r="G11" i="104"/>
  <c r="H11" i="104"/>
  <c r="I11" i="104" s="1"/>
  <c r="G10" i="104"/>
  <c r="I10" i="104" s="1"/>
  <c r="H10" i="104"/>
  <c r="G9" i="104"/>
  <c r="J9" i="104"/>
  <c r="H9" i="104"/>
  <c r="I9" i="104"/>
  <c r="G8" i="104"/>
  <c r="H8" i="104"/>
  <c r="G7" i="104"/>
  <c r="H7" i="104"/>
  <c r="I7" i="104"/>
  <c r="G6" i="104"/>
  <c r="J6" i="104"/>
  <c r="H6" i="104"/>
  <c r="I6" i="104"/>
  <c r="K6" i="104" s="1"/>
  <c r="G5" i="104"/>
  <c r="H5" i="104"/>
  <c r="I5" i="104"/>
  <c r="G4" i="104"/>
  <c r="I4" i="104" s="1"/>
  <c r="H4" i="104"/>
  <c r="G3" i="104"/>
  <c r="I3" i="104" s="1"/>
  <c r="H3" i="104"/>
  <c r="G18" i="105"/>
  <c r="I18" i="105" s="1"/>
  <c r="H18" i="105"/>
  <c r="G17" i="105"/>
  <c r="I17" i="105" s="1"/>
  <c r="J17" i="105"/>
  <c r="M17" i="105" s="1"/>
  <c r="H17" i="105"/>
  <c r="G16" i="105"/>
  <c r="H16" i="105"/>
  <c r="I16" i="105"/>
  <c r="K16" i="105" s="1"/>
  <c r="G15" i="105"/>
  <c r="H15" i="105"/>
  <c r="I15" i="105"/>
  <c r="G14" i="105"/>
  <c r="H14" i="105"/>
  <c r="G13" i="105"/>
  <c r="H13" i="105"/>
  <c r="I13" i="105"/>
  <c r="G12" i="105"/>
  <c r="I12" i="105" s="1"/>
  <c r="H12" i="105"/>
  <c r="G11" i="105"/>
  <c r="H11" i="105"/>
  <c r="G10" i="105"/>
  <c r="H10" i="105"/>
  <c r="I10" i="105" s="1"/>
  <c r="G9" i="105"/>
  <c r="H9" i="105"/>
  <c r="I9" i="105"/>
  <c r="G8" i="105"/>
  <c r="J8" i="105" s="1"/>
  <c r="H8" i="105"/>
  <c r="G7" i="105"/>
  <c r="I7" i="105" s="1"/>
  <c r="H7" i="105"/>
  <c r="G6" i="105"/>
  <c r="I6" i="105" s="1"/>
  <c r="H6" i="105"/>
  <c r="G5" i="105"/>
  <c r="J5" i="105"/>
  <c r="H5" i="105"/>
  <c r="G4" i="105"/>
  <c r="H4" i="105"/>
  <c r="I4" i="105"/>
  <c r="G3" i="105"/>
  <c r="H3" i="105"/>
  <c r="I3" i="105" s="1"/>
  <c r="K3" i="105" s="1"/>
  <c r="G18" i="106"/>
  <c r="I18" i="106" s="1"/>
  <c r="H18" i="106"/>
  <c r="G17" i="106"/>
  <c r="H17" i="106"/>
  <c r="G16" i="106"/>
  <c r="I16" i="106" s="1"/>
  <c r="H16" i="106"/>
  <c r="G15" i="106"/>
  <c r="H15" i="106"/>
  <c r="I15" i="106"/>
  <c r="K15" i="106" s="1"/>
  <c r="G14" i="106"/>
  <c r="H14" i="106"/>
  <c r="I14" i="106" s="1"/>
  <c r="G13" i="106"/>
  <c r="H13" i="106"/>
  <c r="G12" i="106"/>
  <c r="H12" i="106"/>
  <c r="I12" i="106"/>
  <c r="G11" i="106"/>
  <c r="H11" i="106"/>
  <c r="G10" i="106"/>
  <c r="I10" i="106" s="1"/>
  <c r="H10" i="106"/>
  <c r="G9" i="106"/>
  <c r="I9" i="106" s="1"/>
  <c r="H9" i="106"/>
  <c r="G8" i="106"/>
  <c r="H8" i="106"/>
  <c r="I8" i="106"/>
  <c r="G7" i="106"/>
  <c r="H7" i="106"/>
  <c r="G6" i="106"/>
  <c r="I6" i="106" s="1"/>
  <c r="H6" i="106"/>
  <c r="G5" i="106"/>
  <c r="I5" i="106" s="1"/>
  <c r="K5" i="106" s="1"/>
  <c r="H5" i="106"/>
  <c r="G4" i="106"/>
  <c r="J4" i="106"/>
  <c r="M4" i="106" s="1"/>
  <c r="H4" i="106"/>
  <c r="G3" i="106"/>
  <c r="H3" i="106"/>
  <c r="I3" i="106"/>
  <c r="G18" i="107"/>
  <c r="J18" i="107"/>
  <c r="H18" i="107"/>
  <c r="I18" i="107"/>
  <c r="G17" i="107"/>
  <c r="H17" i="107"/>
  <c r="I17" i="107"/>
  <c r="G16" i="107"/>
  <c r="I16" i="107" s="1"/>
  <c r="H16" i="107"/>
  <c r="G15" i="107"/>
  <c r="I15" i="107" s="1"/>
  <c r="J15" i="107"/>
  <c r="H15" i="107"/>
  <c r="G14" i="107"/>
  <c r="I14" i="107" s="1"/>
  <c r="H14" i="107"/>
  <c r="G13" i="107"/>
  <c r="I13" i="107" s="1"/>
  <c r="H13" i="107"/>
  <c r="G12" i="107"/>
  <c r="H12" i="107"/>
  <c r="I12" i="107"/>
  <c r="K12" i="107" s="1"/>
  <c r="N12" i="107" s="1"/>
  <c r="G11" i="107"/>
  <c r="H11" i="107"/>
  <c r="I11" i="107"/>
  <c r="G10" i="107"/>
  <c r="I10" i="107" s="1"/>
  <c r="H10" i="107"/>
  <c r="G9" i="107"/>
  <c r="J9" i="107"/>
  <c r="K9" i="107" s="1"/>
  <c r="H9" i="107"/>
  <c r="I9" i="107"/>
  <c r="G8" i="107"/>
  <c r="H8" i="107"/>
  <c r="G7" i="107"/>
  <c r="H7" i="107"/>
  <c r="I7" i="107"/>
  <c r="K7" i="107" s="1"/>
  <c r="G6" i="107"/>
  <c r="J6" i="107"/>
  <c r="H6" i="107"/>
  <c r="I6" i="107" s="1"/>
  <c r="G5" i="107"/>
  <c r="H5" i="107"/>
  <c r="I5" i="107"/>
  <c r="G4" i="107"/>
  <c r="H4" i="107"/>
  <c r="I4" i="107"/>
  <c r="G3" i="107"/>
  <c r="I3" i="107" s="1"/>
  <c r="H3" i="107"/>
  <c r="G18" i="108"/>
  <c r="I18" i="108" s="1"/>
  <c r="H18" i="108"/>
  <c r="G17" i="108"/>
  <c r="J17" i="108" s="1"/>
  <c r="H17" i="108"/>
  <c r="G16" i="108"/>
  <c r="H16" i="108"/>
  <c r="I16" i="108"/>
  <c r="G15" i="108"/>
  <c r="H15" i="108"/>
  <c r="I15" i="108"/>
  <c r="G14" i="108"/>
  <c r="H14" i="108"/>
  <c r="G13" i="108"/>
  <c r="I13" i="108" s="1"/>
  <c r="H13" i="108"/>
  <c r="G12" i="108"/>
  <c r="I12" i="108" s="1"/>
  <c r="H12" i="108"/>
  <c r="G11" i="108"/>
  <c r="I11" i="108" s="1"/>
  <c r="H11" i="108"/>
  <c r="G10" i="108"/>
  <c r="I10" i="108" s="1"/>
  <c r="H10" i="108"/>
  <c r="G9" i="108"/>
  <c r="H9" i="108"/>
  <c r="I9" i="108"/>
  <c r="G8" i="108"/>
  <c r="I8" i="108" s="1"/>
  <c r="H8" i="108"/>
  <c r="G7" i="108"/>
  <c r="I7" i="108" s="1"/>
  <c r="H7" i="108"/>
  <c r="G6" i="108"/>
  <c r="H6" i="108"/>
  <c r="G5" i="108"/>
  <c r="J5" i="108"/>
  <c r="H5" i="108"/>
  <c r="G4" i="108"/>
  <c r="H4" i="108"/>
  <c r="I4" i="108"/>
  <c r="G3" i="108"/>
  <c r="H3" i="108"/>
  <c r="I3" i="108" s="1"/>
  <c r="G37" i="104"/>
  <c r="H37" i="104"/>
  <c r="G36" i="104"/>
  <c r="I36" i="104" s="1"/>
  <c r="H36" i="104"/>
  <c r="G35" i="104"/>
  <c r="H35" i="104"/>
  <c r="I35" i="104"/>
  <c r="G34" i="104"/>
  <c r="H34" i="104"/>
  <c r="I34" i="104"/>
  <c r="G33" i="104"/>
  <c r="I33" i="104" s="1"/>
  <c r="H33" i="104"/>
  <c r="G32" i="104"/>
  <c r="H32" i="104"/>
  <c r="G31" i="104"/>
  <c r="H31" i="104"/>
  <c r="I31" i="104"/>
  <c r="G30" i="104"/>
  <c r="H30" i="104"/>
  <c r="I30" i="104" s="1"/>
  <c r="G29" i="104"/>
  <c r="I29" i="104" s="1"/>
  <c r="H29" i="104"/>
  <c r="G28" i="104"/>
  <c r="H28" i="104"/>
  <c r="G27" i="104"/>
  <c r="H27" i="104"/>
  <c r="G26" i="104"/>
  <c r="H26" i="104"/>
  <c r="I26" i="104"/>
  <c r="G25" i="104"/>
  <c r="H25" i="104"/>
  <c r="I25" i="104"/>
  <c r="G24" i="104"/>
  <c r="H24" i="104"/>
  <c r="G23" i="104"/>
  <c r="H23" i="104"/>
  <c r="I23" i="104"/>
  <c r="G22" i="104"/>
  <c r="H22" i="104"/>
  <c r="I22" i="104" s="1"/>
  <c r="K22" i="104" s="1"/>
  <c r="G37" i="103"/>
  <c r="I37" i="103" s="1"/>
  <c r="H37" i="103"/>
  <c r="G36" i="103"/>
  <c r="H36" i="103"/>
  <c r="G35" i="103"/>
  <c r="H35" i="103"/>
  <c r="I35" i="103"/>
  <c r="G34" i="103"/>
  <c r="H34" i="103"/>
  <c r="I34" i="103"/>
  <c r="G33" i="103"/>
  <c r="H33" i="103"/>
  <c r="I33" i="103"/>
  <c r="G32" i="103"/>
  <c r="H32" i="103"/>
  <c r="G31" i="103"/>
  <c r="H31" i="103"/>
  <c r="I31" i="103"/>
  <c r="G30" i="103"/>
  <c r="H30" i="103"/>
  <c r="I30" i="103"/>
  <c r="G29" i="103"/>
  <c r="I29" i="103" s="1"/>
  <c r="H29" i="103"/>
  <c r="G28" i="103"/>
  <c r="H28" i="103"/>
  <c r="G27" i="103"/>
  <c r="I27" i="103" s="1"/>
  <c r="H27" i="103"/>
  <c r="G26" i="103"/>
  <c r="H26" i="103"/>
  <c r="I26" i="103"/>
  <c r="G25" i="103"/>
  <c r="H25" i="103"/>
  <c r="G24" i="103"/>
  <c r="H24" i="103"/>
  <c r="G23" i="103"/>
  <c r="H23" i="103"/>
  <c r="I23" i="103"/>
  <c r="G22" i="103"/>
  <c r="H22" i="103"/>
  <c r="I22" i="103" s="1"/>
  <c r="K22" i="103" s="1"/>
  <c r="G37" i="102"/>
  <c r="I37" i="102" s="1"/>
  <c r="H37" i="102"/>
  <c r="G36" i="102"/>
  <c r="I36" i="102" s="1"/>
  <c r="K36" i="102" s="1"/>
  <c r="H36" i="102"/>
  <c r="G35" i="102"/>
  <c r="I35" i="102" s="1"/>
  <c r="H35" i="102"/>
  <c r="G34" i="102"/>
  <c r="H34" i="102"/>
  <c r="I34" i="102"/>
  <c r="G33" i="102"/>
  <c r="H33" i="102"/>
  <c r="G32" i="102"/>
  <c r="I32" i="102" s="1"/>
  <c r="H32" i="102"/>
  <c r="G31" i="102"/>
  <c r="H31" i="102"/>
  <c r="I31" i="102"/>
  <c r="G30" i="102"/>
  <c r="H30" i="102"/>
  <c r="I30" i="102"/>
  <c r="G29" i="102"/>
  <c r="I29" i="102" s="1"/>
  <c r="H29" i="102"/>
  <c r="G28" i="102"/>
  <c r="I28" i="102" s="1"/>
  <c r="H28" i="102"/>
  <c r="G27" i="102"/>
  <c r="I27" i="102" s="1"/>
  <c r="H27" i="102"/>
  <c r="G26" i="102"/>
  <c r="H26" i="102"/>
  <c r="I26" i="102"/>
  <c r="G25" i="102"/>
  <c r="I25" i="102" s="1"/>
  <c r="H25" i="102"/>
  <c r="G24" i="102"/>
  <c r="I24" i="102" s="1"/>
  <c r="H24" i="102"/>
  <c r="G23" i="102"/>
  <c r="H23" i="102"/>
  <c r="I23" i="102"/>
  <c r="G22" i="102"/>
  <c r="H22" i="102"/>
  <c r="I22" i="102"/>
  <c r="G37" i="101"/>
  <c r="I37" i="101" s="1"/>
  <c r="H37" i="101"/>
  <c r="G36" i="101"/>
  <c r="H36" i="101"/>
  <c r="G35" i="101"/>
  <c r="I35" i="101" s="1"/>
  <c r="H35" i="101"/>
  <c r="G34" i="101"/>
  <c r="H34" i="101"/>
  <c r="I34" i="101"/>
  <c r="G33" i="101"/>
  <c r="J33" i="101" s="1"/>
  <c r="H33" i="101"/>
  <c r="G32" i="101"/>
  <c r="I32" i="101" s="1"/>
  <c r="H32" i="101"/>
  <c r="G31" i="101"/>
  <c r="H31" i="101"/>
  <c r="I31" i="101"/>
  <c r="G30" i="101"/>
  <c r="H30" i="101"/>
  <c r="I30" i="101"/>
  <c r="G29" i="101"/>
  <c r="I29" i="101" s="1"/>
  <c r="H29" i="101"/>
  <c r="G28" i="101"/>
  <c r="H28" i="101"/>
  <c r="G27" i="101"/>
  <c r="H27" i="101"/>
  <c r="I27" i="101" s="1"/>
  <c r="G26" i="101"/>
  <c r="H26" i="101"/>
  <c r="I26" i="101"/>
  <c r="G25" i="101"/>
  <c r="I25" i="101" s="1"/>
  <c r="H25" i="101"/>
  <c r="G24" i="101"/>
  <c r="H24" i="101"/>
  <c r="G23" i="101"/>
  <c r="H23" i="101"/>
  <c r="I23" i="101"/>
  <c r="G22" i="101"/>
  <c r="H22" i="101"/>
  <c r="I22" i="101" s="1"/>
  <c r="G37" i="100"/>
  <c r="H37" i="100"/>
  <c r="G36" i="100"/>
  <c r="I36" i="100" s="1"/>
  <c r="H36" i="100"/>
  <c r="G35" i="100"/>
  <c r="H35" i="100"/>
  <c r="I35" i="100"/>
  <c r="G34" i="100"/>
  <c r="H34" i="100"/>
  <c r="I34" i="100"/>
  <c r="G33" i="100"/>
  <c r="I33" i="100" s="1"/>
  <c r="H33" i="100"/>
  <c r="G32" i="100"/>
  <c r="H32" i="100"/>
  <c r="G31" i="100"/>
  <c r="H31" i="100"/>
  <c r="I31" i="100"/>
  <c r="K31" i="100" s="1"/>
  <c r="N31" i="100" s="1"/>
  <c r="G30" i="100"/>
  <c r="J30" i="100"/>
  <c r="H30" i="100"/>
  <c r="I30" i="100"/>
  <c r="G29" i="100"/>
  <c r="H29" i="100"/>
  <c r="I29" i="100"/>
  <c r="G28" i="100"/>
  <c r="H28" i="100"/>
  <c r="I28" i="100" s="1"/>
  <c r="G27" i="100"/>
  <c r="I27" i="100" s="1"/>
  <c r="H27" i="100"/>
  <c r="G26" i="100"/>
  <c r="I26" i="100" s="1"/>
  <c r="H26" i="100"/>
  <c r="G25" i="100"/>
  <c r="H25" i="100"/>
  <c r="I25" i="100"/>
  <c r="G24" i="100"/>
  <c r="H24" i="100"/>
  <c r="I24" i="100"/>
  <c r="G23" i="100"/>
  <c r="I23" i="100" s="1"/>
  <c r="H23" i="100"/>
  <c r="G22" i="100"/>
  <c r="H22" i="100"/>
  <c r="G37" i="99"/>
  <c r="H37" i="99"/>
  <c r="I37" i="99"/>
  <c r="G36" i="99"/>
  <c r="J36" i="99"/>
  <c r="H36" i="99"/>
  <c r="I36" i="99" s="1"/>
  <c r="K36" i="99" s="1"/>
  <c r="N36" i="99" s="1"/>
  <c r="G35" i="99"/>
  <c r="H35" i="99"/>
  <c r="I35" i="99"/>
  <c r="G34" i="99"/>
  <c r="I34" i="99" s="1"/>
  <c r="H34" i="99"/>
  <c r="G33" i="99"/>
  <c r="I33" i="99" s="1"/>
  <c r="H33" i="99"/>
  <c r="G32" i="99"/>
  <c r="I32" i="99" s="1"/>
  <c r="H32" i="99"/>
  <c r="G31" i="99"/>
  <c r="I31" i="99" s="1"/>
  <c r="K31" i="99" s="1"/>
  <c r="H31" i="99"/>
  <c r="G30" i="99"/>
  <c r="J30" i="99" s="1"/>
  <c r="H30" i="99"/>
  <c r="I30" i="99"/>
  <c r="G29" i="99"/>
  <c r="H29" i="99"/>
  <c r="I29" i="99"/>
  <c r="G28" i="99"/>
  <c r="H28" i="99"/>
  <c r="G27" i="99"/>
  <c r="I27" i="99" s="1"/>
  <c r="H27" i="99"/>
  <c r="G26" i="99"/>
  <c r="I26" i="99" s="1"/>
  <c r="H26" i="99"/>
  <c r="G25" i="99"/>
  <c r="H25" i="99"/>
  <c r="I25" i="99"/>
  <c r="G24" i="99"/>
  <c r="H24" i="99"/>
  <c r="G23" i="99"/>
  <c r="I23" i="99" s="1"/>
  <c r="H23" i="99"/>
  <c r="G22" i="99"/>
  <c r="H22" i="99"/>
  <c r="G37" i="98"/>
  <c r="J37" i="98"/>
  <c r="H37" i="98"/>
  <c r="G36" i="98"/>
  <c r="H36" i="98"/>
  <c r="I36" i="98" s="1"/>
  <c r="G35" i="98"/>
  <c r="H35" i="98"/>
  <c r="I35" i="98" s="1"/>
  <c r="G34" i="98"/>
  <c r="J34" i="98" s="1"/>
  <c r="M34" i="98" s="1"/>
  <c r="H34" i="98"/>
  <c r="I34" i="98"/>
  <c r="G33" i="98"/>
  <c r="I33" i="98" s="1"/>
  <c r="K33" i="98" s="1"/>
  <c r="H33" i="98"/>
  <c r="G32" i="98"/>
  <c r="I32" i="98" s="1"/>
  <c r="H32" i="98"/>
  <c r="G31" i="98"/>
  <c r="I31" i="98" s="1"/>
  <c r="K31" i="98" s="1"/>
  <c r="N31" i="98" s="1"/>
  <c r="J31" i="98"/>
  <c r="H31" i="98"/>
  <c r="G30" i="98"/>
  <c r="I30" i="98" s="1"/>
  <c r="K30" i="98" s="1"/>
  <c r="N30" i="98" s="1"/>
  <c r="H30" i="98"/>
  <c r="G29" i="98"/>
  <c r="H29" i="98"/>
  <c r="I29" i="98"/>
  <c r="G28" i="98"/>
  <c r="H28" i="98"/>
  <c r="G27" i="98"/>
  <c r="I27" i="98" s="1"/>
  <c r="H27" i="98"/>
  <c r="G26" i="98"/>
  <c r="I26" i="98" s="1"/>
  <c r="H26" i="98"/>
  <c r="G25" i="98"/>
  <c r="J25" i="98" s="1"/>
  <c r="H25" i="98"/>
  <c r="G24" i="98"/>
  <c r="H24" i="98"/>
  <c r="I24" i="98"/>
  <c r="G23" i="98"/>
  <c r="H23" i="98"/>
  <c r="I23" i="98"/>
  <c r="G22" i="98"/>
  <c r="H22" i="98"/>
  <c r="G37" i="97"/>
  <c r="H37" i="97"/>
  <c r="I37" i="97"/>
  <c r="G36" i="97"/>
  <c r="H36" i="97"/>
  <c r="G35" i="97"/>
  <c r="I35" i="97" s="1"/>
  <c r="H35" i="97"/>
  <c r="G34" i="97"/>
  <c r="H34" i="97"/>
  <c r="I34" i="97"/>
  <c r="G33" i="97"/>
  <c r="H33" i="97"/>
  <c r="I33" i="97"/>
  <c r="G32" i="97"/>
  <c r="I32" i="97" s="1"/>
  <c r="H32" i="97"/>
  <c r="G31" i="97"/>
  <c r="I31" i="97" s="1"/>
  <c r="H31" i="97"/>
  <c r="G30" i="97"/>
  <c r="H30" i="97"/>
  <c r="G29" i="97"/>
  <c r="I29" i="97" s="1"/>
  <c r="H29" i="97"/>
  <c r="G28" i="97"/>
  <c r="H28" i="97"/>
  <c r="I28" i="97"/>
  <c r="G27" i="97"/>
  <c r="H27" i="97"/>
  <c r="I27" i="97" s="1"/>
  <c r="K27" i="97" s="1"/>
  <c r="G26" i="97"/>
  <c r="I26" i="97" s="1"/>
  <c r="H26" i="97"/>
  <c r="G25" i="97"/>
  <c r="I25" i="97" s="1"/>
  <c r="H25" i="97"/>
  <c r="G24" i="97"/>
  <c r="H24" i="97"/>
  <c r="G23" i="97"/>
  <c r="I23" i="97" s="1"/>
  <c r="H23" i="97"/>
  <c r="G22" i="97"/>
  <c r="I22" i="97" s="1"/>
  <c r="H22" i="97"/>
  <c r="G37" i="96"/>
  <c r="J37" i="96" s="1"/>
  <c r="H37" i="96"/>
  <c r="I37" i="96"/>
  <c r="G36" i="96"/>
  <c r="J36" i="96"/>
  <c r="H36" i="96"/>
  <c r="I36" i="96"/>
  <c r="G35" i="96"/>
  <c r="H35" i="96"/>
  <c r="I35" i="96"/>
  <c r="G34" i="96"/>
  <c r="H34" i="96"/>
  <c r="G33" i="96"/>
  <c r="J33" i="96" s="1"/>
  <c r="H33" i="96"/>
  <c r="G32" i="96"/>
  <c r="H32" i="96"/>
  <c r="I32" i="96"/>
  <c r="G31" i="96"/>
  <c r="I31" i="96" s="1"/>
  <c r="H31" i="96"/>
  <c r="G30" i="96"/>
  <c r="I30" i="96" s="1"/>
  <c r="J30" i="96"/>
  <c r="M30" i="96" s="1"/>
  <c r="H30" i="96"/>
  <c r="G29" i="96"/>
  <c r="H29" i="96"/>
  <c r="I29" i="96"/>
  <c r="G28" i="96"/>
  <c r="H28" i="96"/>
  <c r="I28" i="96"/>
  <c r="G27" i="96"/>
  <c r="H27" i="96"/>
  <c r="G26" i="96"/>
  <c r="I26" i="96" s="1"/>
  <c r="H26" i="96"/>
  <c r="G25" i="96"/>
  <c r="I25" i="96" s="1"/>
  <c r="H25" i="96"/>
  <c r="G24" i="96"/>
  <c r="I24" i="96" s="1"/>
  <c r="J24" i="96"/>
  <c r="H24" i="96"/>
  <c r="G23" i="96"/>
  <c r="H23" i="96"/>
  <c r="I23" i="96"/>
  <c r="G22" i="96"/>
  <c r="H22" i="96"/>
  <c r="I22" i="96"/>
  <c r="G37" i="95"/>
  <c r="H37" i="95"/>
  <c r="G36" i="95"/>
  <c r="I36" i="95" s="1"/>
  <c r="H36" i="95"/>
  <c r="G35" i="95"/>
  <c r="H35" i="95"/>
  <c r="G34" i="95"/>
  <c r="H34" i="95"/>
  <c r="I34" i="95"/>
  <c r="G33" i="95"/>
  <c r="H33" i="95"/>
  <c r="I33" i="95" s="1"/>
  <c r="G32" i="95"/>
  <c r="H32" i="95"/>
  <c r="I32" i="95"/>
  <c r="G31" i="95"/>
  <c r="J31" i="95" s="1"/>
  <c r="H31" i="95"/>
  <c r="I31" i="95" s="1"/>
  <c r="G30" i="95"/>
  <c r="I30" i="95" s="1"/>
  <c r="H30" i="95"/>
  <c r="G29" i="95"/>
  <c r="I29" i="95" s="1"/>
  <c r="K29" i="95" s="1"/>
  <c r="N29" i="95" s="1"/>
  <c r="J29" i="95"/>
  <c r="H29" i="95"/>
  <c r="G28" i="95"/>
  <c r="I28" i="95" s="1"/>
  <c r="J28" i="95"/>
  <c r="M28" i="95" s="1"/>
  <c r="H28" i="95"/>
  <c r="G27" i="95"/>
  <c r="I27" i="95" s="1"/>
  <c r="H27" i="95"/>
  <c r="G26" i="95"/>
  <c r="I26" i="95" s="1"/>
  <c r="K26" i="95" s="1"/>
  <c r="N26" i="95" s="1"/>
  <c r="H26" i="95"/>
  <c r="G25" i="95"/>
  <c r="H25" i="95"/>
  <c r="I25" i="95"/>
  <c r="K25" i="95" s="1"/>
  <c r="N25" i="95" s="1"/>
  <c r="G24" i="95"/>
  <c r="I24" i="95" s="1"/>
  <c r="H24" i="95"/>
  <c r="G23" i="95"/>
  <c r="H23" i="95"/>
  <c r="G22" i="95"/>
  <c r="I22" i="95" s="1"/>
  <c r="J22" i="95"/>
  <c r="H22" i="95"/>
  <c r="G37" i="94"/>
  <c r="H37" i="94"/>
  <c r="G36" i="94"/>
  <c r="J36" i="94"/>
  <c r="M36" i="94" s="1"/>
  <c r="H36" i="94"/>
  <c r="G35" i="94"/>
  <c r="H35" i="94"/>
  <c r="G34" i="94"/>
  <c r="H34" i="94"/>
  <c r="I34" i="94" s="1"/>
  <c r="K34" i="94" s="1"/>
  <c r="G33" i="94"/>
  <c r="J33" i="94"/>
  <c r="H33" i="94"/>
  <c r="I33" i="94" s="1"/>
  <c r="G32" i="94"/>
  <c r="J32" i="94" s="1"/>
  <c r="H32" i="94"/>
  <c r="I32" i="94"/>
  <c r="K32" i="94" s="1"/>
  <c r="G31" i="94"/>
  <c r="H31" i="94"/>
  <c r="I31" i="94" s="1"/>
  <c r="G30" i="94"/>
  <c r="I30" i="94" s="1"/>
  <c r="H30" i="94"/>
  <c r="G29" i="94"/>
  <c r="H29" i="94"/>
  <c r="G28" i="94"/>
  <c r="H28" i="94"/>
  <c r="I28" i="94"/>
  <c r="G27" i="94"/>
  <c r="J27" i="94" s="1"/>
  <c r="K27" i="94" s="1"/>
  <c r="H27" i="94"/>
  <c r="I27" i="94" s="1"/>
  <c r="G26" i="94"/>
  <c r="J26" i="94"/>
  <c r="H26" i="94"/>
  <c r="I26" i="94" s="1"/>
  <c r="K26" i="94" s="1"/>
  <c r="G25" i="94"/>
  <c r="H25" i="94"/>
  <c r="I25" i="94"/>
  <c r="G24" i="94"/>
  <c r="J24" i="94" s="1"/>
  <c r="H24" i="94"/>
  <c r="G23" i="94"/>
  <c r="J23" i="94" s="1"/>
  <c r="H23" i="94"/>
  <c r="I23" i="94"/>
  <c r="G22" i="94"/>
  <c r="I22" i="94" s="1"/>
  <c r="H22" i="94"/>
  <c r="G37" i="93"/>
  <c r="I37" i="93" s="1"/>
  <c r="J37" i="93"/>
  <c r="H37" i="93"/>
  <c r="G36" i="93"/>
  <c r="J36" i="93"/>
  <c r="K36" i="93" s="1"/>
  <c r="H36" i="93"/>
  <c r="I36" i="93"/>
  <c r="G35" i="93"/>
  <c r="I35" i="93" s="1"/>
  <c r="H35" i="93"/>
  <c r="G34" i="93"/>
  <c r="I34" i="93" s="1"/>
  <c r="J34" i="93"/>
  <c r="H34" i="93"/>
  <c r="G33" i="93"/>
  <c r="J33" i="93" s="1"/>
  <c r="M33" i="93" s="1"/>
  <c r="H33" i="93"/>
  <c r="I33" i="93" s="1"/>
  <c r="K33" i="93" s="1"/>
  <c r="N33" i="93" s="1"/>
  <c r="G32" i="93"/>
  <c r="I32" i="93" s="1"/>
  <c r="H32" i="93"/>
  <c r="G31" i="93"/>
  <c r="H31" i="93"/>
  <c r="G30" i="93"/>
  <c r="I30" i="93"/>
  <c r="K30" i="93" s="1"/>
  <c r="H30" i="93"/>
  <c r="G29" i="93"/>
  <c r="I29" i="93"/>
  <c r="H29" i="93"/>
  <c r="G28" i="93"/>
  <c r="J28" i="93"/>
  <c r="H28" i="93"/>
  <c r="G27" i="93"/>
  <c r="H27" i="93"/>
  <c r="G26" i="93"/>
  <c r="H26" i="93"/>
  <c r="G25" i="93"/>
  <c r="J25" i="93"/>
  <c r="M25" i="93" s="1"/>
  <c r="H25" i="93"/>
  <c r="G24" i="93"/>
  <c r="J24" i="93" s="1"/>
  <c r="H24" i="93"/>
  <c r="G23" i="93"/>
  <c r="I23" i="93" s="1"/>
  <c r="H23" i="93"/>
  <c r="G22" i="93"/>
  <c r="I22" i="93"/>
  <c r="H22" i="93"/>
  <c r="G37" i="92"/>
  <c r="J37" i="92"/>
  <c r="H37" i="92"/>
  <c r="I37" i="92" s="1"/>
  <c r="K37" i="92" s="1"/>
  <c r="G36" i="92"/>
  <c r="I36" i="92"/>
  <c r="H36" i="92"/>
  <c r="G35" i="92"/>
  <c r="I35" i="92" s="1"/>
  <c r="H35" i="92"/>
  <c r="G34" i="92"/>
  <c r="I34" i="92"/>
  <c r="H34" i="92"/>
  <c r="G33" i="92"/>
  <c r="I33" i="92" s="1"/>
  <c r="H33" i="92"/>
  <c r="G32" i="92"/>
  <c r="H32" i="92"/>
  <c r="I32" i="92" s="1"/>
  <c r="K32" i="92" s="1"/>
  <c r="N32" i="92" s="1"/>
  <c r="G31" i="92"/>
  <c r="J31" i="92" s="1"/>
  <c r="H31" i="92"/>
  <c r="G30" i="92"/>
  <c r="I30" i="92"/>
  <c r="H30" i="92"/>
  <c r="G29" i="92"/>
  <c r="H29" i="92"/>
  <c r="I29" i="92" s="1"/>
  <c r="G28" i="92"/>
  <c r="J28" i="92"/>
  <c r="H28" i="92"/>
  <c r="G27" i="92"/>
  <c r="I27" i="92" s="1"/>
  <c r="H27" i="92"/>
  <c r="G26" i="92"/>
  <c r="I26" i="92"/>
  <c r="H26" i="92"/>
  <c r="G25" i="92"/>
  <c r="I25" i="92"/>
  <c r="H25" i="92"/>
  <c r="G24" i="92"/>
  <c r="I24" i="92" s="1"/>
  <c r="H24" i="92"/>
  <c r="G23" i="92"/>
  <c r="J23" i="92" s="1"/>
  <c r="H23" i="92"/>
  <c r="G22" i="92"/>
  <c r="I22" i="92" s="1"/>
  <c r="H22" i="92"/>
  <c r="G37" i="91"/>
  <c r="I37" i="91"/>
  <c r="H37" i="91"/>
  <c r="G36" i="91"/>
  <c r="J36" i="91"/>
  <c r="H36" i="91"/>
  <c r="I36" i="91" s="1"/>
  <c r="G35" i="91"/>
  <c r="I35" i="91" s="1"/>
  <c r="H35" i="91"/>
  <c r="G34" i="91"/>
  <c r="I34" i="91" s="1"/>
  <c r="H34" i="91"/>
  <c r="G33" i="91"/>
  <c r="J33" i="91"/>
  <c r="H33" i="91"/>
  <c r="G32" i="91"/>
  <c r="H32" i="91"/>
  <c r="I32" i="91" s="1"/>
  <c r="G31" i="91"/>
  <c r="I31" i="91" s="1"/>
  <c r="H31" i="91"/>
  <c r="G30" i="91"/>
  <c r="I30" i="91" s="1"/>
  <c r="H30" i="91"/>
  <c r="G29" i="91"/>
  <c r="H29" i="91"/>
  <c r="I29" i="91" s="1"/>
  <c r="K29" i="91" s="1"/>
  <c r="G28" i="91"/>
  <c r="I28" i="91"/>
  <c r="H28" i="91"/>
  <c r="G27" i="91"/>
  <c r="J27" i="91" s="1"/>
  <c r="H27" i="91"/>
  <c r="G26" i="91"/>
  <c r="J26" i="91" s="1"/>
  <c r="M26" i="91" s="1"/>
  <c r="H26" i="91"/>
  <c r="G25" i="91"/>
  <c r="J25" i="91" s="1"/>
  <c r="I25" i="91"/>
  <c r="H25" i="91"/>
  <c r="G24" i="91"/>
  <c r="J24" i="91" s="1"/>
  <c r="H24" i="91"/>
  <c r="G23" i="91"/>
  <c r="J23" i="91" s="1"/>
  <c r="M23" i="91" s="1"/>
  <c r="H23" i="91"/>
  <c r="G22" i="91"/>
  <c r="I22" i="91"/>
  <c r="H22" i="91"/>
  <c r="G18" i="103"/>
  <c r="H18" i="103"/>
  <c r="I18" i="103" s="1"/>
  <c r="G17" i="103"/>
  <c r="H17" i="103"/>
  <c r="I17" i="103" s="1"/>
  <c r="G16" i="103"/>
  <c r="J16" i="103" s="1"/>
  <c r="M16" i="103" s="1"/>
  <c r="H16" i="103"/>
  <c r="G15" i="103"/>
  <c r="I15" i="103" s="1"/>
  <c r="H15" i="103"/>
  <c r="G14" i="103"/>
  <c r="H14" i="103"/>
  <c r="G13" i="103"/>
  <c r="J13" i="103" s="1"/>
  <c r="H13" i="103"/>
  <c r="G12" i="103"/>
  <c r="I12" i="103" s="1"/>
  <c r="H12" i="103"/>
  <c r="G11" i="103"/>
  <c r="I11" i="103"/>
  <c r="K11" i="103" s="1"/>
  <c r="H11" i="103"/>
  <c r="G10" i="103"/>
  <c r="H10" i="103"/>
  <c r="G9" i="103"/>
  <c r="H9" i="103"/>
  <c r="I9" i="103" s="1"/>
  <c r="G8" i="103"/>
  <c r="I8" i="103" s="1"/>
  <c r="H8" i="103"/>
  <c r="G7" i="103"/>
  <c r="H7" i="103"/>
  <c r="G6" i="103"/>
  <c r="I6" i="103" s="1"/>
  <c r="H6" i="103"/>
  <c r="G5" i="103"/>
  <c r="I5" i="103" s="1"/>
  <c r="H5" i="103"/>
  <c r="G4" i="103"/>
  <c r="H4" i="103"/>
  <c r="G3" i="103"/>
  <c r="I3" i="103" s="1"/>
  <c r="H3" i="103"/>
  <c r="G18" i="101"/>
  <c r="J18" i="101"/>
  <c r="H18" i="101"/>
  <c r="G17" i="101"/>
  <c r="H17" i="101"/>
  <c r="I17" i="101" s="1"/>
  <c r="G16" i="101"/>
  <c r="I16" i="101" s="1"/>
  <c r="H16" i="101"/>
  <c r="G15" i="101"/>
  <c r="J15" i="101"/>
  <c r="H15" i="101"/>
  <c r="G14" i="101"/>
  <c r="J14" i="101" s="1"/>
  <c r="H14" i="101"/>
  <c r="G13" i="101"/>
  <c r="I13" i="101" s="1"/>
  <c r="H13" i="101"/>
  <c r="G12" i="101"/>
  <c r="J12" i="101" s="1"/>
  <c r="H12" i="101"/>
  <c r="I12" i="101" s="1"/>
  <c r="K12" i="101" s="1"/>
  <c r="N12" i="101" s="1"/>
  <c r="G11" i="101"/>
  <c r="I11" i="101"/>
  <c r="H11" i="101"/>
  <c r="G10" i="101"/>
  <c r="I10" i="101"/>
  <c r="H10" i="101"/>
  <c r="G9" i="101"/>
  <c r="J9" i="101"/>
  <c r="H9" i="101"/>
  <c r="G8" i="101"/>
  <c r="H8" i="101"/>
  <c r="G7" i="101"/>
  <c r="I7" i="101" s="1"/>
  <c r="H7" i="101"/>
  <c r="G6" i="101"/>
  <c r="H6" i="101"/>
  <c r="G5" i="101"/>
  <c r="H5" i="101"/>
  <c r="G4" i="101"/>
  <c r="I4" i="101" s="1"/>
  <c r="H4" i="101"/>
  <c r="G3" i="101"/>
  <c r="J3" i="101"/>
  <c r="H3" i="101"/>
  <c r="G18" i="102"/>
  <c r="H18" i="102"/>
  <c r="I18" i="102" s="1"/>
  <c r="K18" i="102" s="1"/>
  <c r="N18" i="102" s="1"/>
  <c r="G17" i="102"/>
  <c r="J17" i="102"/>
  <c r="H17" i="102"/>
  <c r="G16" i="102"/>
  <c r="I16" i="102" s="1"/>
  <c r="H16" i="102"/>
  <c r="G15" i="102"/>
  <c r="I15" i="102"/>
  <c r="H15" i="102"/>
  <c r="G14" i="102"/>
  <c r="H14" i="102"/>
  <c r="G13" i="102"/>
  <c r="H13" i="102"/>
  <c r="G12" i="102"/>
  <c r="H12" i="102"/>
  <c r="G11" i="102"/>
  <c r="J11" i="102"/>
  <c r="H11" i="102"/>
  <c r="G10" i="102"/>
  <c r="H10" i="102"/>
  <c r="I10" i="102" s="1"/>
  <c r="G9" i="102"/>
  <c r="H9" i="102"/>
  <c r="I9" i="102" s="1"/>
  <c r="G8" i="102"/>
  <c r="J8" i="102" s="1"/>
  <c r="H8" i="102"/>
  <c r="G7" i="102"/>
  <c r="I7" i="102"/>
  <c r="H7" i="102"/>
  <c r="G6" i="102"/>
  <c r="H6" i="102"/>
  <c r="I6" i="102" s="1"/>
  <c r="G5" i="102"/>
  <c r="J5" i="102" s="1"/>
  <c r="M5" i="102" s="1"/>
  <c r="H5" i="102"/>
  <c r="G4" i="102"/>
  <c r="H4" i="102"/>
  <c r="G3" i="102"/>
  <c r="I3" i="102" s="1"/>
  <c r="H3" i="102"/>
  <c r="G18" i="100"/>
  <c r="I18" i="100"/>
  <c r="H18" i="100"/>
  <c r="G17" i="100"/>
  <c r="H17" i="100"/>
  <c r="I17" i="100" s="1"/>
  <c r="K17" i="100" s="1"/>
  <c r="N17" i="100" s="1"/>
  <c r="G16" i="100"/>
  <c r="H16" i="100"/>
  <c r="G15" i="100"/>
  <c r="I15" i="100" s="1"/>
  <c r="H15" i="100"/>
  <c r="G14" i="100"/>
  <c r="H14" i="100"/>
  <c r="I14" i="100" s="1"/>
  <c r="G13" i="100"/>
  <c r="J13" i="100" s="1"/>
  <c r="H13" i="100"/>
  <c r="I13" i="100" s="1"/>
  <c r="K13" i="100" s="1"/>
  <c r="N13" i="100" s="1"/>
  <c r="G12" i="100"/>
  <c r="I12" i="100" s="1"/>
  <c r="H12" i="100"/>
  <c r="G11" i="100"/>
  <c r="I11" i="100" s="1"/>
  <c r="H11" i="100"/>
  <c r="G10" i="100"/>
  <c r="J10" i="100"/>
  <c r="H10" i="100"/>
  <c r="I10" i="100" s="1"/>
  <c r="K10" i="100" s="1"/>
  <c r="N10" i="100" s="1"/>
  <c r="G9" i="100"/>
  <c r="I9" i="100"/>
  <c r="H9" i="100"/>
  <c r="G8" i="100"/>
  <c r="I8" i="100" s="1"/>
  <c r="H8" i="100"/>
  <c r="G7" i="100"/>
  <c r="J7" i="100" s="1"/>
  <c r="H7" i="100"/>
  <c r="G6" i="100"/>
  <c r="I6" i="100"/>
  <c r="K6" i="100" s="1"/>
  <c r="N6" i="100" s="1"/>
  <c r="H6" i="100"/>
  <c r="G5" i="100"/>
  <c r="H5" i="100"/>
  <c r="G4" i="100"/>
  <c r="J4" i="100" s="1"/>
  <c r="H4" i="100"/>
  <c r="G3" i="100"/>
  <c r="H3" i="100"/>
  <c r="G18" i="99"/>
  <c r="H18" i="99"/>
  <c r="I18" i="99" s="1"/>
  <c r="G17" i="99"/>
  <c r="H17" i="99"/>
  <c r="I17" i="99" s="1"/>
  <c r="G16" i="99"/>
  <c r="I16" i="99" s="1"/>
  <c r="H16" i="99"/>
  <c r="G15" i="99"/>
  <c r="J15" i="99" s="1"/>
  <c r="H15" i="99"/>
  <c r="G14" i="99"/>
  <c r="J14" i="99" s="1"/>
  <c r="H14" i="99"/>
  <c r="G13" i="99"/>
  <c r="H13" i="99"/>
  <c r="G12" i="99"/>
  <c r="J12" i="99" s="1"/>
  <c r="H12" i="99"/>
  <c r="G11" i="99"/>
  <c r="J11" i="99"/>
  <c r="H11" i="99"/>
  <c r="G10" i="99"/>
  <c r="H10" i="99"/>
  <c r="I10" i="99" s="1"/>
  <c r="G9" i="99"/>
  <c r="H9" i="99"/>
  <c r="I9" i="99" s="1"/>
  <c r="G8" i="99"/>
  <c r="I8" i="99" s="1"/>
  <c r="H8" i="99"/>
  <c r="G7" i="99"/>
  <c r="I7" i="99" s="1"/>
  <c r="H7" i="99"/>
  <c r="G6" i="99"/>
  <c r="J6" i="99" s="1"/>
  <c r="H6" i="99"/>
  <c r="G5" i="99"/>
  <c r="J5" i="99" s="1"/>
  <c r="M5" i="99" s="1"/>
  <c r="H5" i="99"/>
  <c r="G4" i="99"/>
  <c r="I4" i="99" s="1"/>
  <c r="H4" i="99"/>
  <c r="G3" i="99"/>
  <c r="I3" i="99" s="1"/>
  <c r="H3" i="99"/>
  <c r="G18" i="98"/>
  <c r="J18" i="98"/>
  <c r="H18" i="98"/>
  <c r="G17" i="98"/>
  <c r="I17" i="98"/>
  <c r="K17" i="98" s="1"/>
  <c r="H17" i="98"/>
  <c r="G16" i="98"/>
  <c r="J16" i="98" s="1"/>
  <c r="H16" i="98"/>
  <c r="G15" i="98"/>
  <c r="J15" i="98"/>
  <c r="M15" i="98" s="1"/>
  <c r="H15" i="98"/>
  <c r="G14" i="98"/>
  <c r="I14" i="98"/>
  <c r="H14" i="98"/>
  <c r="G13" i="98"/>
  <c r="I13" i="98" s="1"/>
  <c r="H13" i="98"/>
  <c r="G12" i="98"/>
  <c r="H12" i="98"/>
  <c r="G11" i="98"/>
  <c r="I11" i="98"/>
  <c r="H11" i="98"/>
  <c r="G10" i="98"/>
  <c r="H10" i="98"/>
  <c r="G9" i="98"/>
  <c r="J9" i="98"/>
  <c r="H9" i="98"/>
  <c r="G8" i="98"/>
  <c r="I8" i="98" s="1"/>
  <c r="H8" i="98"/>
  <c r="G7" i="98"/>
  <c r="H7" i="98"/>
  <c r="G6" i="98"/>
  <c r="J6" i="98"/>
  <c r="H6" i="98"/>
  <c r="G5" i="98"/>
  <c r="H5" i="98"/>
  <c r="G4" i="98"/>
  <c r="H4" i="98"/>
  <c r="G3" i="98"/>
  <c r="I3" i="98"/>
  <c r="H3" i="98"/>
  <c r="G18" i="97"/>
  <c r="H18" i="97"/>
  <c r="I18" i="97" s="1"/>
  <c r="G17" i="97"/>
  <c r="I17" i="97"/>
  <c r="H17" i="97"/>
  <c r="G16" i="97"/>
  <c r="I16" i="97" s="1"/>
  <c r="H16" i="97"/>
  <c r="G15" i="97"/>
  <c r="I15" i="97"/>
  <c r="H15" i="97"/>
  <c r="G14" i="97"/>
  <c r="H14" i="97"/>
  <c r="G13" i="97"/>
  <c r="H13" i="97"/>
  <c r="G12" i="97"/>
  <c r="H12" i="97"/>
  <c r="G11" i="97"/>
  <c r="J11" i="97"/>
  <c r="M11" i="97" s="1"/>
  <c r="H11" i="97"/>
  <c r="G10" i="97"/>
  <c r="H10" i="97"/>
  <c r="I10" i="97" s="1"/>
  <c r="G9" i="97"/>
  <c r="H9" i="97"/>
  <c r="I9" i="97" s="1"/>
  <c r="K9" i="97" s="1"/>
  <c r="N9" i="97" s="1"/>
  <c r="G8" i="97"/>
  <c r="I8" i="97" s="1"/>
  <c r="H8" i="97"/>
  <c r="G7" i="97"/>
  <c r="I7" i="97"/>
  <c r="H7" i="97"/>
  <c r="G6" i="97"/>
  <c r="H6" i="97"/>
  <c r="I6" i="97" s="1"/>
  <c r="G5" i="97"/>
  <c r="J5" i="97" s="1"/>
  <c r="H5" i="97"/>
  <c r="G4" i="97"/>
  <c r="J4" i="97" s="1"/>
  <c r="H4" i="97"/>
  <c r="G3" i="97"/>
  <c r="I3" i="97" s="1"/>
  <c r="H3" i="97"/>
  <c r="G18" i="96"/>
  <c r="J18" i="96"/>
  <c r="M18" i="96" s="1"/>
  <c r="H18" i="96"/>
  <c r="G17" i="96"/>
  <c r="H17" i="96"/>
  <c r="I17" i="96" s="1"/>
  <c r="G16" i="96"/>
  <c r="I16" i="96" s="1"/>
  <c r="H16" i="96"/>
  <c r="G15" i="96"/>
  <c r="I15" i="96" s="1"/>
  <c r="H15" i="96"/>
  <c r="G14" i="96"/>
  <c r="H14" i="96"/>
  <c r="I14" i="96" s="1"/>
  <c r="K14" i="96" s="1"/>
  <c r="G13" i="96"/>
  <c r="H13" i="96"/>
  <c r="G12" i="96"/>
  <c r="J12" i="96" s="1"/>
  <c r="M12" i="96" s="1"/>
  <c r="H12" i="96"/>
  <c r="G11" i="96"/>
  <c r="I11" i="96" s="1"/>
  <c r="H11" i="96"/>
  <c r="G10" i="96"/>
  <c r="H10" i="96"/>
  <c r="I10" i="96" s="1"/>
  <c r="K10" i="96" s="1"/>
  <c r="N10" i="96" s="1"/>
  <c r="G9" i="96"/>
  <c r="J9" i="96"/>
  <c r="H9" i="96"/>
  <c r="G8" i="96"/>
  <c r="I8" i="96" s="1"/>
  <c r="H8" i="96"/>
  <c r="G7" i="96"/>
  <c r="I7" i="96" s="1"/>
  <c r="H7" i="96"/>
  <c r="G6" i="96"/>
  <c r="J6" i="96" s="1"/>
  <c r="I6" i="96"/>
  <c r="H6" i="96"/>
  <c r="G5" i="96"/>
  <c r="H5" i="96"/>
  <c r="G4" i="96"/>
  <c r="I4" i="96" s="1"/>
  <c r="H4" i="96"/>
  <c r="G3" i="96"/>
  <c r="J3" i="96"/>
  <c r="H3" i="96"/>
  <c r="G18" i="95"/>
  <c r="H18" i="95"/>
  <c r="I18" i="95" s="1"/>
  <c r="G17" i="95"/>
  <c r="H17" i="95"/>
  <c r="I17" i="95" s="1"/>
  <c r="G16" i="95"/>
  <c r="H16" i="95"/>
  <c r="G15" i="95"/>
  <c r="I15" i="95" s="1"/>
  <c r="H15" i="95"/>
  <c r="G14" i="95"/>
  <c r="H14" i="95"/>
  <c r="G13" i="95"/>
  <c r="I13" i="95" s="1"/>
  <c r="H13" i="95"/>
  <c r="G12" i="95"/>
  <c r="I12" i="95" s="1"/>
  <c r="H12" i="95"/>
  <c r="G11" i="95"/>
  <c r="I11" i="95"/>
  <c r="K11" i="95" s="1"/>
  <c r="N11" i="95" s="1"/>
  <c r="H11" i="95"/>
  <c r="G10" i="95"/>
  <c r="I10" i="95"/>
  <c r="H10" i="95"/>
  <c r="G9" i="95"/>
  <c r="H9" i="95"/>
  <c r="I9" i="95" s="1"/>
  <c r="G8" i="95"/>
  <c r="I8" i="95" s="1"/>
  <c r="H8" i="95"/>
  <c r="G7" i="95"/>
  <c r="H7" i="95"/>
  <c r="G6" i="95"/>
  <c r="I6" i="95" s="1"/>
  <c r="H6" i="95"/>
  <c r="G5" i="95"/>
  <c r="I5" i="95" s="1"/>
  <c r="H5" i="95"/>
  <c r="G4" i="95"/>
  <c r="H4" i="95"/>
  <c r="G3" i="95"/>
  <c r="I3" i="95" s="1"/>
  <c r="H3" i="95"/>
  <c r="G18" i="94"/>
  <c r="I18" i="94"/>
  <c r="H18" i="94"/>
  <c r="G17" i="94"/>
  <c r="H17" i="94"/>
  <c r="I17" i="94" s="1"/>
  <c r="K17" i="94" s="1"/>
  <c r="N17" i="94" s="1"/>
  <c r="G16" i="94"/>
  <c r="I16" i="94" s="1"/>
  <c r="H16" i="94"/>
  <c r="G15" i="94"/>
  <c r="I15" i="94"/>
  <c r="H15" i="94"/>
  <c r="G14" i="94"/>
  <c r="H14" i="94"/>
  <c r="I14" i="94" s="1"/>
  <c r="K14" i="94" s="1"/>
  <c r="N14" i="94" s="1"/>
  <c r="G13" i="94"/>
  <c r="I13" i="94" s="1"/>
  <c r="H13" i="94"/>
  <c r="G12" i="94"/>
  <c r="H12" i="94"/>
  <c r="G11" i="94"/>
  <c r="I11" i="94"/>
  <c r="H11" i="94"/>
  <c r="G10" i="94"/>
  <c r="I10" i="94"/>
  <c r="H10" i="94"/>
  <c r="G9" i="94"/>
  <c r="I9" i="94"/>
  <c r="H9" i="94"/>
  <c r="G8" i="94"/>
  <c r="I8" i="94" s="1"/>
  <c r="H8" i="94"/>
  <c r="G7" i="94"/>
  <c r="H7" i="94"/>
  <c r="G6" i="94"/>
  <c r="I6" i="94"/>
  <c r="H6" i="94"/>
  <c r="G5" i="94"/>
  <c r="H5" i="94"/>
  <c r="G4" i="94"/>
  <c r="H4" i="94"/>
  <c r="G3" i="94"/>
  <c r="I3" i="94"/>
  <c r="H3" i="94"/>
  <c r="G18" i="93"/>
  <c r="H18" i="93"/>
  <c r="I18" i="93" s="1"/>
  <c r="K18" i="93" s="1"/>
  <c r="N18" i="93" s="1"/>
  <c r="G17" i="93"/>
  <c r="I17" i="93"/>
  <c r="H17" i="93"/>
  <c r="G16" i="93"/>
  <c r="I16" i="93" s="1"/>
  <c r="H16" i="93"/>
  <c r="G15" i="93"/>
  <c r="I15" i="93"/>
  <c r="H15" i="93"/>
  <c r="G14" i="93"/>
  <c r="I14" i="93" s="1"/>
  <c r="H14" i="93"/>
  <c r="G13" i="93"/>
  <c r="H13" i="93"/>
  <c r="G12" i="93"/>
  <c r="H12" i="93"/>
  <c r="G11" i="93"/>
  <c r="I11" i="93"/>
  <c r="K11" i="93" s="1"/>
  <c r="N11" i="93" s="1"/>
  <c r="H11" i="93"/>
  <c r="G10" i="93"/>
  <c r="H10" i="93"/>
  <c r="I10" i="93" s="1"/>
  <c r="G9" i="93"/>
  <c r="H9" i="93"/>
  <c r="I9" i="93" s="1"/>
  <c r="G8" i="93"/>
  <c r="I8" i="93" s="1"/>
  <c r="H8" i="93"/>
  <c r="G7" i="93"/>
  <c r="I7" i="93"/>
  <c r="H7" i="93"/>
  <c r="G6" i="93"/>
  <c r="H6" i="93"/>
  <c r="I6" i="93" s="1"/>
  <c r="K6" i="93" s="1"/>
  <c r="N6" i="93" s="1"/>
  <c r="G5" i="93"/>
  <c r="I5" i="93" s="1"/>
  <c r="H5" i="93"/>
  <c r="G4" i="93"/>
  <c r="H4" i="93"/>
  <c r="G3" i="93"/>
  <c r="I3" i="93" s="1"/>
  <c r="H3" i="93"/>
  <c r="G18" i="92"/>
  <c r="I18" i="92"/>
  <c r="H18" i="92"/>
  <c r="G17" i="92"/>
  <c r="H17" i="92"/>
  <c r="I17" i="92" s="1"/>
  <c r="G16" i="92"/>
  <c r="I16" i="92" s="1"/>
  <c r="H16" i="92"/>
  <c r="G15" i="92"/>
  <c r="I15" i="92" s="1"/>
  <c r="H15" i="92"/>
  <c r="G14" i="92"/>
  <c r="H14" i="92"/>
  <c r="I14" i="92" s="1"/>
  <c r="G13" i="92"/>
  <c r="H13" i="92"/>
  <c r="G12" i="92"/>
  <c r="I12" i="92" s="1"/>
  <c r="H12" i="92"/>
  <c r="G11" i="92"/>
  <c r="I11" i="92" s="1"/>
  <c r="H11" i="92"/>
  <c r="G10" i="92"/>
  <c r="H10" i="92"/>
  <c r="I10" i="92" s="1"/>
  <c r="G9" i="92"/>
  <c r="I9" i="92"/>
  <c r="H9" i="92"/>
  <c r="G8" i="92"/>
  <c r="I8" i="92" s="1"/>
  <c r="H8" i="92"/>
  <c r="G7" i="92"/>
  <c r="H7" i="92"/>
  <c r="G6" i="92"/>
  <c r="J6" i="92" s="1"/>
  <c r="H6" i="92"/>
  <c r="G5" i="92"/>
  <c r="H5" i="92"/>
  <c r="G4" i="92"/>
  <c r="I4" i="92" s="1"/>
  <c r="H4" i="92"/>
  <c r="G3" i="92"/>
  <c r="I3" i="92"/>
  <c r="H3" i="92"/>
  <c r="G18" i="91"/>
  <c r="H18" i="91"/>
  <c r="I18" i="91" s="1"/>
  <c r="G17" i="91"/>
  <c r="H17" i="91"/>
  <c r="I17" i="91" s="1"/>
  <c r="G16" i="91"/>
  <c r="H16" i="91"/>
  <c r="G15" i="91"/>
  <c r="I15" i="91" s="1"/>
  <c r="H15" i="91"/>
  <c r="G14" i="91"/>
  <c r="H14" i="91"/>
  <c r="G13" i="91"/>
  <c r="I13" i="91" s="1"/>
  <c r="H13" i="91"/>
  <c r="G12" i="91"/>
  <c r="I12" i="91" s="1"/>
  <c r="H12" i="91"/>
  <c r="G11" i="91"/>
  <c r="I11" i="91"/>
  <c r="H11" i="91"/>
  <c r="G10" i="91"/>
  <c r="I10" i="91"/>
  <c r="H10" i="91"/>
  <c r="G9" i="91"/>
  <c r="H9" i="91"/>
  <c r="I9" i="91" s="1"/>
  <c r="G8" i="91"/>
  <c r="I8" i="91" s="1"/>
  <c r="H8" i="91"/>
  <c r="G7" i="91"/>
  <c r="H7" i="91"/>
  <c r="G6" i="91"/>
  <c r="I6" i="91" s="1"/>
  <c r="H6" i="91"/>
  <c r="G5" i="91"/>
  <c r="I5" i="91" s="1"/>
  <c r="H5" i="91"/>
  <c r="G4" i="91"/>
  <c r="I4" i="91" s="1"/>
  <c r="H4" i="91"/>
  <c r="G3" i="91"/>
  <c r="I3" i="91" s="1"/>
  <c r="H3" i="91"/>
  <c r="E37" i="61"/>
  <c r="J37" i="61"/>
  <c r="K37" i="61" s="1"/>
  <c r="G37" i="61"/>
  <c r="H37" i="61"/>
  <c r="I37" i="61"/>
  <c r="E36" i="61"/>
  <c r="J36" i="61" s="1"/>
  <c r="G36" i="61"/>
  <c r="H36" i="61"/>
  <c r="I36" i="61"/>
  <c r="E35" i="61"/>
  <c r="G35" i="61"/>
  <c r="H35" i="61"/>
  <c r="I35" i="61" s="1"/>
  <c r="E34" i="61"/>
  <c r="J34" i="61" s="1"/>
  <c r="G34" i="61"/>
  <c r="H34" i="61"/>
  <c r="E33" i="61"/>
  <c r="G33" i="61"/>
  <c r="I33" i="61" s="1"/>
  <c r="H33" i="61"/>
  <c r="E32" i="61"/>
  <c r="J32" i="61" s="1"/>
  <c r="G32" i="61"/>
  <c r="H32" i="61"/>
  <c r="I32" i="61"/>
  <c r="E31" i="61"/>
  <c r="J31" i="61" s="1"/>
  <c r="G31" i="61"/>
  <c r="I31" i="61"/>
  <c r="K31" i="61" s="1"/>
  <c r="N31" i="61" s="1"/>
  <c r="H31" i="61"/>
  <c r="E30" i="61"/>
  <c r="G30" i="61"/>
  <c r="J30" i="61" s="1"/>
  <c r="I30" i="61"/>
  <c r="H30" i="61"/>
  <c r="E29" i="61"/>
  <c r="G29" i="61"/>
  <c r="H29" i="61"/>
  <c r="E28" i="61"/>
  <c r="J28" i="61"/>
  <c r="G28" i="61"/>
  <c r="H28" i="61"/>
  <c r="I28" i="61"/>
  <c r="K28" i="61" s="1"/>
  <c r="E27" i="61"/>
  <c r="G27" i="61"/>
  <c r="I27" i="61" s="1"/>
  <c r="H27" i="61"/>
  <c r="G26" i="61"/>
  <c r="H26" i="61"/>
  <c r="G25" i="61"/>
  <c r="H25" i="61"/>
  <c r="G24" i="61"/>
  <c r="I24" i="61" s="1"/>
  <c r="H24" i="61"/>
  <c r="G23" i="61"/>
  <c r="H23" i="61"/>
  <c r="I23" i="61" s="1"/>
  <c r="G22" i="61"/>
  <c r="I22" i="61"/>
  <c r="H22" i="61"/>
  <c r="E18" i="61"/>
  <c r="J18" i="61" s="1"/>
  <c r="M18" i="61" s="1"/>
  <c r="G18" i="61"/>
  <c r="H18" i="61"/>
  <c r="I18" i="61" s="1"/>
  <c r="K18" i="61" s="1"/>
  <c r="N18" i="61" s="1"/>
  <c r="E17" i="61"/>
  <c r="G17" i="61"/>
  <c r="J17" i="61" s="1"/>
  <c r="H17" i="61"/>
  <c r="E16" i="61"/>
  <c r="G16" i="61"/>
  <c r="J16" i="61" s="1"/>
  <c r="H16" i="61"/>
  <c r="E15" i="61"/>
  <c r="J15" i="61" s="1"/>
  <c r="K15" i="61" s="1"/>
  <c r="G15" i="61"/>
  <c r="I15" i="61" s="1"/>
  <c r="H15" i="61"/>
  <c r="E14" i="61"/>
  <c r="G14" i="61"/>
  <c r="I14" i="61" s="1"/>
  <c r="H14" i="61"/>
  <c r="E13" i="61"/>
  <c r="J13" i="61" s="1"/>
  <c r="G13" i="61"/>
  <c r="I13" i="61" s="1"/>
  <c r="H13" i="61"/>
  <c r="E12" i="61"/>
  <c r="J12" i="61" s="1"/>
  <c r="G12" i="61"/>
  <c r="I12" i="61" s="1"/>
  <c r="H12" i="61"/>
  <c r="E11" i="61"/>
  <c r="J11" i="61" s="1"/>
  <c r="G11" i="61"/>
  <c r="I11" i="61"/>
  <c r="H11" i="61"/>
  <c r="E10" i="61"/>
  <c r="J10" i="61" s="1"/>
  <c r="G10" i="61"/>
  <c r="I10" i="61" s="1"/>
  <c r="H10" i="61"/>
  <c r="E9" i="61"/>
  <c r="J9" i="61"/>
  <c r="G9" i="61"/>
  <c r="H9" i="61"/>
  <c r="I9" i="61"/>
  <c r="K9" i="61" s="1"/>
  <c r="N9" i="61" s="1"/>
  <c r="E8" i="61"/>
  <c r="J8" i="61" s="1"/>
  <c r="G8" i="61"/>
  <c r="H8" i="61"/>
  <c r="I8" i="61"/>
  <c r="G7" i="61"/>
  <c r="I7" i="61"/>
  <c r="H7" i="61"/>
  <c r="G6" i="61"/>
  <c r="I6" i="61" s="1"/>
  <c r="H6" i="61"/>
  <c r="G5" i="61"/>
  <c r="I5" i="61"/>
  <c r="H5" i="61"/>
  <c r="G4" i="61"/>
  <c r="I4" i="61"/>
  <c r="H4" i="61"/>
  <c r="G3" i="61"/>
  <c r="I3" i="61" s="1"/>
  <c r="H3" i="61"/>
  <c r="B56" i="1"/>
  <c r="B55" i="1"/>
  <c r="C55" i="1"/>
  <c r="B54" i="1"/>
  <c r="C54" i="1"/>
  <c r="B53" i="1"/>
  <c r="C53" i="1" s="1"/>
  <c r="B52" i="1"/>
  <c r="C52" i="1"/>
  <c r="B51" i="1"/>
  <c r="C51" i="1"/>
  <c r="B50" i="1"/>
  <c r="C50" i="1" s="1"/>
  <c r="B21" i="1"/>
  <c r="C21" i="1" s="1"/>
  <c r="B22" i="1"/>
  <c r="B23" i="1"/>
  <c r="C23" i="1" s="1"/>
  <c r="B24" i="1"/>
  <c r="C24" i="1" s="1"/>
  <c r="B25" i="1"/>
  <c r="B26" i="1"/>
  <c r="C26" i="1" s="1"/>
  <c r="B27" i="1"/>
  <c r="C27" i="1"/>
  <c r="B28" i="1"/>
  <c r="B29" i="1"/>
  <c r="C29" i="1" s="1"/>
  <c r="B30" i="1"/>
  <c r="C30" i="1" s="1"/>
  <c r="B31" i="1"/>
  <c r="B32" i="1"/>
  <c r="C32" i="1"/>
  <c r="B33" i="1"/>
  <c r="C33" i="1"/>
  <c r="B34" i="1"/>
  <c r="C34" i="1" s="1"/>
  <c r="B35" i="1"/>
  <c r="C35" i="1" s="1"/>
  <c r="B36" i="1"/>
  <c r="C36" i="1" s="1"/>
  <c r="B37" i="1"/>
  <c r="B38" i="1"/>
  <c r="C38" i="1" s="1"/>
  <c r="B39" i="1"/>
  <c r="C39" i="1"/>
  <c r="B40" i="1"/>
  <c r="C40" i="1" s="1"/>
  <c r="B41" i="1"/>
  <c r="C41" i="1" s="1"/>
  <c r="B42" i="1"/>
  <c r="C42" i="1" s="1"/>
  <c r="B43" i="1"/>
  <c r="B44" i="1"/>
  <c r="C44" i="1"/>
  <c r="B45" i="1"/>
  <c r="C45" i="1"/>
  <c r="B46" i="1"/>
  <c r="B47" i="1"/>
  <c r="C47" i="1" s="1"/>
  <c r="B48" i="1"/>
  <c r="C48" i="1" s="1"/>
  <c r="B49" i="1"/>
  <c r="F82" i="1"/>
  <c r="G88" i="1"/>
  <c r="G87" i="1"/>
  <c r="H87" i="1" s="1"/>
  <c r="I87" i="1"/>
  <c r="F87" i="1"/>
  <c r="C87" i="1"/>
  <c r="M28" i="61"/>
  <c r="M31" i="61"/>
  <c r="M34" i="61"/>
  <c r="M37" i="61"/>
  <c r="M8" i="61"/>
  <c r="M9" i="61"/>
  <c r="M12" i="61"/>
  <c r="M13" i="61"/>
  <c r="M15" i="61"/>
  <c r="M16" i="61"/>
  <c r="M4" i="97"/>
  <c r="M5" i="97"/>
  <c r="M6" i="98"/>
  <c r="M16" i="98"/>
  <c r="M18" i="98"/>
  <c r="M12" i="99"/>
  <c r="M14" i="99"/>
  <c r="M4" i="100"/>
  <c r="M7" i="100"/>
  <c r="M10" i="100"/>
  <c r="M13" i="100"/>
  <c r="M8" i="102"/>
  <c r="M17" i="102"/>
  <c r="M3" i="101"/>
  <c r="M6" i="101"/>
  <c r="M12" i="101"/>
  <c r="M10" i="103"/>
  <c r="M13" i="103"/>
  <c r="M24" i="91"/>
  <c r="M27" i="91"/>
  <c r="M33" i="91"/>
  <c r="M36" i="91"/>
  <c r="M23" i="92"/>
  <c r="M28" i="92"/>
  <c r="M31" i="92"/>
  <c r="M32" i="92"/>
  <c r="M37" i="92"/>
  <c r="M24" i="93"/>
  <c r="M28" i="93"/>
  <c r="K34" i="93"/>
  <c r="N34" i="93" s="1"/>
  <c r="M34" i="93"/>
  <c r="M36" i="93"/>
  <c r="K37" i="93"/>
  <c r="N37" i="93" s="1"/>
  <c r="M37" i="93"/>
  <c r="K23" i="94"/>
  <c r="N23" i="94" s="1"/>
  <c r="M23" i="94"/>
  <c r="M24" i="94"/>
  <c r="M26" i="94"/>
  <c r="N26" i="94" s="1"/>
  <c r="M27" i="94"/>
  <c r="M32" i="94"/>
  <c r="K33" i="94"/>
  <c r="N33" i="94"/>
  <c r="M33" i="94"/>
  <c r="K28" i="95"/>
  <c r="M29" i="95"/>
  <c r="M31" i="95"/>
  <c r="K31" i="95"/>
  <c r="K30" i="96"/>
  <c r="N30" i="96" s="1"/>
  <c r="M33" i="96"/>
  <c r="M36" i="96"/>
  <c r="K36" i="96"/>
  <c r="M23" i="97"/>
  <c r="M25" i="98"/>
  <c r="M31" i="98"/>
  <c r="K34" i="98"/>
  <c r="N34" i="98" s="1"/>
  <c r="M22" i="99"/>
  <c r="M36" i="99"/>
  <c r="M29" i="100"/>
  <c r="K29" i="100"/>
  <c r="N29" i="100" s="1"/>
  <c r="K30" i="100"/>
  <c r="N30" i="100" s="1"/>
  <c r="M30" i="100"/>
  <c r="K11" i="108"/>
  <c r="M11" i="108"/>
  <c r="N11" i="108" s="1"/>
  <c r="K3" i="107"/>
  <c r="M3" i="107"/>
  <c r="N3" i="107" s="1"/>
  <c r="O3" i="107" s="1"/>
  <c r="M6" i="107"/>
  <c r="M9" i="107"/>
  <c r="M12" i="107"/>
  <c r="K18" i="107"/>
  <c r="M18" i="107"/>
  <c r="K10" i="106"/>
  <c r="M10" i="106"/>
  <c r="M5" i="105"/>
  <c r="M8" i="105"/>
  <c r="M11" i="105"/>
  <c r="K17" i="105"/>
  <c r="N17" i="105" s="1"/>
  <c r="M6" i="104"/>
  <c r="K9" i="104"/>
  <c r="N9" i="104" s="1"/>
  <c r="M9" i="104"/>
  <c r="K12" i="104"/>
  <c r="N12" i="104" s="1"/>
  <c r="M12" i="104"/>
  <c r="K15" i="104"/>
  <c r="M15" i="104"/>
  <c r="K18" i="104"/>
  <c r="N18" i="104" s="1"/>
  <c r="M18" i="104"/>
  <c r="K4" i="109"/>
  <c r="M4" i="109"/>
  <c r="K10" i="109"/>
  <c r="N10" i="109"/>
  <c r="M10" i="109"/>
  <c r="K16" i="109"/>
  <c r="K22" i="105"/>
  <c r="M22" i="105"/>
  <c r="K24" i="106"/>
  <c r="M24" i="106"/>
  <c r="N24" i="106" s="1"/>
  <c r="K27" i="106"/>
  <c r="M27" i="106"/>
  <c r="M36" i="106"/>
  <c r="M22" i="107"/>
  <c r="K22" i="107"/>
  <c r="M23" i="107"/>
  <c r="K26" i="107"/>
  <c r="M26" i="107"/>
  <c r="M34" i="107"/>
  <c r="K34" i="107"/>
  <c r="N34" i="107" s="1"/>
  <c r="K35" i="107"/>
  <c r="N35" i="107"/>
  <c r="M24" i="108"/>
  <c r="K24" i="108"/>
  <c r="M27" i="108"/>
  <c r="K27" i="108"/>
  <c r="N27" i="108"/>
  <c r="M30" i="108"/>
  <c r="K30" i="108"/>
  <c r="N30" i="108" s="1"/>
  <c r="K31" i="108"/>
  <c r="N31" i="108" s="1"/>
  <c r="M36" i="108"/>
  <c r="K36" i="108"/>
  <c r="K15" i="110"/>
  <c r="M15" i="110"/>
  <c r="K3" i="110"/>
  <c r="M3" i="110"/>
  <c r="K17" i="111"/>
  <c r="N17" i="111" s="1"/>
  <c r="M17" i="111"/>
  <c r="K14" i="111"/>
  <c r="M14" i="111"/>
  <c r="K8" i="111"/>
  <c r="N8" i="111" s="1"/>
  <c r="M8" i="111"/>
  <c r="K5" i="111"/>
  <c r="N5" i="111" s="1"/>
  <c r="K16" i="112"/>
  <c r="N16" i="112" s="1"/>
  <c r="M16" i="112"/>
  <c r="K13" i="112"/>
  <c r="N13" i="112" s="1"/>
  <c r="M18" i="113"/>
  <c r="M13" i="115"/>
  <c r="K5" i="115"/>
  <c r="M5" i="115"/>
  <c r="K5" i="121"/>
  <c r="N5" i="121" s="1"/>
  <c r="M13" i="119"/>
  <c r="M16" i="117"/>
  <c r="M11" i="116"/>
  <c r="J5" i="61"/>
  <c r="M9" i="125"/>
  <c r="N9" i="125" s="1"/>
  <c r="M18" i="125"/>
  <c r="M13" i="124"/>
  <c r="N13" i="124" s="1"/>
  <c r="N5" i="122"/>
  <c r="K9" i="121"/>
  <c r="N9" i="121" s="1"/>
  <c r="K9" i="119"/>
  <c r="N9" i="119" s="1"/>
  <c r="K13" i="118"/>
  <c r="N13" i="118" s="1"/>
  <c r="K4" i="125"/>
  <c r="N4" i="125" s="1"/>
  <c r="M4" i="125"/>
  <c r="K17" i="124"/>
  <c r="N17" i="124" s="1"/>
  <c r="M17" i="124"/>
  <c r="K17" i="121"/>
  <c r="N17" i="121" s="1"/>
  <c r="M17" i="121"/>
  <c r="M13" i="120"/>
  <c r="K8" i="118"/>
  <c r="M8" i="118"/>
  <c r="M7" i="117"/>
  <c r="M13" i="117"/>
  <c r="K13" i="117"/>
  <c r="K18" i="117"/>
  <c r="N18" i="117"/>
  <c r="M18" i="117"/>
  <c r="K13" i="116"/>
  <c r="N13" i="116" s="1"/>
  <c r="M13" i="116"/>
  <c r="M7" i="113"/>
  <c r="C46" i="1"/>
  <c r="C25" i="1"/>
  <c r="J3" i="61"/>
  <c r="J7" i="61"/>
  <c r="N18" i="125"/>
  <c r="K18" i="122"/>
  <c r="N18" i="122" s="1"/>
  <c r="K13" i="121"/>
  <c r="N13" i="121"/>
  <c r="K9" i="116"/>
  <c r="N9" i="116" s="1"/>
  <c r="K16" i="125"/>
  <c r="M16" i="125"/>
  <c r="K9" i="123"/>
  <c r="N9" i="123" s="1"/>
  <c r="K18" i="123"/>
  <c r="M18" i="123"/>
  <c r="K16" i="122"/>
  <c r="M16" i="122"/>
  <c r="M15" i="120"/>
  <c r="K18" i="120"/>
  <c r="N18" i="120" s="1"/>
  <c r="M18" i="120"/>
  <c r="M17" i="119"/>
  <c r="M10" i="118"/>
  <c r="K10" i="118"/>
  <c r="N10" i="118" s="1"/>
  <c r="M11" i="118"/>
  <c r="M8" i="115"/>
  <c r="M7" i="114"/>
  <c r="K7" i="114"/>
  <c r="N7" i="114" s="1"/>
  <c r="C56" i="1"/>
  <c r="C49" i="1"/>
  <c r="C43" i="1"/>
  <c r="C37" i="1"/>
  <c r="C31" i="1"/>
  <c r="C28" i="1"/>
  <c r="C22" i="1"/>
  <c r="H88" i="1"/>
  <c r="I3" i="96"/>
  <c r="I9" i="96"/>
  <c r="I12" i="96"/>
  <c r="K12" i="96"/>
  <c r="N12" i="96" s="1"/>
  <c r="I18" i="96"/>
  <c r="K18" i="96" s="1"/>
  <c r="N18" i="96" s="1"/>
  <c r="I4" i="97"/>
  <c r="K4" i="97" s="1"/>
  <c r="N4" i="97" s="1"/>
  <c r="I5" i="97"/>
  <c r="N5" i="97"/>
  <c r="I11" i="97"/>
  <c r="K11" i="97"/>
  <c r="N11" i="97" s="1"/>
  <c r="I6" i="98"/>
  <c r="K6" i="98" s="1"/>
  <c r="I7" i="98"/>
  <c r="I9" i="98"/>
  <c r="I10" i="98"/>
  <c r="I15" i="98"/>
  <c r="K15" i="98" s="1"/>
  <c r="N15" i="98" s="1"/>
  <c r="I16" i="98"/>
  <c r="K16" i="98" s="1"/>
  <c r="N16" i="98" s="1"/>
  <c r="I18" i="98"/>
  <c r="I5" i="99"/>
  <c r="K5" i="99"/>
  <c r="N5" i="99" s="1"/>
  <c r="I6" i="99"/>
  <c r="I11" i="99"/>
  <c r="I12" i="99"/>
  <c r="K12" i="99"/>
  <c r="N12" i="99" s="1"/>
  <c r="I14" i="99"/>
  <c r="K14" i="99"/>
  <c r="N14" i="99" s="1"/>
  <c r="I15" i="99"/>
  <c r="I4" i="100"/>
  <c r="I7" i="100"/>
  <c r="K7" i="100" s="1"/>
  <c r="N7" i="100" s="1"/>
  <c r="I16" i="100"/>
  <c r="I5" i="102"/>
  <c r="K5" i="102" s="1"/>
  <c r="N5" i="102" s="1"/>
  <c r="I8" i="102"/>
  <c r="K8" i="102"/>
  <c r="N8" i="102" s="1"/>
  <c r="I11" i="102"/>
  <c r="I17" i="102"/>
  <c r="K17" i="102"/>
  <c r="N17" i="102" s="1"/>
  <c r="I3" i="101"/>
  <c r="K3" i="101"/>
  <c r="N3" i="101" s="1"/>
  <c r="O3" i="101" s="1"/>
  <c r="I6" i="101"/>
  <c r="I9" i="101"/>
  <c r="I15" i="101"/>
  <c r="I18" i="101"/>
  <c r="I10" i="103"/>
  <c r="I13" i="103"/>
  <c r="K13" i="103" s="1"/>
  <c r="N13" i="103"/>
  <c r="I16" i="103"/>
  <c r="K16" i="103" s="1"/>
  <c r="N16" i="103" s="1"/>
  <c r="I23" i="91"/>
  <c r="K23" i="91" s="1"/>
  <c r="N23" i="91" s="1"/>
  <c r="I24" i="91"/>
  <c r="K24" i="91" s="1"/>
  <c r="N24" i="91" s="1"/>
  <c r="I26" i="91"/>
  <c r="K26" i="91"/>
  <c r="N26" i="91" s="1"/>
  <c r="I27" i="91"/>
  <c r="K27" i="91" s="1"/>
  <c r="N27" i="91" s="1"/>
  <c r="I33" i="91"/>
  <c r="K33" i="91" s="1"/>
  <c r="N33" i="91" s="1"/>
  <c r="I23" i="92"/>
  <c r="K23" i="92"/>
  <c r="N23" i="92" s="1"/>
  <c r="I28" i="92"/>
  <c r="K28" i="92" s="1"/>
  <c r="N28" i="92" s="1"/>
  <c r="I31" i="92"/>
  <c r="K31" i="92" s="1"/>
  <c r="N31" i="92" s="1"/>
  <c r="I24" i="93"/>
  <c r="K24" i="93" s="1"/>
  <c r="N24" i="93" s="1"/>
  <c r="I25" i="93"/>
  <c r="K25" i="93"/>
  <c r="N25" i="93" s="1"/>
  <c r="I28" i="93"/>
  <c r="K28" i="93"/>
  <c r="N28" i="93" s="1"/>
  <c r="M29" i="109"/>
  <c r="M37" i="110"/>
  <c r="K37" i="110"/>
  <c r="M34" i="110"/>
  <c r="N34" i="110" s="1"/>
  <c r="K34" i="110"/>
  <c r="M28" i="110"/>
  <c r="K28" i="110"/>
  <c r="N28" i="110" s="1"/>
  <c r="M22" i="110"/>
  <c r="K22" i="110"/>
  <c r="M36" i="111"/>
  <c r="K36" i="111"/>
  <c r="N36" i="111" s="1"/>
  <c r="M30" i="111"/>
  <c r="K30" i="111"/>
  <c r="M24" i="111"/>
  <c r="K24" i="111"/>
  <c r="M35" i="112"/>
  <c r="K35" i="112"/>
  <c r="N35" i="112"/>
  <c r="M32" i="112"/>
  <c r="N32" i="112" s="1"/>
  <c r="M29" i="112"/>
  <c r="K29" i="112"/>
  <c r="M23" i="112"/>
  <c r="K23" i="112"/>
  <c r="M22" i="113"/>
  <c r="M36" i="114"/>
  <c r="K36" i="114"/>
  <c r="M30" i="114"/>
  <c r="M27" i="114"/>
  <c r="M24" i="114"/>
  <c r="K24" i="114"/>
  <c r="N24" i="114" s="1"/>
  <c r="M35" i="115"/>
  <c r="N35" i="115" s="1"/>
  <c r="K35" i="115"/>
  <c r="M32" i="115"/>
  <c r="K32" i="115"/>
  <c r="M29" i="115"/>
  <c r="M26" i="115"/>
  <c r="K26" i="115"/>
  <c r="M23" i="115"/>
  <c r="M22" i="116"/>
  <c r="M25" i="116"/>
  <c r="K25" i="116"/>
  <c r="M28" i="116"/>
  <c r="M31" i="116"/>
  <c r="K31" i="116"/>
  <c r="M37" i="116"/>
  <c r="K37" i="116"/>
  <c r="M22" i="117"/>
  <c r="K30" i="117"/>
  <c r="N30" i="117"/>
  <c r="M30" i="117"/>
  <c r="M36" i="117"/>
  <c r="K36" i="117"/>
  <c r="M25" i="119"/>
  <c r="N25" i="119" s="1"/>
  <c r="K25" i="119"/>
  <c r="M34" i="119"/>
  <c r="K34" i="119"/>
  <c r="N34" i="119"/>
  <c r="K35" i="119"/>
  <c r="N35" i="119" s="1"/>
  <c r="M35" i="119"/>
  <c r="M22" i="120"/>
  <c r="M30" i="120"/>
  <c r="M29" i="121"/>
  <c r="K29" i="121"/>
  <c r="K30" i="121"/>
  <c r="M30" i="121"/>
  <c r="A89" i="1"/>
  <c r="K14" i="119"/>
  <c r="N14" i="119"/>
  <c r="J13" i="113"/>
  <c r="J14" i="113"/>
  <c r="J16" i="113"/>
  <c r="M16" i="113" s="1"/>
  <c r="J17" i="113"/>
  <c r="J3" i="108"/>
  <c r="J4" i="108"/>
  <c r="J6" i="108"/>
  <c r="J7" i="108"/>
  <c r="J9" i="108"/>
  <c r="J10" i="108"/>
  <c r="J12" i="108"/>
  <c r="J13" i="108"/>
  <c r="J15" i="108"/>
  <c r="K15" i="108" s="1"/>
  <c r="J16" i="108"/>
  <c r="J18" i="108"/>
  <c r="J3" i="106"/>
  <c r="J5" i="106"/>
  <c r="J6" i="106"/>
  <c r="J8" i="106"/>
  <c r="J9" i="106"/>
  <c r="J11" i="106"/>
  <c r="J12" i="106"/>
  <c r="J14" i="106"/>
  <c r="J15" i="106"/>
  <c r="J17" i="106"/>
  <c r="J18" i="106"/>
  <c r="J4" i="104"/>
  <c r="K4" i="104" s="1"/>
  <c r="N4" i="104" s="1"/>
  <c r="J5" i="104"/>
  <c r="J7" i="104"/>
  <c r="K7" i="104" s="1"/>
  <c r="J10" i="104"/>
  <c r="J11" i="104"/>
  <c r="J14" i="104"/>
  <c r="J17" i="104"/>
  <c r="J3" i="99"/>
  <c r="J4" i="99"/>
  <c r="J7" i="99"/>
  <c r="J18" i="99"/>
  <c r="J13" i="98"/>
  <c r="J17" i="98"/>
  <c r="J6" i="97"/>
  <c r="J8" i="96"/>
  <c r="J15" i="96"/>
  <c r="J3" i="95"/>
  <c r="J18" i="115"/>
  <c r="J10" i="114"/>
  <c r="J5" i="113"/>
  <c r="J3" i="111"/>
  <c r="J4" i="111"/>
  <c r="J6" i="111"/>
  <c r="J7" i="111"/>
  <c r="J9" i="111"/>
  <c r="J10" i="111"/>
  <c r="J12" i="111"/>
  <c r="J13" i="111"/>
  <c r="J15" i="111"/>
  <c r="J16" i="111"/>
  <c r="J18" i="111"/>
  <c r="J3" i="109"/>
  <c r="J5" i="109"/>
  <c r="J6" i="109"/>
  <c r="M6" i="109" s="1"/>
  <c r="J8" i="109"/>
  <c r="J9" i="109"/>
  <c r="J11" i="109"/>
  <c r="J12" i="109"/>
  <c r="J14" i="109"/>
  <c r="J15" i="109"/>
  <c r="J17" i="109"/>
  <c r="J18" i="109"/>
  <c r="J4" i="107"/>
  <c r="J5" i="107"/>
  <c r="J7" i="107"/>
  <c r="J8" i="107"/>
  <c r="J10" i="107"/>
  <c r="J11" i="107"/>
  <c r="J13" i="107"/>
  <c r="J14" i="107"/>
  <c r="M14" i="107" s="1"/>
  <c r="J16" i="107"/>
  <c r="J17" i="107"/>
  <c r="J3" i="102"/>
  <c r="J4" i="102"/>
  <c r="J6" i="102"/>
  <c r="J7" i="102"/>
  <c r="J9" i="102"/>
  <c r="J10" i="102"/>
  <c r="K10" i="102" s="1"/>
  <c r="J12" i="102"/>
  <c r="J13" i="102"/>
  <c r="J15" i="102"/>
  <c r="J16" i="102"/>
  <c r="J18" i="102"/>
  <c r="J5" i="100"/>
  <c r="J6" i="100"/>
  <c r="J8" i="100"/>
  <c r="M8" i="100" s="1"/>
  <c r="J9" i="100"/>
  <c r="J11" i="100"/>
  <c r="J12" i="100"/>
  <c r="J14" i="100"/>
  <c r="J15" i="100"/>
  <c r="J17" i="100"/>
  <c r="J18" i="100"/>
  <c r="J9" i="99"/>
  <c r="J13" i="99"/>
  <c r="J17" i="99"/>
  <c r="J8" i="98"/>
  <c r="K8" i="98" s="1"/>
  <c r="N8" i="98" s="1"/>
  <c r="J12" i="98"/>
  <c r="J10" i="97"/>
  <c r="J17" i="97"/>
  <c r="J16" i="96"/>
  <c r="J3" i="112"/>
  <c r="J5" i="112"/>
  <c r="M5" i="112" s="1"/>
  <c r="J6" i="112"/>
  <c r="J8" i="112"/>
  <c r="J9" i="112"/>
  <c r="J11" i="112"/>
  <c r="J12" i="112"/>
  <c r="J14" i="112"/>
  <c r="J15" i="112"/>
  <c r="J17" i="112"/>
  <c r="M17" i="112" s="1"/>
  <c r="J18" i="112"/>
  <c r="J4" i="110"/>
  <c r="K4" i="110" s="1"/>
  <c r="N4" i="110" s="1"/>
  <c r="J5" i="110"/>
  <c r="J7" i="110"/>
  <c r="J8" i="110"/>
  <c r="J10" i="110"/>
  <c r="J11" i="110"/>
  <c r="J13" i="110"/>
  <c r="M13" i="110" s="1"/>
  <c r="J14" i="110"/>
  <c r="J16" i="110"/>
  <c r="M16" i="110" s="1"/>
  <c r="J17" i="110"/>
  <c r="J3" i="105"/>
  <c r="J4" i="105"/>
  <c r="J7" i="105"/>
  <c r="J9" i="105"/>
  <c r="J10" i="105"/>
  <c r="J12" i="105"/>
  <c r="K12" i="105" s="1"/>
  <c r="J13" i="105"/>
  <c r="J15" i="105"/>
  <c r="J16" i="105"/>
  <c r="J18" i="105"/>
  <c r="J3" i="103"/>
  <c r="J5" i="103"/>
  <c r="J6" i="103"/>
  <c r="J8" i="103"/>
  <c r="J9" i="103"/>
  <c r="J11" i="103"/>
  <c r="J12" i="103"/>
  <c r="J15" i="103"/>
  <c r="J17" i="103"/>
  <c r="J18" i="103"/>
  <c r="J4" i="101"/>
  <c r="J5" i="101"/>
  <c r="J7" i="101"/>
  <c r="M7" i="101" s="1"/>
  <c r="J10" i="101"/>
  <c r="J11" i="101"/>
  <c r="J13" i="101"/>
  <c r="J16" i="101"/>
  <c r="K16" i="101" s="1"/>
  <c r="N16" i="101" s="1"/>
  <c r="J17" i="101"/>
  <c r="J3" i="98"/>
  <c r="J11" i="98"/>
  <c r="J3" i="97"/>
  <c r="J7" i="97"/>
  <c r="J18" i="97"/>
  <c r="J7" i="96"/>
  <c r="J17" i="96"/>
  <c r="J12" i="95"/>
  <c r="J13" i="95"/>
  <c r="J17" i="95"/>
  <c r="J6" i="94"/>
  <c r="J10" i="94"/>
  <c r="J11" i="94"/>
  <c r="J15" i="94"/>
  <c r="J3" i="93"/>
  <c r="J7" i="93"/>
  <c r="J11" i="93"/>
  <c r="J12" i="93"/>
  <c r="J16" i="93"/>
  <c r="J5" i="92"/>
  <c r="J9" i="92"/>
  <c r="J10" i="92"/>
  <c r="J14" i="92"/>
  <c r="J18" i="92"/>
  <c r="J3" i="91"/>
  <c r="J8" i="91"/>
  <c r="J12" i="91"/>
  <c r="J17" i="91"/>
  <c r="J23" i="61"/>
  <c r="K23" i="61" s="1"/>
  <c r="J24" i="125"/>
  <c r="J25" i="125"/>
  <c r="J29" i="125"/>
  <c r="J33" i="125"/>
  <c r="M33" i="125" s="1"/>
  <c r="J34" i="125"/>
  <c r="J22" i="124"/>
  <c r="J23" i="124"/>
  <c r="J27" i="124"/>
  <c r="J31" i="124"/>
  <c r="J32" i="124"/>
  <c r="J36" i="124"/>
  <c r="J25" i="123"/>
  <c r="J29" i="123"/>
  <c r="J30" i="123"/>
  <c r="J34" i="123"/>
  <c r="J22" i="122"/>
  <c r="J26" i="122"/>
  <c r="J30" i="122"/>
  <c r="J31" i="122"/>
  <c r="J35" i="122"/>
  <c r="J24" i="121"/>
  <c r="J28" i="121"/>
  <c r="J32" i="121"/>
  <c r="J33" i="121"/>
  <c r="J27" i="120"/>
  <c r="J28" i="120"/>
  <c r="J22" i="119"/>
  <c r="K22" i="119" s="1"/>
  <c r="J23" i="119"/>
  <c r="J27" i="119"/>
  <c r="J33" i="119"/>
  <c r="J37" i="119"/>
  <c r="J22" i="118"/>
  <c r="J28" i="118"/>
  <c r="J32" i="118"/>
  <c r="J12" i="97"/>
  <c r="J13" i="97"/>
  <c r="J10" i="96"/>
  <c r="J11" i="96"/>
  <c r="J5" i="95"/>
  <c r="J6" i="95"/>
  <c r="J10" i="95"/>
  <c r="J18" i="95"/>
  <c r="M18" i="95" s="1"/>
  <c r="J3" i="94"/>
  <c r="J8" i="94"/>
  <c r="J12" i="94"/>
  <c r="J16" i="94"/>
  <c r="J17" i="94"/>
  <c r="J4" i="93"/>
  <c r="J8" i="93"/>
  <c r="K8" i="93" s="1"/>
  <c r="J9" i="93"/>
  <c r="J13" i="93"/>
  <c r="J17" i="93"/>
  <c r="J18" i="93"/>
  <c r="J11" i="92"/>
  <c r="J15" i="92"/>
  <c r="K15" i="92" s="1"/>
  <c r="J16" i="92"/>
  <c r="J4" i="91"/>
  <c r="J5" i="91"/>
  <c r="J9" i="91"/>
  <c r="K9" i="91" s="1"/>
  <c r="J13" i="91"/>
  <c r="J18" i="91"/>
  <c r="J24" i="61"/>
  <c r="J25" i="61"/>
  <c r="J22" i="125"/>
  <c r="J26" i="125"/>
  <c r="M26" i="125" s="1"/>
  <c r="J30" i="125"/>
  <c r="K30" i="125" s="1"/>
  <c r="J31" i="125"/>
  <c r="J35" i="125"/>
  <c r="J24" i="124"/>
  <c r="J28" i="124"/>
  <c r="J29" i="124"/>
  <c r="J33" i="124"/>
  <c r="J37" i="124"/>
  <c r="J22" i="123"/>
  <c r="J26" i="123"/>
  <c r="J27" i="123"/>
  <c r="J31" i="123"/>
  <c r="J35" i="123"/>
  <c r="J36" i="123"/>
  <c r="J23" i="122"/>
  <c r="J27" i="122"/>
  <c r="J28" i="122"/>
  <c r="K28" i="122" s="1"/>
  <c r="J32" i="122"/>
  <c r="J36" i="122"/>
  <c r="J37" i="122"/>
  <c r="J25" i="121"/>
  <c r="J26" i="121"/>
  <c r="J35" i="121"/>
  <c r="J36" i="121"/>
  <c r="J23" i="120"/>
  <c r="J29" i="120"/>
  <c r="J33" i="120"/>
  <c r="J34" i="120"/>
  <c r="J24" i="119"/>
  <c r="J28" i="119"/>
  <c r="J23" i="118"/>
  <c r="K23" i="118" s="1"/>
  <c r="N23" i="118" s="1"/>
  <c r="J24" i="118"/>
  <c r="M24" i="118" s="1"/>
  <c r="J35" i="118"/>
  <c r="J36" i="118"/>
  <c r="J10" i="99"/>
  <c r="J5" i="98"/>
  <c r="J14" i="98"/>
  <c r="K14" i="98" s="1"/>
  <c r="J9" i="97"/>
  <c r="J15" i="97"/>
  <c r="J16" i="97"/>
  <c r="J4" i="96"/>
  <c r="J5" i="96"/>
  <c r="J13" i="96"/>
  <c r="J14" i="96"/>
  <c r="J8" i="95"/>
  <c r="J9" i="95"/>
  <c r="J11" i="95"/>
  <c r="M11" i="95" s="1"/>
  <c r="J15" i="95"/>
  <c r="J5" i="94"/>
  <c r="J9" i="94"/>
  <c r="J13" i="94"/>
  <c r="J14" i="94"/>
  <c r="J18" i="94"/>
  <c r="M18" i="94" s="1"/>
  <c r="J5" i="93"/>
  <c r="J6" i="93"/>
  <c r="J10" i="93"/>
  <c r="J14" i="93"/>
  <c r="J15" i="93"/>
  <c r="J3" i="92"/>
  <c r="J4" i="92"/>
  <c r="J8" i="92"/>
  <c r="M8" i="92" s="1"/>
  <c r="J12" i="92"/>
  <c r="J13" i="92"/>
  <c r="J17" i="92"/>
  <c r="J6" i="91"/>
  <c r="J10" i="91"/>
  <c r="J11" i="91"/>
  <c r="J15" i="91"/>
  <c r="J22" i="61"/>
  <c r="M22" i="61" s="1"/>
  <c r="J26" i="61"/>
  <c r="J23" i="125"/>
  <c r="J27" i="125"/>
  <c r="J28" i="125"/>
  <c r="J32" i="125"/>
  <c r="J36" i="125"/>
  <c r="J37" i="125"/>
  <c r="J25" i="124"/>
  <c r="J26" i="124"/>
  <c r="J30" i="124"/>
  <c r="J34" i="124"/>
  <c r="J35" i="124"/>
  <c r="K35" i="124" s="1"/>
  <c r="J23" i="123"/>
  <c r="J24" i="123"/>
  <c r="K24" i="123" s="1"/>
  <c r="J28" i="123"/>
  <c r="J32" i="123"/>
  <c r="J33" i="123"/>
  <c r="J37" i="123"/>
  <c r="J24" i="122"/>
  <c r="J25" i="122"/>
  <c r="J29" i="122"/>
  <c r="J33" i="122"/>
  <c r="J34" i="122"/>
  <c r="K34" i="122" s="1"/>
  <c r="J22" i="121"/>
  <c r="M22" i="121" s="1"/>
  <c r="J27" i="121"/>
  <c r="J31" i="121"/>
  <c r="J37" i="121"/>
  <c r="J24" i="120"/>
  <c r="J25" i="120"/>
  <c r="J36" i="120"/>
  <c r="J37" i="120"/>
  <c r="M37" i="120" s="1"/>
  <c r="J31" i="119"/>
  <c r="J32" i="119"/>
  <c r="J36" i="119"/>
  <c r="J26" i="118"/>
  <c r="J27" i="118"/>
  <c r="J31" i="118"/>
  <c r="M31" i="118" s="1"/>
  <c r="J37" i="118"/>
  <c r="J24" i="117"/>
  <c r="J33" i="118"/>
  <c r="J23" i="116"/>
  <c r="J30" i="116"/>
  <c r="J32" i="116"/>
  <c r="J27" i="115"/>
  <c r="J34" i="115"/>
  <c r="M34" i="115" s="1"/>
  <c r="J36" i="115"/>
  <c r="J26" i="114"/>
  <c r="J35" i="114"/>
  <c r="J37" i="114"/>
  <c r="J27" i="113"/>
  <c r="J29" i="113"/>
  <c r="J36" i="113"/>
  <c r="K36" i="113" s="1"/>
  <c r="J22" i="112"/>
  <c r="M22" i="112" s="1"/>
  <c r="J24" i="112"/>
  <c r="J31" i="112"/>
  <c r="J33" i="112"/>
  <c r="J23" i="111"/>
  <c r="J25" i="111"/>
  <c r="J32" i="111"/>
  <c r="J24" i="110"/>
  <c r="J26" i="110"/>
  <c r="J33" i="110"/>
  <c r="J35" i="110"/>
  <c r="J28" i="109"/>
  <c r="M28" i="109" s="1"/>
  <c r="J30" i="109"/>
  <c r="J37" i="109"/>
  <c r="M37" i="109" s="1"/>
  <c r="J29" i="108"/>
  <c r="J28" i="107"/>
  <c r="J29" i="107"/>
  <c r="J30" i="106"/>
  <c r="J34" i="121"/>
  <c r="J26" i="120"/>
  <c r="J35" i="120"/>
  <c r="M35" i="120" s="1"/>
  <c r="J30" i="119"/>
  <c r="J25" i="118"/>
  <c r="J34" i="118"/>
  <c r="J26" i="117"/>
  <c r="J28" i="117"/>
  <c r="K28" i="117" s="1"/>
  <c r="J29" i="117"/>
  <c r="J31" i="117"/>
  <c r="J32" i="117"/>
  <c r="J34" i="117"/>
  <c r="J26" i="116"/>
  <c r="J33" i="116"/>
  <c r="J28" i="115"/>
  <c r="J30" i="115"/>
  <c r="J37" i="115"/>
  <c r="J22" i="114"/>
  <c r="J29" i="114"/>
  <c r="J31" i="114"/>
  <c r="J23" i="113"/>
  <c r="J30" i="113"/>
  <c r="J32" i="113"/>
  <c r="J25" i="112"/>
  <c r="J27" i="112"/>
  <c r="J34" i="112"/>
  <c r="J36" i="112"/>
  <c r="J26" i="111"/>
  <c r="J28" i="111"/>
  <c r="J35" i="111"/>
  <c r="J37" i="111"/>
  <c r="J27" i="110"/>
  <c r="M27" i="110" s="1"/>
  <c r="J29" i="110"/>
  <c r="J36" i="110"/>
  <c r="J22" i="109"/>
  <c r="J24" i="109"/>
  <c r="J31" i="109"/>
  <c r="J33" i="109"/>
  <c r="J23" i="108"/>
  <c r="J33" i="108"/>
  <c r="J34" i="108"/>
  <c r="M34" i="108" s="1"/>
  <c r="J24" i="107"/>
  <c r="J37" i="107"/>
  <c r="J35" i="117"/>
  <c r="J37" i="117"/>
  <c r="J27" i="116"/>
  <c r="J29" i="116"/>
  <c r="J36" i="116"/>
  <c r="K36" i="116" s="1"/>
  <c r="N36" i="116" s="1"/>
  <c r="J22" i="115"/>
  <c r="J24" i="115"/>
  <c r="J31" i="115"/>
  <c r="J33" i="115"/>
  <c r="J23" i="114"/>
  <c r="J25" i="114"/>
  <c r="J32" i="114"/>
  <c r="K32" i="114" s="1"/>
  <c r="J34" i="114"/>
  <c r="M34" i="114" s="1"/>
  <c r="J24" i="113"/>
  <c r="K24" i="113" s="1"/>
  <c r="J26" i="113"/>
  <c r="J33" i="113"/>
  <c r="J35" i="113"/>
  <c r="J28" i="112"/>
  <c r="J30" i="112"/>
  <c r="J37" i="112"/>
  <c r="J22" i="111"/>
  <c r="M22" i="111" s="1"/>
  <c r="J29" i="111"/>
  <c r="M29" i="111" s="1"/>
  <c r="J31" i="111"/>
  <c r="J23" i="110"/>
  <c r="J30" i="110"/>
  <c r="J32" i="110"/>
  <c r="J25" i="109"/>
  <c r="J27" i="109"/>
  <c r="J34" i="109"/>
  <c r="K34" i="109" s="1"/>
  <c r="J36" i="109"/>
  <c r="J26" i="108"/>
  <c r="J33" i="107"/>
  <c r="J25" i="106"/>
  <c r="K25" i="106" s="1"/>
  <c r="J34" i="106"/>
  <c r="J35" i="106"/>
  <c r="K35" i="106" s="1"/>
  <c r="N35" i="106" s="1"/>
  <c r="J23" i="105"/>
  <c r="J24" i="105"/>
  <c r="J26" i="105"/>
  <c r="J31" i="105"/>
  <c r="J35" i="105"/>
  <c r="J28" i="104"/>
  <c r="M28" i="104" s="1"/>
  <c r="J29" i="104"/>
  <c r="J33" i="104"/>
  <c r="J22" i="103"/>
  <c r="J26" i="103"/>
  <c r="M26" i="103" s="1"/>
  <c r="J27" i="103"/>
  <c r="J31" i="103"/>
  <c r="J35" i="103"/>
  <c r="M35" i="103" s="1"/>
  <c r="J36" i="103"/>
  <c r="J23" i="102"/>
  <c r="J27" i="102"/>
  <c r="J28" i="102"/>
  <c r="J32" i="102"/>
  <c r="K32" i="102" s="1"/>
  <c r="J36" i="102"/>
  <c r="J37" i="102"/>
  <c r="K37" i="102" s="1"/>
  <c r="J25" i="101"/>
  <c r="J26" i="101"/>
  <c r="J30" i="101"/>
  <c r="J34" i="101"/>
  <c r="J35" i="101"/>
  <c r="J23" i="100"/>
  <c r="K23" i="100" s="1"/>
  <c r="J24" i="100"/>
  <c r="J28" i="100"/>
  <c r="J32" i="100"/>
  <c r="M32" i="100" s="1"/>
  <c r="J33" i="100"/>
  <c r="J27" i="99"/>
  <c r="J35" i="108"/>
  <c r="J30" i="107"/>
  <c r="K30" i="107" s="1"/>
  <c r="J28" i="106"/>
  <c r="J29" i="106"/>
  <c r="J37" i="106"/>
  <c r="J27" i="105"/>
  <c r="J28" i="105"/>
  <c r="J32" i="105"/>
  <c r="J36" i="105"/>
  <c r="J37" i="105"/>
  <c r="J25" i="104"/>
  <c r="J26" i="104"/>
  <c r="J30" i="104"/>
  <c r="J34" i="104"/>
  <c r="J35" i="104"/>
  <c r="J23" i="103"/>
  <c r="J24" i="103"/>
  <c r="J28" i="103"/>
  <c r="J32" i="103"/>
  <c r="J33" i="103"/>
  <c r="J37" i="103"/>
  <c r="K37" i="103" s="1"/>
  <c r="J24" i="102"/>
  <c r="J25" i="102"/>
  <c r="J29" i="102"/>
  <c r="J34" i="102"/>
  <c r="J22" i="101"/>
  <c r="J23" i="101"/>
  <c r="J27" i="101"/>
  <c r="K27" i="101" s="1"/>
  <c r="J31" i="101"/>
  <c r="M31" i="101" s="1"/>
  <c r="J32" i="101"/>
  <c r="J36" i="101"/>
  <c r="J25" i="100"/>
  <c r="J35" i="100"/>
  <c r="J36" i="100"/>
  <c r="J23" i="99"/>
  <c r="J29" i="99"/>
  <c r="J32" i="108"/>
  <c r="J27" i="107"/>
  <c r="M27" i="107" s="1"/>
  <c r="J36" i="107"/>
  <c r="J22" i="106"/>
  <c r="J23" i="106"/>
  <c r="M23" i="106" s="1"/>
  <c r="J31" i="106"/>
  <c r="J32" i="106"/>
  <c r="J25" i="105"/>
  <c r="J29" i="105"/>
  <c r="J33" i="105"/>
  <c r="J34" i="105"/>
  <c r="J22" i="104"/>
  <c r="J23" i="104"/>
  <c r="J31" i="104"/>
  <c r="J32" i="104"/>
  <c r="M32" i="104" s="1"/>
  <c r="J36" i="104"/>
  <c r="J29" i="103"/>
  <c r="J30" i="103"/>
  <c r="J34" i="103"/>
  <c r="J22" i="102"/>
  <c r="J26" i="102"/>
  <c r="M26" i="102" s="1"/>
  <c r="J30" i="102"/>
  <c r="J31" i="102"/>
  <c r="J35" i="102"/>
  <c r="K35" i="102" s="1"/>
  <c r="N35" i="102" s="1"/>
  <c r="J24" i="101"/>
  <c r="J28" i="101"/>
  <c r="J29" i="101"/>
  <c r="M29" i="101" s="1"/>
  <c r="J37" i="101"/>
  <c r="M37" i="101" s="1"/>
  <c r="J22" i="100"/>
  <c r="J26" i="100"/>
  <c r="K26" i="100" s="1"/>
  <c r="J27" i="100"/>
  <c r="J31" i="100"/>
  <c r="J25" i="99"/>
  <c r="J24" i="98"/>
  <c r="J26" i="98"/>
  <c r="J33" i="98"/>
  <c r="M33" i="98" s="1"/>
  <c r="J35" i="98"/>
  <c r="J37" i="97"/>
  <c r="J22" i="96"/>
  <c r="J29" i="96"/>
  <c r="J31" i="96"/>
  <c r="J34" i="95"/>
  <c r="M34" i="95" s="1"/>
  <c r="J35" i="95"/>
  <c r="J34" i="94"/>
  <c r="J30" i="93"/>
  <c r="J31" i="93"/>
  <c r="M31" i="93" s="1"/>
  <c r="J34" i="92"/>
  <c r="J35" i="92"/>
  <c r="M35" i="92" s="1"/>
  <c r="N35" i="92" s="1"/>
  <c r="J34" i="91"/>
  <c r="J34" i="100"/>
  <c r="J26" i="99"/>
  <c r="J31" i="99"/>
  <c r="J32" i="99"/>
  <c r="J34" i="99"/>
  <c r="M34" i="99" s="1"/>
  <c r="J35" i="99"/>
  <c r="J37" i="99"/>
  <c r="J27" i="98"/>
  <c r="K27" i="98" s="1"/>
  <c r="J29" i="98"/>
  <c r="K29" i="98" s="1"/>
  <c r="N29" i="98" s="1"/>
  <c r="J36" i="98"/>
  <c r="J22" i="97"/>
  <c r="J31" i="97"/>
  <c r="K31" i="97" s="1"/>
  <c r="J33" i="97"/>
  <c r="J23" i="96"/>
  <c r="J25" i="96"/>
  <c r="J30" i="95"/>
  <c r="J29" i="94"/>
  <c r="J30" i="94"/>
  <c r="J30" i="92"/>
  <c r="J29" i="91"/>
  <c r="J30" i="91"/>
  <c r="J35" i="91"/>
  <c r="K35" i="91" s="1"/>
  <c r="J23" i="98"/>
  <c r="J30" i="98"/>
  <c r="J32" i="98"/>
  <c r="J25" i="97"/>
  <c r="J27" i="97"/>
  <c r="J34" i="97"/>
  <c r="J36" i="97"/>
  <c r="M36" i="97" s="1"/>
  <c r="J28" i="96"/>
  <c r="J35" i="96"/>
  <c r="J25" i="95"/>
  <c r="J26" i="95"/>
  <c r="J25" i="94"/>
  <c r="J22" i="93"/>
  <c r="J35" i="93"/>
  <c r="J26" i="92"/>
  <c r="M26" i="92" s="1"/>
  <c r="J24" i="95"/>
  <c r="J33" i="95"/>
  <c r="J28" i="94"/>
  <c r="J37" i="94"/>
  <c r="J29" i="93"/>
  <c r="K29" i="93" s="1"/>
  <c r="J24" i="92"/>
  <c r="K24" i="92" s="1"/>
  <c r="J33" i="92"/>
  <c r="J37" i="91"/>
  <c r="M37" i="91" s="1"/>
  <c r="H22" i="126"/>
  <c r="H25" i="126"/>
  <c r="J32" i="96"/>
  <c r="M32" i="96" s="1"/>
  <c r="J27" i="95"/>
  <c r="J36" i="95"/>
  <c r="M36" i="95" s="1"/>
  <c r="J22" i="94"/>
  <c r="M22" i="94" s="1"/>
  <c r="J31" i="94"/>
  <c r="J23" i="93"/>
  <c r="J32" i="93"/>
  <c r="J27" i="92"/>
  <c r="J36" i="92"/>
  <c r="J22" i="91"/>
  <c r="J31" i="91"/>
  <c r="M43" i="127"/>
  <c r="G89" i="127"/>
  <c r="J89" i="127" s="1"/>
  <c r="J90" i="127" s="1"/>
  <c r="H100" i="127"/>
  <c r="K37" i="91"/>
  <c r="M35" i="93"/>
  <c r="M26" i="95"/>
  <c r="M34" i="97"/>
  <c r="M32" i="98"/>
  <c r="K32" i="98"/>
  <c r="M30" i="92"/>
  <c r="K30" i="92"/>
  <c r="N30" i="92" s="1"/>
  <c r="M29" i="98"/>
  <c r="M35" i="99"/>
  <c r="K35" i="99"/>
  <c r="M31" i="99"/>
  <c r="M35" i="95"/>
  <c r="M29" i="96"/>
  <c r="K25" i="99"/>
  <c r="M25" i="99"/>
  <c r="M31" i="100"/>
  <c r="K29" i="101"/>
  <c r="M35" i="102"/>
  <c r="K26" i="102"/>
  <c r="M30" i="103"/>
  <c r="K30" i="103"/>
  <c r="M34" i="105"/>
  <c r="K34" i="105"/>
  <c r="N34" i="105" s="1"/>
  <c r="K23" i="106"/>
  <c r="N23" i="106" s="1"/>
  <c r="K27" i="107"/>
  <c r="N27" i="107"/>
  <c r="K25" i="100"/>
  <c r="N25" i="100" s="1"/>
  <c r="M25" i="100"/>
  <c r="K31" i="101"/>
  <c r="N31" i="101" s="1"/>
  <c r="M22" i="101"/>
  <c r="K22" i="101"/>
  <c r="N22" i="101" s="1"/>
  <c r="O22" i="101" s="1"/>
  <c r="K29" i="102"/>
  <c r="N29" i="102" s="1"/>
  <c r="M29" i="102"/>
  <c r="M28" i="103"/>
  <c r="M35" i="104"/>
  <c r="K35" i="104"/>
  <c r="N35" i="104" s="1"/>
  <c r="M36" i="105"/>
  <c r="K36" i="105"/>
  <c r="M27" i="105"/>
  <c r="K27" i="105"/>
  <c r="K28" i="106"/>
  <c r="M28" i="106"/>
  <c r="K30" i="101"/>
  <c r="M30" i="101"/>
  <c r="M37" i="102"/>
  <c r="M28" i="102"/>
  <c r="K28" i="102"/>
  <c r="M36" i="103"/>
  <c r="M27" i="103"/>
  <c r="K27" i="103"/>
  <c r="N27" i="103" s="1"/>
  <c r="M24" i="105"/>
  <c r="M33" i="107"/>
  <c r="N33" i="107" s="1"/>
  <c r="K33" i="107"/>
  <c r="K25" i="109"/>
  <c r="N25" i="109" s="1"/>
  <c r="M25" i="109"/>
  <c r="M23" i="110"/>
  <c r="K23" i="110"/>
  <c r="N23" i="110"/>
  <c r="K22" i="111"/>
  <c r="N22" i="111" s="1"/>
  <c r="O22" i="111" s="1"/>
  <c r="O23" i="111" s="1"/>
  <c r="O24" i="111" s="1"/>
  <c r="O25" i="111" s="1"/>
  <c r="O26" i="111" s="1"/>
  <c r="M26" i="113"/>
  <c r="K26" i="113"/>
  <c r="N26" i="113" s="1"/>
  <c r="M32" i="114"/>
  <c r="M33" i="115"/>
  <c r="M37" i="107"/>
  <c r="K33" i="108"/>
  <c r="M33" i="108"/>
  <c r="M33" i="109"/>
  <c r="M22" i="109"/>
  <c r="M28" i="111"/>
  <c r="K28" i="111"/>
  <c r="N28" i="111" s="1"/>
  <c r="M32" i="113"/>
  <c r="K32" i="113"/>
  <c r="M31" i="114"/>
  <c r="K31" i="114"/>
  <c r="M26" i="117"/>
  <c r="K26" i="117"/>
  <c r="M25" i="118"/>
  <c r="M26" i="120"/>
  <c r="M29" i="107"/>
  <c r="K28" i="109"/>
  <c r="N28" i="109" s="1"/>
  <c r="M26" i="110"/>
  <c r="M33" i="112"/>
  <c r="K33" i="112"/>
  <c r="N33" i="112" s="1"/>
  <c r="K27" i="113"/>
  <c r="M27" i="113"/>
  <c r="N27" i="113" s="1"/>
  <c r="M33" i="118"/>
  <c r="M36" i="119"/>
  <c r="K36" i="119"/>
  <c r="K37" i="120"/>
  <c r="N37" i="120" s="1"/>
  <c r="K24" i="120"/>
  <c r="N24" i="120"/>
  <c r="M24" i="120"/>
  <c r="K27" i="121"/>
  <c r="N27" i="121" s="1"/>
  <c r="M27" i="121"/>
  <c r="M25" i="122"/>
  <c r="K25" i="122"/>
  <c r="M33" i="123"/>
  <c r="M24" i="123"/>
  <c r="N24" i="123" s="1"/>
  <c r="M34" i="124"/>
  <c r="K34" i="124"/>
  <c r="N34" i="124" s="1"/>
  <c r="K32" i="125"/>
  <c r="M32" i="125"/>
  <c r="N32" i="125" s="1"/>
  <c r="K23" i="125"/>
  <c r="N23" i="125"/>
  <c r="M23" i="125"/>
  <c r="K15" i="91"/>
  <c r="M15" i="91"/>
  <c r="M12" i="92"/>
  <c r="K12" i="92"/>
  <c r="M3" i="92"/>
  <c r="N3" i="92" s="1"/>
  <c r="O3" i="92" s="1"/>
  <c r="K3" i="92"/>
  <c r="M31" i="91"/>
  <c r="K31" i="91"/>
  <c r="M27" i="92"/>
  <c r="K27" i="92"/>
  <c r="M27" i="95"/>
  <c r="K27" i="95"/>
  <c r="N27" i="95" s="1"/>
  <c r="M37" i="94"/>
  <c r="M24" i="95"/>
  <c r="K24" i="95"/>
  <c r="N24" i="95" s="1"/>
  <c r="M25" i="94"/>
  <c r="M35" i="96"/>
  <c r="K35" i="96"/>
  <c r="N35" i="96" s="1"/>
  <c r="M25" i="97"/>
  <c r="K25" i="97"/>
  <c r="M29" i="91"/>
  <c r="N29" i="91" s="1"/>
  <c r="M23" i="93"/>
  <c r="K23" i="93"/>
  <c r="N23" i="93" s="1"/>
  <c r="K36" i="95"/>
  <c r="N36" i="95" s="1"/>
  <c r="M28" i="94"/>
  <c r="K28" i="94"/>
  <c r="M29" i="94"/>
  <c r="M34" i="91"/>
  <c r="K34" i="91"/>
  <c r="N34" i="91" s="1"/>
  <c r="M22" i="100"/>
  <c r="M23" i="100"/>
  <c r="N23" i="100" s="1"/>
  <c r="K27" i="116"/>
  <c r="N27" i="116" s="1"/>
  <c r="M27" i="116"/>
  <c r="M34" i="122"/>
  <c r="M24" i="101"/>
  <c r="M30" i="102"/>
  <c r="K30" i="102"/>
  <c r="N30" i="102" s="1"/>
  <c r="M22" i="104"/>
  <c r="K31" i="106"/>
  <c r="M31" i="106"/>
  <c r="M36" i="107"/>
  <c r="K36" i="107"/>
  <c r="M32" i="101"/>
  <c r="K32" i="101"/>
  <c r="M32" i="103"/>
  <c r="M23" i="103"/>
  <c r="K23" i="103"/>
  <c r="N23" i="103" s="1"/>
  <c r="O23" i="103" s="1"/>
  <c r="K30" i="104"/>
  <c r="N30" i="104" s="1"/>
  <c r="M30" i="104"/>
  <c r="M28" i="105"/>
  <c r="N28" i="105"/>
  <c r="K33" i="100"/>
  <c r="N33" i="100"/>
  <c r="M33" i="100"/>
  <c r="M24" i="100"/>
  <c r="K24" i="100"/>
  <c r="N24" i="100"/>
  <c r="M34" i="101"/>
  <c r="K34" i="101"/>
  <c r="K23" i="102"/>
  <c r="M23" i="102"/>
  <c r="M22" i="103"/>
  <c r="N22" i="103" s="1"/>
  <c r="O22" i="103" s="1"/>
  <c r="N25" i="106"/>
  <c r="M25" i="106"/>
  <c r="M22" i="91"/>
  <c r="K22" i="91"/>
  <c r="M32" i="93"/>
  <c r="K32" i="96"/>
  <c r="N32" i="96" s="1"/>
  <c r="M33" i="95"/>
  <c r="K33" i="95"/>
  <c r="N33" i="95" s="1"/>
  <c r="K26" i="92"/>
  <c r="K22" i="93"/>
  <c r="M22" i="93"/>
  <c r="N22" i="93" s="1"/>
  <c r="O22" i="93" s="1"/>
  <c r="M25" i="95"/>
  <c r="M27" i="97"/>
  <c r="M30" i="98"/>
  <c r="M33" i="97"/>
  <c r="K33" i="97"/>
  <c r="M22" i="97"/>
  <c r="K22" i="97"/>
  <c r="M27" i="98"/>
  <c r="K34" i="99"/>
  <c r="M26" i="99"/>
  <c r="K26" i="99"/>
  <c r="K35" i="92"/>
  <c r="M30" i="93"/>
  <c r="K34" i="95"/>
  <c r="N34" i="95" s="1"/>
  <c r="M22" i="96"/>
  <c r="K22" i="96"/>
  <c r="N22" i="96" s="1"/>
  <c r="O22" i="96" s="1"/>
  <c r="M27" i="100"/>
  <c r="K27" i="100"/>
  <c r="N27" i="100" s="1"/>
  <c r="K37" i="101"/>
  <c r="M28" i="101"/>
  <c r="M22" i="102"/>
  <c r="K22" i="102"/>
  <c r="M29" i="103"/>
  <c r="K29" i="103"/>
  <c r="M23" i="104"/>
  <c r="K23" i="104"/>
  <c r="M33" i="105"/>
  <c r="N33" i="105" s="1"/>
  <c r="K33" i="105"/>
  <c r="K22" i="106"/>
  <c r="M22" i="106"/>
  <c r="M32" i="108"/>
  <c r="K36" i="100"/>
  <c r="N36" i="100" s="1"/>
  <c r="M36" i="100"/>
  <c r="M36" i="101"/>
  <c r="M34" i="102"/>
  <c r="K34" i="102"/>
  <c r="M25" i="102"/>
  <c r="K25" i="102"/>
  <c r="M24" i="103"/>
  <c r="M34" i="104"/>
  <c r="K34" i="104"/>
  <c r="M25" i="104"/>
  <c r="K25" i="104"/>
  <c r="N25" i="104" s="1"/>
  <c r="K32" i="105"/>
  <c r="N32" i="105" s="1"/>
  <c r="M32" i="105"/>
  <c r="K37" i="106"/>
  <c r="N37" i="106"/>
  <c r="M37" i="106"/>
  <c r="M30" i="107"/>
  <c r="M27" i="99"/>
  <c r="K27" i="99"/>
  <c r="K28" i="100"/>
  <c r="N28" i="100" s="1"/>
  <c r="M28" i="100"/>
  <c r="M35" i="101"/>
  <c r="N35" i="101" s="1"/>
  <c r="K35" i="101"/>
  <c r="M26" i="101"/>
  <c r="K26" i="101"/>
  <c r="M36" i="102"/>
  <c r="M27" i="102"/>
  <c r="K27" i="102"/>
  <c r="N27" i="102" s="1"/>
  <c r="K35" i="103"/>
  <c r="K33" i="104"/>
  <c r="M33" i="104"/>
  <c r="K23" i="105"/>
  <c r="M23" i="105"/>
  <c r="M32" i="110"/>
  <c r="M31" i="111"/>
  <c r="N31" i="111" s="1"/>
  <c r="K31" i="111"/>
  <c r="K37" i="112"/>
  <c r="M37" i="112"/>
  <c r="M35" i="113"/>
  <c r="K35" i="113"/>
  <c r="M25" i="114"/>
  <c r="K25" i="114"/>
  <c r="K31" i="115"/>
  <c r="N31" i="115"/>
  <c r="M31" i="115"/>
  <c r="M36" i="116"/>
  <c r="M37" i="117"/>
  <c r="M24" i="107"/>
  <c r="K24" i="107"/>
  <c r="K31" i="109"/>
  <c r="M31" i="109"/>
  <c r="N31" i="109" s="1"/>
  <c r="M37" i="111"/>
  <c r="K26" i="111"/>
  <c r="M26" i="111"/>
  <c r="M30" i="113"/>
  <c r="K29" i="114"/>
  <c r="M29" i="114"/>
  <c r="M30" i="115"/>
  <c r="K30" i="115"/>
  <c r="N30" i="115" s="1"/>
  <c r="K33" i="116"/>
  <c r="N33" i="116" s="1"/>
  <c r="M33" i="116"/>
  <c r="M29" i="117"/>
  <c r="K29" i="117"/>
  <c r="M30" i="119"/>
  <c r="K30" i="119"/>
  <c r="M34" i="121"/>
  <c r="K34" i="121"/>
  <c r="K28" i="107"/>
  <c r="M28" i="107"/>
  <c r="K37" i="109"/>
  <c r="N37" i="109" s="1"/>
  <c r="M35" i="110"/>
  <c r="K35" i="110"/>
  <c r="K24" i="110"/>
  <c r="M24" i="110"/>
  <c r="M25" i="111"/>
  <c r="K25" i="111"/>
  <c r="N25" i="111"/>
  <c r="K31" i="112"/>
  <c r="N31" i="112" s="1"/>
  <c r="M31" i="112"/>
  <c r="M36" i="113"/>
  <c r="M37" i="114"/>
  <c r="K37" i="114"/>
  <c r="N37" i="114" s="1"/>
  <c r="K26" i="114"/>
  <c r="M26" i="114"/>
  <c r="K30" i="116"/>
  <c r="M30" i="116"/>
  <c r="K24" i="117"/>
  <c r="N24" i="117"/>
  <c r="M24" i="117"/>
  <c r="M27" i="118"/>
  <c r="K32" i="119"/>
  <c r="M32" i="119"/>
  <c r="M36" i="120"/>
  <c r="K36" i="120"/>
  <c r="M37" i="121"/>
  <c r="K37" i="121"/>
  <c r="N37" i="121" s="1"/>
  <c r="M23" i="121"/>
  <c r="M33" i="122"/>
  <c r="K33" i="122"/>
  <c r="M24" i="122"/>
  <c r="N24" i="122" s="1"/>
  <c r="K24" i="122"/>
  <c r="M32" i="123"/>
  <c r="K32" i="123"/>
  <c r="N32" i="123"/>
  <c r="M23" i="123"/>
  <c r="K23" i="123"/>
  <c r="M30" i="124"/>
  <c r="M37" i="125"/>
  <c r="K37" i="125"/>
  <c r="N37" i="125"/>
  <c r="M26" i="61"/>
  <c r="M11" i="91"/>
  <c r="K11" i="91"/>
  <c r="N11" i="91"/>
  <c r="K17" i="92"/>
  <c r="N17" i="92" s="1"/>
  <c r="M17" i="92"/>
  <c r="K8" i="92"/>
  <c r="N8" i="92" s="1"/>
  <c r="M15" i="93"/>
  <c r="K15" i="93"/>
  <c r="M6" i="93"/>
  <c r="M14" i="94"/>
  <c r="M5" i="94"/>
  <c r="M15" i="95"/>
  <c r="K15" i="95"/>
  <c r="M5" i="96"/>
  <c r="M5" i="98"/>
  <c r="M36" i="118"/>
  <c r="M23" i="118"/>
  <c r="M24" i="119"/>
  <c r="M29" i="120"/>
  <c r="K29" i="120"/>
  <c r="N29" i="120" s="1"/>
  <c r="M35" i="121"/>
  <c r="M37" i="122"/>
  <c r="M28" i="122"/>
  <c r="M36" i="123"/>
  <c r="K36" i="123"/>
  <c r="M27" i="123"/>
  <c r="K27" i="123"/>
  <c r="M37" i="124"/>
  <c r="K37" i="124"/>
  <c r="M28" i="124"/>
  <c r="K28" i="124"/>
  <c r="M31" i="125"/>
  <c r="K31" i="125"/>
  <c r="M22" i="125"/>
  <c r="K22" i="125"/>
  <c r="N22" i="125"/>
  <c r="O22" i="125" s="1"/>
  <c r="O23" i="125" s="1"/>
  <c r="K18" i="91"/>
  <c r="N18" i="91" s="1"/>
  <c r="M18" i="91"/>
  <c r="M9" i="91"/>
  <c r="M16" i="92"/>
  <c r="K16" i="92"/>
  <c r="N16" i="92" s="1"/>
  <c r="M17" i="93"/>
  <c r="K17" i="93"/>
  <c r="M8" i="93"/>
  <c r="M16" i="94"/>
  <c r="K16" i="94"/>
  <c r="N16" i="94" s="1"/>
  <c r="K5" i="95"/>
  <c r="N5" i="95" s="1"/>
  <c r="M5" i="95"/>
  <c r="M13" i="97"/>
  <c r="M28" i="118"/>
  <c r="K28" i="118"/>
  <c r="M33" i="119"/>
  <c r="M22" i="119"/>
  <c r="M27" i="120"/>
  <c r="K27" i="120"/>
  <c r="N27" i="120"/>
  <c r="M28" i="121"/>
  <c r="K28" i="121"/>
  <c r="M31" i="122"/>
  <c r="K31" i="122"/>
  <c r="N31" i="122" s="1"/>
  <c r="M29" i="123"/>
  <c r="K29" i="123"/>
  <c r="M32" i="124"/>
  <c r="K32" i="124"/>
  <c r="M23" i="124"/>
  <c r="K23" i="124"/>
  <c r="N23" i="124" s="1"/>
  <c r="K33" i="125"/>
  <c r="N33" i="125" s="1"/>
  <c r="M24" i="125"/>
  <c r="K24" i="125"/>
  <c r="K14" i="92"/>
  <c r="N14" i="92" s="1"/>
  <c r="M14" i="92"/>
  <c r="M5" i="92"/>
  <c r="M11" i="93"/>
  <c r="K6" i="94"/>
  <c r="M6" i="94"/>
  <c r="N6" i="94" s="1"/>
  <c r="M12" i="95"/>
  <c r="K12" i="95"/>
  <c r="K18" i="97"/>
  <c r="N18" i="97"/>
  <c r="M18" i="97"/>
  <c r="M11" i="98"/>
  <c r="K11" i="98"/>
  <c r="N11" i="98"/>
  <c r="M14" i="101"/>
  <c r="M10" i="101"/>
  <c r="K10" i="101"/>
  <c r="N10" i="101" s="1"/>
  <c r="M5" i="101"/>
  <c r="M12" i="103"/>
  <c r="K12" i="103"/>
  <c r="N12" i="103" s="1"/>
  <c r="M8" i="103"/>
  <c r="K8" i="103"/>
  <c r="N8" i="103" s="1"/>
  <c r="M3" i="103"/>
  <c r="N3" i="103" s="1"/>
  <c r="O3" i="103" s="1"/>
  <c r="K3" i="103"/>
  <c r="M15" i="105"/>
  <c r="K15" i="105"/>
  <c r="N15" i="105" s="1"/>
  <c r="M10" i="105"/>
  <c r="K10" i="105"/>
  <c r="M17" i="110"/>
  <c r="K17" i="110"/>
  <c r="M8" i="110"/>
  <c r="M4" i="110"/>
  <c r="M15" i="112"/>
  <c r="K15" i="112"/>
  <c r="M11" i="112"/>
  <c r="M6" i="112"/>
  <c r="K16" i="96"/>
  <c r="N16" i="96" s="1"/>
  <c r="M16" i="96"/>
  <c r="K10" i="97"/>
  <c r="N10" i="97" s="1"/>
  <c r="M10" i="97"/>
  <c r="M8" i="98"/>
  <c r="M13" i="99"/>
  <c r="M17" i="100"/>
  <c r="M12" i="100"/>
  <c r="K12" i="100"/>
  <c r="N12" i="100" s="1"/>
  <c r="K8" i="100"/>
  <c r="M15" i="102"/>
  <c r="N15" i="102" s="1"/>
  <c r="K15" i="102"/>
  <c r="M10" i="102"/>
  <c r="M6" i="102"/>
  <c r="K6" i="102"/>
  <c r="N6" i="102" s="1"/>
  <c r="M17" i="107"/>
  <c r="K17" i="107"/>
  <c r="M13" i="107"/>
  <c r="K13" i="107"/>
  <c r="M8" i="107"/>
  <c r="M4" i="107"/>
  <c r="K4" i="107"/>
  <c r="N4" i="107"/>
  <c r="O4" i="107" s="1"/>
  <c r="M15" i="109"/>
  <c r="M11" i="109"/>
  <c r="K11" i="109"/>
  <c r="K6" i="109"/>
  <c r="N6" i="109"/>
  <c r="M18" i="111"/>
  <c r="M13" i="111"/>
  <c r="K13" i="111"/>
  <c r="M9" i="111"/>
  <c r="K9" i="111"/>
  <c r="M4" i="111"/>
  <c r="K4" i="111"/>
  <c r="M10" i="114"/>
  <c r="K10" i="114"/>
  <c r="M6" i="97"/>
  <c r="K6" i="97"/>
  <c r="N6" i="97" s="1"/>
  <c r="K18" i="99"/>
  <c r="N18" i="99" s="1"/>
  <c r="M18" i="99"/>
  <c r="M14" i="104"/>
  <c r="K14" i="104"/>
  <c r="M10" i="104"/>
  <c r="K10" i="104"/>
  <c r="N10" i="104" s="1"/>
  <c r="M5" i="104"/>
  <c r="N5" i="104" s="1"/>
  <c r="K5" i="104"/>
  <c r="M17" i="106"/>
  <c r="M12" i="106"/>
  <c r="K12" i="106"/>
  <c r="M3" i="106"/>
  <c r="K3" i="106"/>
  <c r="M15" i="108"/>
  <c r="M10" i="108"/>
  <c r="N10" i="108" s="1"/>
  <c r="K10" i="108"/>
  <c r="M6" i="108"/>
  <c r="M17" i="113"/>
  <c r="K17" i="113"/>
  <c r="N17" i="113" s="1"/>
  <c r="M13" i="113"/>
  <c r="K3" i="61"/>
  <c r="M3" i="61"/>
  <c r="N30" i="121"/>
  <c r="N36" i="117"/>
  <c r="N25" i="116"/>
  <c r="N26" i="115"/>
  <c r="N23" i="112"/>
  <c r="N37" i="110"/>
  <c r="N29" i="109"/>
  <c r="N18" i="123"/>
  <c r="N16" i="125"/>
  <c r="N8" i="118"/>
  <c r="N11" i="116"/>
  <c r="N16" i="117"/>
  <c r="N18" i="113"/>
  <c r="N14" i="111"/>
  <c r="N15" i="110"/>
  <c r="N26" i="107"/>
  <c r="N27" i="106"/>
  <c r="N16" i="109"/>
  <c r="N15" i="104"/>
  <c r="N6" i="104"/>
  <c r="N10" i="106"/>
  <c r="N18" i="107"/>
  <c r="N9" i="107"/>
  <c r="N36" i="96"/>
  <c r="N28" i="95"/>
  <c r="N32" i="94"/>
  <c r="K10" i="93"/>
  <c r="M10" i="93"/>
  <c r="N10" i="93" s="1"/>
  <c r="K18" i="94"/>
  <c r="N18" i="94" s="1"/>
  <c r="K9" i="94"/>
  <c r="M9" i="94"/>
  <c r="M9" i="95"/>
  <c r="K9" i="95"/>
  <c r="N9" i="95" s="1"/>
  <c r="M13" i="96"/>
  <c r="M16" i="97"/>
  <c r="M14" i="98"/>
  <c r="K24" i="118"/>
  <c r="N24" i="118" s="1"/>
  <c r="K28" i="119"/>
  <c r="M28" i="119"/>
  <c r="K33" i="120"/>
  <c r="M33" i="120"/>
  <c r="K36" i="121"/>
  <c r="N36" i="121" s="1"/>
  <c r="M36" i="121"/>
  <c r="M25" i="121"/>
  <c r="K25" i="121"/>
  <c r="K32" i="122"/>
  <c r="M32" i="122"/>
  <c r="K23" i="122"/>
  <c r="M23" i="122"/>
  <c r="N23" i="122" s="1"/>
  <c r="K31" i="123"/>
  <c r="M31" i="123"/>
  <c r="M29" i="124"/>
  <c r="K29" i="124"/>
  <c r="M35" i="125"/>
  <c r="M24" i="61"/>
  <c r="K24" i="61"/>
  <c r="M13" i="91"/>
  <c r="N13" i="91" s="1"/>
  <c r="K13" i="91"/>
  <c r="M4" i="91"/>
  <c r="K4" i="91"/>
  <c r="K11" i="92"/>
  <c r="N11" i="92" s="1"/>
  <c r="M11" i="92"/>
  <c r="M18" i="93"/>
  <c r="M9" i="93"/>
  <c r="K9" i="93"/>
  <c r="M17" i="94"/>
  <c r="M8" i="94"/>
  <c r="K8" i="94"/>
  <c r="N8" i="94" s="1"/>
  <c r="K18" i="95"/>
  <c r="N18" i="95" s="1"/>
  <c r="M6" i="95"/>
  <c r="N6" i="95" s="1"/>
  <c r="K6" i="95"/>
  <c r="M10" i="96"/>
  <c r="K32" i="118"/>
  <c r="M32" i="118"/>
  <c r="K37" i="119"/>
  <c r="N37" i="119"/>
  <c r="M37" i="119"/>
  <c r="K23" i="119"/>
  <c r="N23" i="119" s="1"/>
  <c r="M23" i="119"/>
  <c r="K28" i="120"/>
  <c r="M28" i="120"/>
  <c r="K32" i="121"/>
  <c r="N32" i="121" s="1"/>
  <c r="M32" i="121"/>
  <c r="K35" i="122"/>
  <c r="N35" i="122" s="1"/>
  <c r="M35" i="122"/>
  <c r="M26" i="122"/>
  <c r="M30" i="123"/>
  <c r="K30" i="123"/>
  <c r="K36" i="124"/>
  <c r="M36" i="124"/>
  <c r="M34" i="125"/>
  <c r="K34" i="125"/>
  <c r="M25" i="125"/>
  <c r="M17" i="91"/>
  <c r="K17" i="91"/>
  <c r="M18" i="92"/>
  <c r="K18" i="92"/>
  <c r="N18" i="92" s="1"/>
  <c r="M9" i="92"/>
  <c r="K9" i="92"/>
  <c r="N9" i="92" s="1"/>
  <c r="M12" i="93"/>
  <c r="M3" i="93"/>
  <c r="N3" i="93" s="1"/>
  <c r="O3" i="93" s="1"/>
  <c r="K3" i="93"/>
  <c r="M10" i="94"/>
  <c r="K10" i="94"/>
  <c r="M13" i="95"/>
  <c r="K13" i="95"/>
  <c r="N13" i="95" s="1"/>
  <c r="M3" i="97"/>
  <c r="K3" i="97"/>
  <c r="M16" i="99"/>
  <c r="N16" i="99" s="1"/>
  <c r="K16" i="99"/>
  <c r="M16" i="101"/>
  <c r="M11" i="101"/>
  <c r="K11" i="101"/>
  <c r="M18" i="103"/>
  <c r="K18" i="103"/>
  <c r="N18" i="103" s="1"/>
  <c r="M5" i="103"/>
  <c r="K5" i="103"/>
  <c r="N5" i="103" s="1"/>
  <c r="M16" i="105"/>
  <c r="M12" i="105"/>
  <c r="M7" i="105"/>
  <c r="K7" i="105"/>
  <c r="N7" i="105" s="1"/>
  <c r="M3" i="105"/>
  <c r="N3" i="105" s="1"/>
  <c r="O3" i="105" s="1"/>
  <c r="M14" i="110"/>
  <c r="M10" i="110"/>
  <c r="M5" i="110"/>
  <c r="K5" i="110"/>
  <c r="K17" i="112"/>
  <c r="M12" i="112"/>
  <c r="K12" i="112"/>
  <c r="N12" i="112" s="1"/>
  <c r="M3" i="112"/>
  <c r="K3" i="112"/>
  <c r="K17" i="97"/>
  <c r="M17" i="97"/>
  <c r="M12" i="98"/>
  <c r="M17" i="99"/>
  <c r="K17" i="99"/>
  <c r="M18" i="100"/>
  <c r="K18" i="100"/>
  <c r="N18" i="100" s="1"/>
  <c r="M14" i="100"/>
  <c r="K14" i="100"/>
  <c r="M9" i="100"/>
  <c r="K9" i="100"/>
  <c r="M5" i="100"/>
  <c r="M16" i="102"/>
  <c r="K16" i="102"/>
  <c r="M12" i="102"/>
  <c r="M7" i="102"/>
  <c r="K7" i="102"/>
  <c r="N7" i="102" s="1"/>
  <c r="M3" i="102"/>
  <c r="K3" i="102"/>
  <c r="N3" i="102" s="1"/>
  <c r="O3" i="102" s="1"/>
  <c r="K14" i="107"/>
  <c r="N14" i="107" s="1"/>
  <c r="M10" i="107"/>
  <c r="K10" i="107"/>
  <c r="M5" i="107"/>
  <c r="K5" i="107"/>
  <c r="M17" i="109"/>
  <c r="K17" i="109"/>
  <c r="M12" i="109"/>
  <c r="K12" i="109"/>
  <c r="N12" i="109" s="1"/>
  <c r="M8" i="109"/>
  <c r="K8" i="109"/>
  <c r="M3" i="109"/>
  <c r="M15" i="111"/>
  <c r="K15" i="111"/>
  <c r="M10" i="111"/>
  <c r="K10" i="111"/>
  <c r="N10" i="111" s="1"/>
  <c r="M6" i="111"/>
  <c r="M5" i="113"/>
  <c r="K5" i="113"/>
  <c r="N5" i="113"/>
  <c r="M8" i="96"/>
  <c r="K8" i="96"/>
  <c r="N8" i="96" s="1"/>
  <c r="K13" i="98"/>
  <c r="N13" i="98" s="1"/>
  <c r="M13" i="98"/>
  <c r="M11" i="104"/>
  <c r="K11" i="104"/>
  <c r="M7" i="104"/>
  <c r="M18" i="106"/>
  <c r="K18" i="106"/>
  <c r="N18" i="106" s="1"/>
  <c r="M14" i="106"/>
  <c r="K14" i="106"/>
  <c r="N14" i="106"/>
  <c r="M9" i="106"/>
  <c r="N9" i="106" s="1"/>
  <c r="K9" i="106"/>
  <c r="M5" i="106"/>
  <c r="M16" i="108"/>
  <c r="K16" i="108"/>
  <c r="M7" i="108"/>
  <c r="K7" i="108"/>
  <c r="N7" i="108" s="1"/>
  <c r="M14" i="113"/>
  <c r="K14" i="113"/>
  <c r="N14" i="113" s="1"/>
  <c r="K7" i="61"/>
  <c r="N7" i="61" s="1"/>
  <c r="M7" i="61"/>
  <c r="K4" i="61"/>
  <c r="M4" i="61"/>
  <c r="K30" i="94"/>
  <c r="N30" i="94" s="1"/>
  <c r="M30" i="94"/>
  <c r="M25" i="96"/>
  <c r="K25" i="96"/>
  <c r="M36" i="98"/>
  <c r="N36" i="98" s="1"/>
  <c r="K36" i="98"/>
  <c r="M37" i="99"/>
  <c r="K37" i="99"/>
  <c r="M32" i="99"/>
  <c r="K32" i="99"/>
  <c r="M34" i="100"/>
  <c r="K34" i="100"/>
  <c r="M34" i="92"/>
  <c r="K34" i="92"/>
  <c r="M34" i="94"/>
  <c r="M31" i="96"/>
  <c r="K31" i="96"/>
  <c r="N31" i="96" s="1"/>
  <c r="M37" i="97"/>
  <c r="M35" i="98"/>
  <c r="K35" i="98"/>
  <c r="M24" i="98"/>
  <c r="K24" i="98"/>
  <c r="N24" i="98" s="1"/>
  <c r="M26" i="100"/>
  <c r="M33" i="101"/>
  <c r="K34" i="103"/>
  <c r="N34" i="103"/>
  <c r="M34" i="103"/>
  <c r="M29" i="105"/>
  <c r="M35" i="100"/>
  <c r="K35" i="100"/>
  <c r="N35" i="100" s="1"/>
  <c r="M24" i="102"/>
  <c r="N24" i="102" s="1"/>
  <c r="K24" i="102"/>
  <c r="M37" i="105"/>
  <c r="M35" i="108"/>
  <c r="K35" i="108"/>
  <c r="N35" i="108" s="1"/>
  <c r="M25" i="101"/>
  <c r="K25" i="101"/>
  <c r="K31" i="103"/>
  <c r="N31" i="103"/>
  <c r="M31" i="103"/>
  <c r="M29" i="104"/>
  <c r="K29" i="104"/>
  <c r="K35" i="105"/>
  <c r="N35" i="105"/>
  <c r="M35" i="105"/>
  <c r="K26" i="105"/>
  <c r="M26" i="105"/>
  <c r="M35" i="106"/>
  <c r="M26" i="108"/>
  <c r="M27" i="109"/>
  <c r="K27" i="109"/>
  <c r="K30" i="110"/>
  <c r="M30" i="110"/>
  <c r="N30" i="110" s="1"/>
  <c r="M30" i="112"/>
  <c r="K30" i="112"/>
  <c r="K33" i="113"/>
  <c r="M33" i="113"/>
  <c r="N33" i="113" s="1"/>
  <c r="K23" i="114"/>
  <c r="N23" i="114" s="1"/>
  <c r="M23" i="114"/>
  <c r="M24" i="115"/>
  <c r="K24" i="115"/>
  <c r="N24" i="115" s="1"/>
  <c r="M29" i="116"/>
  <c r="K35" i="117"/>
  <c r="M35" i="117"/>
  <c r="M23" i="108"/>
  <c r="N23" i="108" s="1"/>
  <c r="M24" i="109"/>
  <c r="K35" i="111"/>
  <c r="N35" i="111" s="1"/>
  <c r="M35" i="111"/>
  <c r="M36" i="112"/>
  <c r="K36" i="112"/>
  <c r="N36" i="112" s="1"/>
  <c r="M25" i="112"/>
  <c r="M23" i="113"/>
  <c r="K23" i="113"/>
  <c r="K28" i="115"/>
  <c r="M28" i="115"/>
  <c r="N28" i="115" s="1"/>
  <c r="M26" i="116"/>
  <c r="K26" i="116"/>
  <c r="N26" i="116" s="1"/>
  <c r="M32" i="117"/>
  <c r="K32" i="117"/>
  <c r="M34" i="118"/>
  <c r="K34" i="118"/>
  <c r="K35" i="120"/>
  <c r="K30" i="106"/>
  <c r="M30" i="106"/>
  <c r="K29" i="108"/>
  <c r="N29" i="108" s="1"/>
  <c r="M29" i="108"/>
  <c r="M30" i="109"/>
  <c r="K33" i="110"/>
  <c r="M33" i="110"/>
  <c r="K23" i="111"/>
  <c r="N23" i="111" s="1"/>
  <c r="M23" i="111"/>
  <c r="M24" i="112"/>
  <c r="K24" i="112"/>
  <c r="N24" i="112"/>
  <c r="M29" i="113"/>
  <c r="K29" i="113"/>
  <c r="K35" i="114"/>
  <c r="N35" i="114" s="1"/>
  <c r="M35" i="114"/>
  <c r="M36" i="115"/>
  <c r="K36" i="115"/>
  <c r="N36" i="115" s="1"/>
  <c r="M23" i="116"/>
  <c r="M37" i="118"/>
  <c r="K37" i="118"/>
  <c r="M26" i="118"/>
  <c r="K26" i="118"/>
  <c r="M31" i="119"/>
  <c r="K25" i="120"/>
  <c r="M25" i="120"/>
  <c r="N25" i="120" s="1"/>
  <c r="M31" i="121"/>
  <c r="N31" i="121" s="1"/>
  <c r="K31" i="121"/>
  <c r="M29" i="122"/>
  <c r="K37" i="123"/>
  <c r="N37" i="123" s="1"/>
  <c r="M37" i="123"/>
  <c r="K28" i="123"/>
  <c r="M28" i="123"/>
  <c r="M35" i="124"/>
  <c r="N35" i="124" s="1"/>
  <c r="M26" i="124"/>
  <c r="M36" i="125"/>
  <c r="N36" i="125" s="1"/>
  <c r="K36" i="125"/>
  <c r="M27" i="125"/>
  <c r="K27" i="125"/>
  <c r="K22" i="61"/>
  <c r="N22" i="61" s="1"/>
  <c r="O22" i="61" s="1"/>
  <c r="M10" i="91"/>
  <c r="K10" i="91"/>
  <c r="M13" i="92"/>
  <c r="M4" i="92"/>
  <c r="K4" i="92"/>
  <c r="M14" i="93"/>
  <c r="K14" i="93"/>
  <c r="M5" i="93"/>
  <c r="K5" i="93"/>
  <c r="M13" i="94"/>
  <c r="K13" i="94"/>
  <c r="N13" i="94" s="1"/>
  <c r="M14" i="96"/>
  <c r="K4" i="96"/>
  <c r="M4" i="96"/>
  <c r="M9" i="97"/>
  <c r="M10" i="99"/>
  <c r="K10" i="99"/>
  <c r="M35" i="118"/>
  <c r="K35" i="118"/>
  <c r="K34" i="120"/>
  <c r="M34" i="120"/>
  <c r="N34" i="120" s="1"/>
  <c r="M23" i="120"/>
  <c r="K23" i="120"/>
  <c r="N23" i="120" s="1"/>
  <c r="M26" i="121"/>
  <c r="K26" i="121"/>
  <c r="N26" i="121"/>
  <c r="M36" i="122"/>
  <c r="K36" i="122"/>
  <c r="M27" i="122"/>
  <c r="K27" i="122"/>
  <c r="N27" i="122" s="1"/>
  <c r="M35" i="123"/>
  <c r="K35" i="123"/>
  <c r="M26" i="123"/>
  <c r="K33" i="124"/>
  <c r="M33" i="124"/>
  <c r="K24" i="124"/>
  <c r="N24" i="124" s="1"/>
  <c r="M24" i="124"/>
  <c r="M30" i="125"/>
  <c r="N30" i="125" s="1"/>
  <c r="M25" i="61"/>
  <c r="M5" i="91"/>
  <c r="K5" i="91"/>
  <c r="M15" i="92"/>
  <c r="M6" i="92"/>
  <c r="M13" i="93"/>
  <c r="M4" i="93"/>
  <c r="M12" i="94"/>
  <c r="K3" i="94"/>
  <c r="N3" i="94" s="1"/>
  <c r="O3" i="94" s="1"/>
  <c r="M3" i="94"/>
  <c r="K10" i="95"/>
  <c r="M10" i="95"/>
  <c r="M11" i="96"/>
  <c r="K11" i="96"/>
  <c r="M12" i="97"/>
  <c r="M22" i="118"/>
  <c r="N22" i="118" s="1"/>
  <c r="O22" i="118" s="1"/>
  <c r="K22" i="118"/>
  <c r="M27" i="119"/>
  <c r="K27" i="119"/>
  <c r="N27" i="119" s="1"/>
  <c r="K33" i="121"/>
  <c r="M33" i="121"/>
  <c r="M24" i="121"/>
  <c r="M30" i="122"/>
  <c r="K30" i="122"/>
  <c r="M34" i="123"/>
  <c r="K25" i="123"/>
  <c r="N25" i="123" s="1"/>
  <c r="M25" i="123"/>
  <c r="M31" i="124"/>
  <c r="N31" i="124" s="1"/>
  <c r="K31" i="124"/>
  <c r="M22" i="124"/>
  <c r="M29" i="125"/>
  <c r="N29" i="125" s="1"/>
  <c r="M23" i="61"/>
  <c r="K12" i="91"/>
  <c r="N12" i="91"/>
  <c r="M12" i="91"/>
  <c r="K3" i="91"/>
  <c r="M3" i="91"/>
  <c r="K16" i="93"/>
  <c r="N16" i="93" s="1"/>
  <c r="M16" i="93"/>
  <c r="K7" i="93"/>
  <c r="N7" i="93" s="1"/>
  <c r="M7" i="93"/>
  <c r="M11" i="94"/>
  <c r="K11" i="94"/>
  <c r="K17" i="95"/>
  <c r="M17" i="95"/>
  <c r="M17" i="96"/>
  <c r="K17" i="96"/>
  <c r="M7" i="97"/>
  <c r="K7" i="97"/>
  <c r="M3" i="98"/>
  <c r="K3" i="98"/>
  <c r="M17" i="101"/>
  <c r="K17" i="101"/>
  <c r="N17" i="101" s="1"/>
  <c r="M13" i="101"/>
  <c r="N13" i="101" s="1"/>
  <c r="K13" i="101"/>
  <c r="M4" i="101"/>
  <c r="K4" i="101"/>
  <c r="N4" i="101" s="1"/>
  <c r="M15" i="103"/>
  <c r="K15" i="103"/>
  <c r="M11" i="103"/>
  <c r="M6" i="103"/>
  <c r="K6" i="103"/>
  <c r="N6" i="103"/>
  <c r="M18" i="105"/>
  <c r="K18" i="105"/>
  <c r="N18" i="105" s="1"/>
  <c r="M13" i="105"/>
  <c r="K13" i="105"/>
  <c r="M9" i="105"/>
  <c r="K9" i="105"/>
  <c r="M4" i="105"/>
  <c r="K4" i="105"/>
  <c r="N4" i="105" s="1"/>
  <c r="O4" i="105" s="1"/>
  <c r="K16" i="110"/>
  <c r="M11" i="110"/>
  <c r="K11" i="110"/>
  <c r="N11" i="110" s="1"/>
  <c r="M7" i="110"/>
  <c r="K7" i="110"/>
  <c r="M18" i="112"/>
  <c r="N18" i="112" s="1"/>
  <c r="K18" i="112"/>
  <c r="M14" i="112"/>
  <c r="K14" i="112"/>
  <c r="N14" i="112" s="1"/>
  <c r="M9" i="112"/>
  <c r="N9" i="112" s="1"/>
  <c r="K9" i="112"/>
  <c r="K5" i="112"/>
  <c r="M6" i="96"/>
  <c r="M8" i="97"/>
  <c r="K9" i="99"/>
  <c r="M9" i="99"/>
  <c r="M15" i="100"/>
  <c r="K15" i="100"/>
  <c r="M11" i="100"/>
  <c r="K11" i="100"/>
  <c r="M6" i="100"/>
  <c r="M18" i="102"/>
  <c r="M13" i="102"/>
  <c r="M9" i="102"/>
  <c r="K9" i="102"/>
  <c r="N9" i="102" s="1"/>
  <c r="M4" i="102"/>
  <c r="M16" i="107"/>
  <c r="K16" i="107"/>
  <c r="M11" i="107"/>
  <c r="K11" i="107"/>
  <c r="N11" i="107" s="1"/>
  <c r="M7" i="107"/>
  <c r="N7" i="107" s="1"/>
  <c r="M18" i="109"/>
  <c r="K18" i="109"/>
  <c r="M14" i="109"/>
  <c r="K14" i="109"/>
  <c r="M9" i="109"/>
  <c r="K9" i="109"/>
  <c r="N9" i="109" s="1"/>
  <c r="M5" i="109"/>
  <c r="K5" i="109"/>
  <c r="M16" i="111"/>
  <c r="K16" i="111"/>
  <c r="N16" i="111" s="1"/>
  <c r="M12" i="111"/>
  <c r="K12" i="111"/>
  <c r="M7" i="111"/>
  <c r="N7" i="111" s="1"/>
  <c r="K7" i="111"/>
  <c r="M3" i="111"/>
  <c r="K3" i="111"/>
  <c r="N3" i="111" s="1"/>
  <c r="O3" i="111" s="1"/>
  <c r="O4" i="111" s="1"/>
  <c r="O5" i="111" s="1"/>
  <c r="M18" i="115"/>
  <c r="M17" i="98"/>
  <c r="N17" i="98"/>
  <c r="M7" i="99"/>
  <c r="N7" i="99" s="1"/>
  <c r="K7" i="99"/>
  <c r="M17" i="104"/>
  <c r="K17" i="104"/>
  <c r="M4" i="104"/>
  <c r="M15" i="106"/>
  <c r="M11" i="106"/>
  <c r="M6" i="106"/>
  <c r="N6" i="106" s="1"/>
  <c r="K6" i="106"/>
  <c r="M18" i="108"/>
  <c r="K18" i="108"/>
  <c r="M13" i="108"/>
  <c r="N13" i="108" s="1"/>
  <c r="K13" i="108"/>
  <c r="M9" i="108"/>
  <c r="K9" i="108"/>
  <c r="M4" i="108"/>
  <c r="K4" i="108"/>
  <c r="N4" i="108"/>
  <c r="K16" i="113"/>
  <c r="A90" i="1"/>
  <c r="B89" i="1"/>
  <c r="M5" i="61"/>
  <c r="K5" i="61"/>
  <c r="N5" i="61" s="1"/>
  <c r="N29" i="121"/>
  <c r="N37" i="116"/>
  <c r="N23" i="115"/>
  <c r="N32" i="115"/>
  <c r="N36" i="114"/>
  <c r="N29" i="112"/>
  <c r="N24" i="111"/>
  <c r="N24" i="108"/>
  <c r="N31" i="95"/>
  <c r="N28" i="61"/>
  <c r="D89" i="1"/>
  <c r="F89" i="1" s="1"/>
  <c r="G89" i="1"/>
  <c r="C89" i="1"/>
  <c r="N5" i="109"/>
  <c r="N3" i="98"/>
  <c r="O3" i="98" s="1"/>
  <c r="N35" i="118"/>
  <c r="N14" i="93"/>
  <c r="N10" i="91"/>
  <c r="N35" i="120"/>
  <c r="N32" i="117"/>
  <c r="N30" i="112"/>
  <c r="N27" i="109"/>
  <c r="N26" i="100"/>
  <c r="N35" i="98"/>
  <c r="N34" i="94"/>
  <c r="N5" i="106"/>
  <c r="N17" i="109"/>
  <c r="N9" i="100"/>
  <c r="N17" i="99"/>
  <c r="N3" i="112"/>
  <c r="O3" i="112" s="1"/>
  <c r="N17" i="112"/>
  <c r="N12" i="105"/>
  <c r="N34" i="125"/>
  <c r="N30" i="123"/>
  <c r="N24" i="61"/>
  <c r="N29" i="124"/>
  <c r="N15" i="108"/>
  <c r="N12" i="106"/>
  <c r="N10" i="114"/>
  <c r="N13" i="111"/>
  <c r="N11" i="109"/>
  <c r="N24" i="125"/>
  <c r="N32" i="124"/>
  <c r="N22" i="119"/>
  <c r="O22" i="119" s="1"/>
  <c r="N17" i="93"/>
  <c r="N31" i="125"/>
  <c r="N27" i="123"/>
  <c r="N37" i="111"/>
  <c r="N36" i="102"/>
  <c r="N34" i="104"/>
  <c r="N25" i="102"/>
  <c r="N23" i="104"/>
  <c r="O23" i="104" s="1"/>
  <c r="N22" i="102"/>
  <c r="O22" i="102" s="1"/>
  <c r="N37" i="101"/>
  <c r="N26" i="99"/>
  <c r="N22" i="97"/>
  <c r="O22" i="97" s="1"/>
  <c r="N27" i="97"/>
  <c r="N22" i="104"/>
  <c r="O22" i="104" s="1"/>
  <c r="N34" i="122"/>
  <c r="N25" i="97"/>
  <c r="N33" i="123"/>
  <c r="N26" i="117"/>
  <c r="N32" i="113"/>
  <c r="N25" i="99"/>
  <c r="N31" i="99"/>
  <c r="B90" i="1"/>
  <c r="A91" i="1"/>
  <c r="N9" i="108"/>
  <c r="N17" i="104"/>
  <c r="N18" i="109"/>
  <c r="N16" i="107"/>
  <c r="N5" i="112"/>
  <c r="N18" i="115"/>
  <c r="N12" i="111"/>
  <c r="N15" i="100"/>
  <c r="N9" i="99"/>
  <c r="N7" i="110"/>
  <c r="N7" i="97"/>
  <c r="N11" i="94"/>
  <c r="N3" i="91"/>
  <c r="O3" i="91"/>
  <c r="N30" i="122"/>
  <c r="N5" i="91"/>
  <c r="N36" i="122"/>
  <c r="N4" i="92"/>
  <c r="O4" i="92" s="1"/>
  <c r="N29" i="122"/>
  <c r="N26" i="118"/>
  <c r="N33" i="110"/>
  <c r="N30" i="106"/>
  <c r="N34" i="118"/>
  <c r="N23" i="113"/>
  <c r="N25" i="112"/>
  <c r="N25" i="101"/>
  <c r="N34" i="92"/>
  <c r="N37" i="99"/>
  <c r="N4" i="61"/>
  <c r="N7" i="104"/>
  <c r="N8" i="109"/>
  <c r="N5" i="107"/>
  <c r="N16" i="102"/>
  <c r="N14" i="100"/>
  <c r="N17" i="97"/>
  <c r="N5" i="110"/>
  <c r="N16" i="105"/>
  <c r="N11" i="101"/>
  <c r="N3" i="97"/>
  <c r="O3" i="97" s="1"/>
  <c r="N10" i="94"/>
  <c r="N17" i="91"/>
  <c r="N36" i="124"/>
  <c r="N9" i="93"/>
  <c r="N4" i="91"/>
  <c r="O4" i="91" s="1"/>
  <c r="N31" i="123"/>
  <c r="N28" i="119"/>
  <c r="N3" i="106"/>
  <c r="O3" i="106" s="1"/>
  <c r="N14" i="104"/>
  <c r="N4" i="111"/>
  <c r="N15" i="109"/>
  <c r="N13" i="107"/>
  <c r="N10" i="102"/>
  <c r="N8" i="100"/>
  <c r="N15" i="112"/>
  <c r="N10" i="105"/>
  <c r="N12" i="95"/>
  <c r="N29" i="123"/>
  <c r="N28" i="121"/>
  <c r="N33" i="119"/>
  <c r="N28" i="124"/>
  <c r="N36" i="123"/>
  <c r="N36" i="118"/>
  <c r="N15" i="95"/>
  <c r="N23" i="123"/>
  <c r="N33" i="122"/>
  <c r="N36" i="120"/>
  <c r="N32" i="119"/>
  <c r="N30" i="116"/>
  <c r="N35" i="110"/>
  <c r="N34" i="121"/>
  <c r="N29" i="117"/>
  <c r="N29" i="114"/>
  <c r="N26" i="111"/>
  <c r="N24" i="107"/>
  <c r="N35" i="113"/>
  <c r="N37" i="112"/>
  <c r="N23" i="105"/>
  <c r="N35" i="103"/>
  <c r="N27" i="99"/>
  <c r="N34" i="102"/>
  <c r="N30" i="93"/>
  <c r="N34" i="99"/>
  <c r="N33" i="97"/>
  <c r="N23" i="102"/>
  <c r="O23" i="102"/>
  <c r="O24" i="102" s="1"/>
  <c r="O25" i="102" s="1"/>
  <c r="O26" i="102" s="1"/>
  <c r="O27" i="102" s="1"/>
  <c r="O28" i="102" s="1"/>
  <c r="O29" i="102" s="1"/>
  <c r="O30" i="102" s="1"/>
  <c r="N34" i="101"/>
  <c r="N36" i="107"/>
  <c r="N31" i="106"/>
  <c r="N27" i="92"/>
  <c r="N12" i="92"/>
  <c r="N25" i="122"/>
  <c r="N24" i="105"/>
  <c r="N28" i="102"/>
  <c r="N27" i="105"/>
  <c r="O23" i="93"/>
  <c r="N30" i="101"/>
  <c r="N28" i="106"/>
  <c r="N30" i="103"/>
  <c r="N26" i="102"/>
  <c r="N29" i="101"/>
  <c r="N33" i="98"/>
  <c r="N35" i="99"/>
  <c r="N32" i="98"/>
  <c r="B91" i="1"/>
  <c r="A92" i="1"/>
  <c r="E89" i="1"/>
  <c r="O5" i="91"/>
  <c r="O24" i="125"/>
  <c r="H89" i="1"/>
  <c r="I89" i="1" s="1"/>
  <c r="J89" i="1"/>
  <c r="K89" i="1"/>
  <c r="A93" i="1"/>
  <c r="B93" i="1" s="1"/>
  <c r="B92" i="1"/>
  <c r="D92" i="1" s="1"/>
  <c r="C91" i="1"/>
  <c r="D91" i="1"/>
  <c r="E91" i="1" s="1"/>
  <c r="E92" i="1" l="1"/>
  <c r="F92" i="1"/>
  <c r="O25" i="120"/>
  <c r="K31" i="105"/>
  <c r="M31" i="105"/>
  <c r="M36" i="110"/>
  <c r="K36" i="110"/>
  <c r="M31" i="117"/>
  <c r="M26" i="96"/>
  <c r="K26" i="96"/>
  <c r="M22" i="92"/>
  <c r="K22" i="92"/>
  <c r="N22" i="92" s="1"/>
  <c r="O22" i="92" s="1"/>
  <c r="O23" i="92" s="1"/>
  <c r="M28" i="91"/>
  <c r="K28" i="91"/>
  <c r="M29" i="99"/>
  <c r="K29" i="99"/>
  <c r="M29" i="106"/>
  <c r="K29" i="106"/>
  <c r="N29" i="106" s="1"/>
  <c r="M36" i="109"/>
  <c r="M29" i="110"/>
  <c r="K29" i="110"/>
  <c r="N29" i="110" s="1"/>
  <c r="M14" i="121"/>
  <c r="K3" i="117"/>
  <c r="M3" i="117"/>
  <c r="N3" i="117" s="1"/>
  <c r="O3" i="117" s="1"/>
  <c r="M23" i="117"/>
  <c r="K23" i="117"/>
  <c r="N17" i="95"/>
  <c r="N28" i="123"/>
  <c r="N33" i="104"/>
  <c r="N33" i="108"/>
  <c r="N8" i="97"/>
  <c r="D93" i="1"/>
  <c r="G93" i="1"/>
  <c r="O7" i="97"/>
  <c r="O8" i="97" s="1"/>
  <c r="O9" i="97" s="1"/>
  <c r="O10" i="97" s="1"/>
  <c r="O11" i="97" s="1"/>
  <c r="O12" i="97" s="1"/>
  <c r="O13" i="97" s="1"/>
  <c r="N13" i="105"/>
  <c r="N15" i="103"/>
  <c r="N33" i="121"/>
  <c r="N27" i="125"/>
  <c r="N30" i="119"/>
  <c r="M22" i="108"/>
  <c r="K31" i="94"/>
  <c r="N31" i="94" s="1"/>
  <c r="M31" i="94"/>
  <c r="J7" i="95"/>
  <c r="I7" i="95"/>
  <c r="I14" i="95"/>
  <c r="J14" i="95"/>
  <c r="M9" i="96"/>
  <c r="K9" i="96"/>
  <c r="N9" i="96" s="1"/>
  <c r="M9" i="98"/>
  <c r="K9" i="98"/>
  <c r="N9" i="98" s="1"/>
  <c r="K6" i="99"/>
  <c r="M6" i="99"/>
  <c r="M11" i="102"/>
  <c r="K11" i="102"/>
  <c r="N11" i="102" s="1"/>
  <c r="M9" i="101"/>
  <c r="K9" i="101"/>
  <c r="N9" i="101" s="1"/>
  <c r="M34" i="112"/>
  <c r="K34" i="112"/>
  <c r="M32" i="97"/>
  <c r="K32" i="97"/>
  <c r="N32" i="97" s="1"/>
  <c r="M25" i="92"/>
  <c r="K25" i="92"/>
  <c r="M32" i="91"/>
  <c r="K32" i="91"/>
  <c r="N32" i="91" s="1"/>
  <c r="K36" i="104"/>
  <c r="M36" i="104"/>
  <c r="M26" i="104"/>
  <c r="K26" i="104"/>
  <c r="N26" i="104" s="1"/>
  <c r="M27" i="112"/>
  <c r="K27" i="112"/>
  <c r="N27" i="112" s="1"/>
  <c r="K6" i="115"/>
  <c r="M6" i="115"/>
  <c r="K25" i="115"/>
  <c r="M25" i="115"/>
  <c r="N22" i="108"/>
  <c r="O22" i="108" s="1"/>
  <c r="O23" i="108" s="1"/>
  <c r="O24" i="108" s="1"/>
  <c r="F91" i="1"/>
  <c r="N16" i="113"/>
  <c r="O23" i="122"/>
  <c r="O24" i="122" s="1"/>
  <c r="O25" i="122" s="1"/>
  <c r="O26" i="122" s="1"/>
  <c r="O27" i="122" s="1"/>
  <c r="O28" i="122" s="1"/>
  <c r="O29" i="122" s="1"/>
  <c r="O30" i="122" s="1"/>
  <c r="O31" i="122" s="1"/>
  <c r="O32" i="122" s="1"/>
  <c r="O33" i="122" s="1"/>
  <c r="O34" i="122" s="1"/>
  <c r="O35" i="122" s="1"/>
  <c r="O36" i="122" s="1"/>
  <c r="O37" i="122" s="1"/>
  <c r="O38" i="122" s="1"/>
  <c r="G53" i="1" s="1"/>
  <c r="M24" i="113"/>
  <c r="N24" i="113" s="1"/>
  <c r="O24" i="113" s="1"/>
  <c r="M17" i="103"/>
  <c r="K17" i="103"/>
  <c r="N17" i="103" s="1"/>
  <c r="M3" i="95"/>
  <c r="K3" i="95"/>
  <c r="N3" i="95" s="1"/>
  <c r="O3" i="95" s="1"/>
  <c r="M4" i="99"/>
  <c r="K4" i="99"/>
  <c r="N4" i="99" s="1"/>
  <c r="K8" i="106"/>
  <c r="M8" i="106"/>
  <c r="M12" i="108"/>
  <c r="K12" i="108"/>
  <c r="N12" i="108" s="1"/>
  <c r="J7" i="103"/>
  <c r="I7" i="103"/>
  <c r="N11" i="103"/>
  <c r="I26" i="93"/>
  <c r="J26" i="93"/>
  <c r="C93" i="1"/>
  <c r="A94" i="1"/>
  <c r="N18" i="108"/>
  <c r="O4" i="101"/>
  <c r="N29" i="113"/>
  <c r="K29" i="111"/>
  <c r="N29" i="111" s="1"/>
  <c r="N26" i="105"/>
  <c r="N33" i="120"/>
  <c r="N17" i="110"/>
  <c r="M10" i="92"/>
  <c r="K10" i="92"/>
  <c r="N10" i="92" s="1"/>
  <c r="K15" i="94"/>
  <c r="M15" i="94"/>
  <c r="M7" i="96"/>
  <c r="K7" i="96"/>
  <c r="N7" i="96" s="1"/>
  <c r="M15" i="96"/>
  <c r="K15" i="96"/>
  <c r="N15" i="96" s="1"/>
  <c r="M3" i="99"/>
  <c r="K3" i="99"/>
  <c r="N3" i="99" s="1"/>
  <c r="O3" i="99" s="1"/>
  <c r="K6" i="96"/>
  <c r="N6" i="96" s="1"/>
  <c r="N14" i="96"/>
  <c r="O27" i="111"/>
  <c r="O28" i="111" s="1"/>
  <c r="O29" i="111" s="1"/>
  <c r="O30" i="111" s="1"/>
  <c r="O31" i="111" s="1"/>
  <c r="K22" i="114"/>
  <c r="N22" i="114" s="1"/>
  <c r="O22" i="114" s="1"/>
  <c r="O23" i="114" s="1"/>
  <c r="O24" i="114" s="1"/>
  <c r="O25" i="114" s="1"/>
  <c r="M22" i="114"/>
  <c r="K35" i="97"/>
  <c r="M35" i="97"/>
  <c r="K25" i="105"/>
  <c r="N25" i="105" s="1"/>
  <c r="M25" i="105"/>
  <c r="M33" i="103"/>
  <c r="K33" i="103"/>
  <c r="N33" i="103" s="1"/>
  <c r="K17" i="117"/>
  <c r="N17" i="117" s="1"/>
  <c r="M17" i="117"/>
  <c r="C92" i="1"/>
  <c r="G91" i="1"/>
  <c r="M27" i="101"/>
  <c r="M15" i="97"/>
  <c r="K15" i="97"/>
  <c r="N15" i="97" s="1"/>
  <c r="M22" i="122"/>
  <c r="K22" i="122"/>
  <c r="N22" i="122" s="1"/>
  <c r="O22" i="122" s="1"/>
  <c r="M27" i="124"/>
  <c r="K27" i="124"/>
  <c r="N27" i="124" s="1"/>
  <c r="N23" i="61"/>
  <c r="I7" i="92"/>
  <c r="J7" i="92"/>
  <c r="I7" i="94"/>
  <c r="J7" i="94"/>
  <c r="O4" i="110"/>
  <c r="K28" i="97"/>
  <c r="N28" i="97" s="1"/>
  <c r="M28" i="97"/>
  <c r="M29" i="92"/>
  <c r="K29" i="92"/>
  <c r="N29" i="92" s="1"/>
  <c r="N27" i="101"/>
  <c r="K22" i="115"/>
  <c r="M22" i="115"/>
  <c r="K37" i="115"/>
  <c r="N37" i="115" s="1"/>
  <c r="M37" i="115"/>
  <c r="M18" i="121"/>
  <c r="K18" i="121"/>
  <c r="N18" i="121" s="1"/>
  <c r="K24" i="116"/>
  <c r="N24" i="116" s="1"/>
  <c r="O24" i="116" s="1"/>
  <c r="O25" i="116" s="1"/>
  <c r="O26" i="116" s="1"/>
  <c r="O27" i="116" s="1"/>
  <c r="O28" i="116" s="1"/>
  <c r="O29" i="116" s="1"/>
  <c r="O30" i="116" s="1"/>
  <c r="O31" i="116" s="1"/>
  <c r="O32" i="116" s="1"/>
  <c r="O33" i="116" s="1"/>
  <c r="M24" i="116"/>
  <c r="K35" i="116"/>
  <c r="M35" i="116"/>
  <c r="G92" i="1"/>
  <c r="D90" i="1"/>
  <c r="C90" i="1"/>
  <c r="G90" i="1"/>
  <c r="O23" i="105"/>
  <c r="O24" i="105" s="1"/>
  <c r="O25" i="105" s="1"/>
  <c r="O26" i="105" s="1"/>
  <c r="O27" i="105" s="1"/>
  <c r="O28" i="105" s="1"/>
  <c r="O29" i="105" s="1"/>
  <c r="O4" i="108"/>
  <c r="N16" i="110"/>
  <c r="O23" i="119"/>
  <c r="O7" i="111"/>
  <c r="O8" i="111" s="1"/>
  <c r="O9" i="111" s="1"/>
  <c r="O10" i="111" s="1"/>
  <c r="N17" i="96"/>
  <c r="N10" i="99"/>
  <c r="K34" i="108"/>
  <c r="N34" i="108" s="1"/>
  <c r="N34" i="100"/>
  <c r="N25" i="96"/>
  <c r="K6" i="105"/>
  <c r="N6" i="105" s="1"/>
  <c r="N26" i="101"/>
  <c r="N15" i="92"/>
  <c r="N15" i="106"/>
  <c r="K33" i="92"/>
  <c r="M33" i="92"/>
  <c r="N35" i="91"/>
  <c r="M23" i="96"/>
  <c r="K23" i="96"/>
  <c r="N23" i="96" s="1"/>
  <c r="O23" i="96" s="1"/>
  <c r="M31" i="102"/>
  <c r="K31" i="102"/>
  <c r="N31" i="102" s="1"/>
  <c r="O31" i="102" s="1"/>
  <c r="M32" i="106"/>
  <c r="K32" i="106"/>
  <c r="N32" i="106" s="1"/>
  <c r="M23" i="99"/>
  <c r="K23" i="99"/>
  <c r="N23" i="99" s="1"/>
  <c r="M23" i="101"/>
  <c r="K23" i="101"/>
  <c r="N23" i="101" s="1"/>
  <c r="O23" i="101" s="1"/>
  <c r="O24" i="101" s="1"/>
  <c r="O25" i="101" s="1"/>
  <c r="O26" i="101" s="1"/>
  <c r="O27" i="101" s="1"/>
  <c r="O28" i="101" s="1"/>
  <c r="O29" i="101" s="1"/>
  <c r="O30" i="101" s="1"/>
  <c r="O31" i="101" s="1"/>
  <c r="O32" i="101" s="1"/>
  <c r="O33" i="101" s="1"/>
  <c r="O34" i="101" s="1"/>
  <c r="O35" i="101" s="1"/>
  <c r="O36" i="101" s="1"/>
  <c r="O37" i="101" s="1"/>
  <c r="O38" i="101" s="1"/>
  <c r="G32" i="1" s="1"/>
  <c r="N28" i="117"/>
  <c r="K25" i="124"/>
  <c r="N25" i="124" s="1"/>
  <c r="M25" i="124"/>
  <c r="K8" i="95"/>
  <c r="M8" i="95"/>
  <c r="N14" i="98"/>
  <c r="K11" i="61"/>
  <c r="M11" i="61"/>
  <c r="M32" i="61"/>
  <c r="K32" i="61"/>
  <c r="N32" i="61" s="1"/>
  <c r="I16" i="91"/>
  <c r="J16" i="91"/>
  <c r="I4" i="94"/>
  <c r="J4" i="94"/>
  <c r="J4" i="95"/>
  <c r="I4" i="95"/>
  <c r="M3" i="96"/>
  <c r="K3" i="96"/>
  <c r="N3" i="96" s="1"/>
  <c r="O3" i="96" s="1"/>
  <c r="M11" i="99"/>
  <c r="K11" i="99"/>
  <c r="N11" i="99" s="1"/>
  <c r="M16" i="123"/>
  <c r="K16" i="123"/>
  <c r="N16" i="123" s="1"/>
  <c r="M4" i="122"/>
  <c r="K4" i="122"/>
  <c r="N4" i="122" s="1"/>
  <c r="M4" i="121"/>
  <c r="K4" i="121"/>
  <c r="N4" i="121" s="1"/>
  <c r="K9" i="120"/>
  <c r="M9" i="120"/>
  <c r="M16" i="120"/>
  <c r="K16" i="120"/>
  <c r="N16" i="120" s="1"/>
  <c r="M10" i="98"/>
  <c r="K10" i="98"/>
  <c r="N10" i="98" s="1"/>
  <c r="N11" i="100"/>
  <c r="N35" i="117"/>
  <c r="N32" i="99"/>
  <c r="N11" i="104"/>
  <c r="N37" i="124"/>
  <c r="M34" i="109"/>
  <c r="N34" i="109" s="1"/>
  <c r="K26" i="103"/>
  <c r="N26" i="103" s="1"/>
  <c r="M29" i="93"/>
  <c r="N29" i="93" s="1"/>
  <c r="M31" i="97"/>
  <c r="N31" i="97" s="1"/>
  <c r="K35" i="93"/>
  <c r="N35" i="93" s="1"/>
  <c r="K30" i="91"/>
  <c r="N30" i="91" s="1"/>
  <c r="M30" i="91"/>
  <c r="K37" i="97"/>
  <c r="N37" i="97" s="1"/>
  <c r="M31" i="104"/>
  <c r="K31" i="104"/>
  <c r="N31" i="104" s="1"/>
  <c r="N30" i="107"/>
  <c r="I17" i="61"/>
  <c r="K17" i="61" s="1"/>
  <c r="N17" i="61" s="1"/>
  <c r="N37" i="61"/>
  <c r="J3" i="100"/>
  <c r="I3" i="100"/>
  <c r="J7" i="106"/>
  <c r="I7" i="106"/>
  <c r="I8" i="104"/>
  <c r="J8" i="104"/>
  <c r="J23" i="109"/>
  <c r="N10" i="110"/>
  <c r="I9" i="115"/>
  <c r="J9" i="115"/>
  <c r="M8" i="91"/>
  <c r="K8" i="91"/>
  <c r="N8" i="91" s="1"/>
  <c r="M9" i="103"/>
  <c r="K9" i="103"/>
  <c r="N9" i="103" s="1"/>
  <c r="M8" i="112"/>
  <c r="K8" i="112"/>
  <c r="N8" i="112" s="1"/>
  <c r="I28" i="108"/>
  <c r="J28" i="108"/>
  <c r="M31" i="110"/>
  <c r="K31" i="110"/>
  <c r="N31" i="110" s="1"/>
  <c r="M30" i="97"/>
  <c r="N10" i="95"/>
  <c r="M28" i="117"/>
  <c r="K7" i="101"/>
  <c r="N7" i="101" s="1"/>
  <c r="M32" i="102"/>
  <c r="N32" i="102" s="1"/>
  <c r="K36" i="92"/>
  <c r="M36" i="92"/>
  <c r="N9" i="91"/>
  <c r="N6" i="98"/>
  <c r="K30" i="99"/>
  <c r="M30" i="99"/>
  <c r="M5" i="108"/>
  <c r="K6" i="107"/>
  <c r="N6" i="107" s="1"/>
  <c r="K15" i="107"/>
  <c r="N15" i="107" s="1"/>
  <c r="M15" i="107"/>
  <c r="I4" i="106"/>
  <c r="I25" i="108"/>
  <c r="J25" i="108"/>
  <c r="K37" i="108"/>
  <c r="M37" i="108"/>
  <c r="I26" i="119"/>
  <c r="J26" i="119"/>
  <c r="I29" i="119"/>
  <c r="J29" i="119"/>
  <c r="O23" i="120"/>
  <c r="O24" i="120" s="1"/>
  <c r="I32" i="120"/>
  <c r="J32" i="120"/>
  <c r="K7" i="125"/>
  <c r="M7" i="125"/>
  <c r="O5" i="107"/>
  <c r="O6" i="107" s="1"/>
  <c r="O7" i="107" s="1"/>
  <c r="M17" i="61"/>
  <c r="I16" i="95"/>
  <c r="J16" i="95"/>
  <c r="K6" i="114"/>
  <c r="M6" i="114"/>
  <c r="M14" i="125"/>
  <c r="K14" i="125"/>
  <c r="K34" i="97"/>
  <c r="N34" i="97" s="1"/>
  <c r="O4" i="61"/>
  <c r="N14" i="109"/>
  <c r="N5" i="93"/>
  <c r="K22" i="121"/>
  <c r="N22" i="121" s="1"/>
  <c r="O22" i="121" s="1"/>
  <c r="N29" i="104"/>
  <c r="N26" i="114"/>
  <c r="N28" i="107"/>
  <c r="N22" i="91"/>
  <c r="O22" i="91" s="1"/>
  <c r="O23" i="91" s="1"/>
  <c r="N28" i="94"/>
  <c r="N36" i="119"/>
  <c r="M24" i="92"/>
  <c r="N24" i="92" s="1"/>
  <c r="M26" i="98"/>
  <c r="K26" i="98"/>
  <c r="N26" i="98" s="1"/>
  <c r="M34" i="117"/>
  <c r="K34" i="117"/>
  <c r="N34" i="117" s="1"/>
  <c r="J34" i="111"/>
  <c r="N36" i="113"/>
  <c r="M27" i="115"/>
  <c r="M28" i="125"/>
  <c r="K28" i="125"/>
  <c r="N28" i="125" s="1"/>
  <c r="K6" i="91"/>
  <c r="M6" i="91"/>
  <c r="K5" i="94"/>
  <c r="N5" i="94" s="1"/>
  <c r="N28" i="122"/>
  <c r="K22" i="123"/>
  <c r="M22" i="123"/>
  <c r="N22" i="123" s="1"/>
  <c r="O22" i="123" s="1"/>
  <c r="O23" i="123" s="1"/>
  <c r="O24" i="123" s="1"/>
  <c r="O25" i="123" s="1"/>
  <c r="O26" i="123" s="1"/>
  <c r="O27" i="123" s="1"/>
  <c r="O28" i="123" s="1"/>
  <c r="O29" i="123" s="1"/>
  <c r="O30" i="123" s="1"/>
  <c r="O31" i="123" s="1"/>
  <c r="O32" i="123" s="1"/>
  <c r="O33" i="123" s="1"/>
  <c r="O34" i="123" s="1"/>
  <c r="O35" i="123" s="1"/>
  <c r="O36" i="123" s="1"/>
  <c r="O37" i="123" s="1"/>
  <c r="O38" i="123" s="1"/>
  <c r="G54" i="1" s="1"/>
  <c r="J8" i="99"/>
  <c r="K11" i="106"/>
  <c r="N11" i="106" s="1"/>
  <c r="M3" i="108"/>
  <c r="K3" i="108"/>
  <c r="N3" i="108" s="1"/>
  <c r="O3" i="108" s="1"/>
  <c r="N3" i="110"/>
  <c r="O3" i="110" s="1"/>
  <c r="K4" i="106"/>
  <c r="N4" i="106" s="1"/>
  <c r="O4" i="106" s="1"/>
  <c r="O5" i="106" s="1"/>
  <c r="O6" i="106" s="1"/>
  <c r="M10" i="61"/>
  <c r="K10" i="61"/>
  <c r="N10" i="61" s="1"/>
  <c r="N15" i="61"/>
  <c r="M18" i="101"/>
  <c r="K18" i="101"/>
  <c r="K37" i="96"/>
  <c r="M37" i="96"/>
  <c r="I24" i="99"/>
  <c r="J24" i="99"/>
  <c r="I37" i="100"/>
  <c r="J37" i="100"/>
  <c r="O5" i="110"/>
  <c r="N10" i="107"/>
  <c r="N3" i="61"/>
  <c r="O3" i="61" s="1"/>
  <c r="N15" i="93"/>
  <c r="N25" i="114"/>
  <c r="M35" i="91"/>
  <c r="K32" i="111"/>
  <c r="M32" i="111"/>
  <c r="K32" i="116"/>
  <c r="N32" i="116" s="1"/>
  <c r="M32" i="116"/>
  <c r="N8" i="93"/>
  <c r="K7" i="122"/>
  <c r="N7" i="122" s="1"/>
  <c r="M26" i="97"/>
  <c r="N26" i="97" s="1"/>
  <c r="J14" i="102"/>
  <c r="I14" i="102"/>
  <c r="M15" i="101"/>
  <c r="K15" i="101"/>
  <c r="N15" i="101" s="1"/>
  <c r="K22" i="95"/>
  <c r="M22" i="95"/>
  <c r="M37" i="98"/>
  <c r="K37" i="98"/>
  <c r="N37" i="98" s="1"/>
  <c r="I28" i="99"/>
  <c r="J28" i="99"/>
  <c r="I24" i="104"/>
  <c r="J24" i="104"/>
  <c r="I27" i="104"/>
  <c r="J27" i="104"/>
  <c r="I16" i="104"/>
  <c r="J16" i="104"/>
  <c r="I10" i="112"/>
  <c r="J10" i="112"/>
  <c r="N33" i="124"/>
  <c r="N16" i="108"/>
  <c r="N15" i="111"/>
  <c r="N9" i="111"/>
  <c r="N22" i="106"/>
  <c r="O22" i="106" s="1"/>
  <c r="O23" i="106" s="1"/>
  <c r="O24" i="106" s="1"/>
  <c r="O25" i="106" s="1"/>
  <c r="K31" i="118"/>
  <c r="N31" i="118" s="1"/>
  <c r="K22" i="112"/>
  <c r="N22" i="112" s="1"/>
  <c r="O22" i="112" s="1"/>
  <c r="O23" i="112" s="1"/>
  <c r="O24" i="112" s="1"/>
  <c r="O25" i="112" s="1"/>
  <c r="K25" i="94"/>
  <c r="N25" i="94" s="1"/>
  <c r="O25" i="94" s="1"/>
  <c r="O26" i="94" s="1"/>
  <c r="O27" i="94" s="1"/>
  <c r="O28" i="94" s="1"/>
  <c r="O29" i="94" s="1"/>
  <c r="O30" i="94" s="1"/>
  <c r="O31" i="94" s="1"/>
  <c r="O32" i="94" s="1"/>
  <c r="O33" i="94" s="1"/>
  <c r="O34" i="94" s="1"/>
  <c r="N32" i="114"/>
  <c r="N16" i="122"/>
  <c r="N5" i="115"/>
  <c r="N22" i="107"/>
  <c r="O22" i="107" s="1"/>
  <c r="K12" i="61"/>
  <c r="N12" i="61" s="1"/>
  <c r="I29" i="61"/>
  <c r="J29" i="61"/>
  <c r="M15" i="99"/>
  <c r="K15" i="99"/>
  <c r="N15" i="99" s="1"/>
  <c r="I14" i="103"/>
  <c r="J14" i="103"/>
  <c r="I37" i="104"/>
  <c r="J37" i="104"/>
  <c r="I30" i="105"/>
  <c r="J30" i="105"/>
  <c r="I26" i="106"/>
  <c r="J26" i="106"/>
  <c r="J33" i="111"/>
  <c r="I33" i="111"/>
  <c r="M27" i="111"/>
  <c r="K27" i="111"/>
  <c r="N27" i="111" s="1"/>
  <c r="K4" i="124"/>
  <c r="M4" i="124"/>
  <c r="M14" i="122"/>
  <c r="K14" i="122"/>
  <c r="N14" i="122" s="1"/>
  <c r="N10" i="103"/>
  <c r="K6" i="101"/>
  <c r="N6" i="101" s="1"/>
  <c r="J7" i="98"/>
  <c r="N32" i="118"/>
  <c r="N32" i="122"/>
  <c r="N24" i="110"/>
  <c r="N15" i="91"/>
  <c r="M37" i="103"/>
  <c r="N37" i="103" s="1"/>
  <c r="K36" i="103"/>
  <c r="N36" i="103" s="1"/>
  <c r="K34" i="106"/>
  <c r="N34" i="106" s="1"/>
  <c r="M34" i="106"/>
  <c r="K28" i="112"/>
  <c r="M28" i="112"/>
  <c r="K33" i="109"/>
  <c r="N33" i="109" s="1"/>
  <c r="I7" i="91"/>
  <c r="J7" i="91"/>
  <c r="I14" i="91"/>
  <c r="J14" i="91"/>
  <c r="I4" i="98"/>
  <c r="J4" i="98"/>
  <c r="M25" i="91"/>
  <c r="K25" i="91"/>
  <c r="N25" i="91" s="1"/>
  <c r="N36" i="93"/>
  <c r="J27" i="96"/>
  <c r="I27" i="96"/>
  <c r="J28" i="98"/>
  <c r="I28" i="98"/>
  <c r="I33" i="101"/>
  <c r="K33" i="101" s="1"/>
  <c r="N33" i="101" s="1"/>
  <c r="I33" i="102"/>
  <c r="J33" i="102"/>
  <c r="J14" i="105"/>
  <c r="I14" i="105"/>
  <c r="I13" i="104"/>
  <c r="J13" i="104"/>
  <c r="I13" i="113"/>
  <c r="K13" i="113" s="1"/>
  <c r="N13" i="113" s="1"/>
  <c r="I14" i="121"/>
  <c r="K14" i="121" s="1"/>
  <c r="N14" i="121" s="1"/>
  <c r="I34" i="116"/>
  <c r="J34" i="116"/>
  <c r="I22" i="117"/>
  <c r="K22" i="117" s="1"/>
  <c r="N22" i="117" s="1"/>
  <c r="O22" i="117" s="1"/>
  <c r="I25" i="117"/>
  <c r="J25" i="117"/>
  <c r="N9" i="105"/>
  <c r="N11" i="96"/>
  <c r="N35" i="123"/>
  <c r="N4" i="96"/>
  <c r="N37" i="118"/>
  <c r="N28" i="120"/>
  <c r="N25" i="121"/>
  <c r="N9" i="94"/>
  <c r="K22" i="94"/>
  <c r="N22" i="94" s="1"/>
  <c r="O22" i="94" s="1"/>
  <c r="O23" i="94" s="1"/>
  <c r="O24" i="94" s="1"/>
  <c r="N31" i="91"/>
  <c r="K27" i="110"/>
  <c r="N27" i="110" s="1"/>
  <c r="C103" i="127"/>
  <c r="M30" i="95"/>
  <c r="K30" i="95"/>
  <c r="N27" i="98"/>
  <c r="O4" i="97"/>
  <c r="O5" i="97" s="1"/>
  <c r="O6" i="97" s="1"/>
  <c r="K13" i="61"/>
  <c r="N13" i="61" s="1"/>
  <c r="M36" i="61"/>
  <c r="K36" i="61"/>
  <c r="N36" i="61" s="1"/>
  <c r="I6" i="92"/>
  <c r="K6" i="92" s="1"/>
  <c r="N6" i="92" s="1"/>
  <c r="J14" i="97"/>
  <c r="I14" i="97"/>
  <c r="K4" i="100"/>
  <c r="N4" i="100" s="1"/>
  <c r="I14" i="101"/>
  <c r="K14" i="101" s="1"/>
  <c r="N14" i="101" s="1"/>
  <c r="J4" i="103"/>
  <c r="I4" i="103"/>
  <c r="N37" i="92"/>
  <c r="J27" i="93"/>
  <c r="I27" i="93"/>
  <c r="J37" i="95"/>
  <c r="I37" i="95"/>
  <c r="K24" i="96"/>
  <c r="N24" i="96" s="1"/>
  <c r="M24" i="96"/>
  <c r="I36" i="101"/>
  <c r="K36" i="101" s="1"/>
  <c r="N36" i="101" s="1"/>
  <c r="K17" i="108"/>
  <c r="M17" i="108"/>
  <c r="I6" i="119"/>
  <c r="N17" i="119"/>
  <c r="N17" i="107"/>
  <c r="N28" i="118"/>
  <c r="N26" i="92"/>
  <c r="M28" i="96"/>
  <c r="K28" i="96"/>
  <c r="N28" i="96" s="1"/>
  <c r="M23" i="98"/>
  <c r="K23" i="98"/>
  <c r="K29" i="96"/>
  <c r="N29" i="96" s="1"/>
  <c r="N37" i="102"/>
  <c r="K25" i="118"/>
  <c r="N25" i="118" s="1"/>
  <c r="N30" i="111"/>
  <c r="K30" i="61"/>
  <c r="M30" i="61"/>
  <c r="I8" i="101"/>
  <c r="J8" i="101"/>
  <c r="J34" i="96"/>
  <c r="I34" i="96"/>
  <c r="I24" i="97"/>
  <c r="J24" i="97"/>
  <c r="I25" i="103"/>
  <c r="J25" i="103"/>
  <c r="I35" i="109"/>
  <c r="J35" i="109"/>
  <c r="I28" i="114"/>
  <c r="J28" i="114"/>
  <c r="C88" i="1"/>
  <c r="D88" i="1"/>
  <c r="I88" i="1"/>
  <c r="K88" i="1"/>
  <c r="N32" i="101"/>
  <c r="N31" i="114"/>
  <c r="N36" i="105"/>
  <c r="N22" i="105"/>
  <c r="O22" i="105" s="1"/>
  <c r="I5" i="94"/>
  <c r="I5" i="98"/>
  <c r="K5" i="98" s="1"/>
  <c r="N5" i="98" s="1"/>
  <c r="I5" i="101"/>
  <c r="K5" i="101" s="1"/>
  <c r="N5" i="101" s="1"/>
  <c r="I35" i="94"/>
  <c r="J35" i="94"/>
  <c r="I24" i="101"/>
  <c r="K24" i="101" s="1"/>
  <c r="N24" i="101" s="1"/>
  <c r="I28" i="103"/>
  <c r="K28" i="103" s="1"/>
  <c r="N28" i="103" s="1"/>
  <c r="I15" i="114"/>
  <c r="I33" i="114"/>
  <c r="J33" i="114"/>
  <c r="I6" i="117"/>
  <c r="I26" i="120"/>
  <c r="K26" i="120" s="1"/>
  <c r="N26" i="120" s="1"/>
  <c r="K9" i="124"/>
  <c r="N9" i="124" s="1"/>
  <c r="J16" i="119"/>
  <c r="H49" i="127"/>
  <c r="I49" i="127"/>
  <c r="K49" i="127" s="1"/>
  <c r="L49" i="127" s="1"/>
  <c r="N4" i="109"/>
  <c r="O4" i="109" s="1"/>
  <c r="O5" i="109" s="1"/>
  <c r="O6" i="109" s="1"/>
  <c r="J88" i="1"/>
  <c r="J87" i="1"/>
  <c r="K87" i="1" s="1"/>
  <c r="J27" i="61"/>
  <c r="J33" i="61"/>
  <c r="I13" i="99"/>
  <c r="K13" i="99" s="1"/>
  <c r="N13" i="99" s="1"/>
  <c r="I23" i="95"/>
  <c r="J23" i="95"/>
  <c r="J22" i="98"/>
  <c r="I22" i="98"/>
  <c r="I22" i="100"/>
  <c r="K22" i="100" s="1"/>
  <c r="N22" i="100" s="1"/>
  <c r="O22" i="100" s="1"/>
  <c r="O23" i="100" s="1"/>
  <c r="O24" i="100" s="1"/>
  <c r="O25" i="100" s="1"/>
  <c r="O26" i="100" s="1"/>
  <c r="O27" i="100" s="1"/>
  <c r="O28" i="100" s="1"/>
  <c r="O29" i="100" s="1"/>
  <c r="O30" i="100" s="1"/>
  <c r="O31" i="100" s="1"/>
  <c r="O32" i="100" s="1"/>
  <c r="O33" i="100" s="1"/>
  <c r="O34" i="100" s="1"/>
  <c r="O35" i="100" s="1"/>
  <c r="O36" i="100" s="1"/>
  <c r="J14" i="108"/>
  <c r="I14" i="108"/>
  <c r="J3" i="104"/>
  <c r="J13" i="109"/>
  <c r="I13" i="109"/>
  <c r="I32" i="108"/>
  <c r="K32" i="108" s="1"/>
  <c r="N32" i="108" s="1"/>
  <c r="J6" i="110"/>
  <c r="I6" i="110"/>
  <c r="I14" i="114"/>
  <c r="J14" i="114"/>
  <c r="I13" i="115"/>
  <c r="K13" i="115" s="1"/>
  <c r="N13" i="115" s="1"/>
  <c r="I37" i="113"/>
  <c r="J37" i="113"/>
  <c r="I6" i="116"/>
  <c r="I22" i="124"/>
  <c r="K22" i="124" s="1"/>
  <c r="N22" i="124" s="1"/>
  <c r="O22" i="124" s="1"/>
  <c r="J26" i="109"/>
  <c r="K23" i="97"/>
  <c r="N23" i="97" s="1"/>
  <c r="O23" i="97" s="1"/>
  <c r="N29" i="103"/>
  <c r="N37" i="91"/>
  <c r="N31" i="116"/>
  <c r="N22" i="110"/>
  <c r="O22" i="110" s="1"/>
  <c r="O23" i="110" s="1"/>
  <c r="N13" i="117"/>
  <c r="J29" i="97"/>
  <c r="I25" i="98"/>
  <c r="K25" i="98" s="1"/>
  <c r="N25" i="98" s="1"/>
  <c r="J33" i="99"/>
  <c r="I17" i="108"/>
  <c r="J13" i="106"/>
  <c r="I13" i="106"/>
  <c r="J16" i="106"/>
  <c r="J18" i="110"/>
  <c r="I18" i="110"/>
  <c r="J12" i="110"/>
  <c r="I12" i="110"/>
  <c r="J9" i="110"/>
  <c r="K23" i="107"/>
  <c r="N23" i="107" s="1"/>
  <c r="O23" i="107" s="1"/>
  <c r="O24" i="107" s="1"/>
  <c r="N36" i="108"/>
  <c r="K8" i="61"/>
  <c r="N8" i="61" s="1"/>
  <c r="N27" i="94"/>
  <c r="J32" i="109"/>
  <c r="I32" i="109"/>
  <c r="J4" i="112"/>
  <c r="I4" i="112"/>
  <c r="J12" i="120"/>
  <c r="J7" i="109"/>
  <c r="J25" i="110"/>
  <c r="I16" i="61"/>
  <c r="K16" i="61" s="1"/>
  <c r="N16" i="61" s="1"/>
  <c r="I25" i="61"/>
  <c r="K25" i="61" s="1"/>
  <c r="N25" i="61" s="1"/>
  <c r="J35" i="61"/>
  <c r="I13" i="92"/>
  <c r="K13" i="92" s="1"/>
  <c r="N13" i="92" s="1"/>
  <c r="I12" i="93"/>
  <c r="K12" i="93" s="1"/>
  <c r="N12" i="93" s="1"/>
  <c r="I13" i="96"/>
  <c r="K13" i="96" s="1"/>
  <c r="N13" i="96" s="1"/>
  <c r="I12" i="97"/>
  <c r="K12" i="97" s="1"/>
  <c r="N12" i="97" s="1"/>
  <c r="I12" i="102"/>
  <c r="K12" i="102" s="1"/>
  <c r="N12" i="102" s="1"/>
  <c r="I36" i="94"/>
  <c r="K36" i="94" s="1"/>
  <c r="N36" i="94" s="1"/>
  <c r="I33" i="96"/>
  <c r="K33" i="96" s="1"/>
  <c r="N33" i="96" s="1"/>
  <c r="I30" i="97"/>
  <c r="K30" i="97" s="1"/>
  <c r="N30" i="97" s="1"/>
  <c r="I36" i="97"/>
  <c r="K36" i="97" s="1"/>
  <c r="N36" i="97" s="1"/>
  <c r="I37" i="98"/>
  <c r="I32" i="103"/>
  <c r="K32" i="103" s="1"/>
  <c r="N32" i="103" s="1"/>
  <c r="I28" i="104"/>
  <c r="K28" i="104" s="1"/>
  <c r="N28" i="104" s="1"/>
  <c r="I5" i="108"/>
  <c r="K5" i="108" s="1"/>
  <c r="N5" i="108" s="1"/>
  <c r="I11" i="106"/>
  <c r="I17" i="106"/>
  <c r="K17" i="106" s="1"/>
  <c r="N17" i="106" s="1"/>
  <c r="I8" i="105"/>
  <c r="K8" i="105" s="1"/>
  <c r="N8" i="105" s="1"/>
  <c r="I37" i="105"/>
  <c r="K37" i="105" s="1"/>
  <c r="N37" i="105" s="1"/>
  <c r="J31" i="107"/>
  <c r="I31" i="107"/>
  <c r="I24" i="109"/>
  <c r="K24" i="109" s="1"/>
  <c r="N24" i="109" s="1"/>
  <c r="I30" i="109"/>
  <c r="K30" i="109" s="1"/>
  <c r="N30" i="109" s="1"/>
  <c r="I36" i="109"/>
  <c r="K36" i="109" s="1"/>
  <c r="N36" i="109" s="1"/>
  <c r="I14" i="110"/>
  <c r="K14" i="110" s="1"/>
  <c r="N14" i="110" s="1"/>
  <c r="I8" i="110"/>
  <c r="K8" i="110" s="1"/>
  <c r="N8" i="110" s="1"/>
  <c r="I18" i="111"/>
  <c r="K18" i="111" s="1"/>
  <c r="N18" i="111" s="1"/>
  <c r="I6" i="112"/>
  <c r="K6" i="112" s="1"/>
  <c r="N6" i="112" s="1"/>
  <c r="I12" i="115"/>
  <c r="I3" i="115"/>
  <c r="J26" i="112"/>
  <c r="I26" i="112"/>
  <c r="I10" i="116"/>
  <c r="I7" i="118"/>
  <c r="I15" i="120"/>
  <c r="K15" i="120" s="1"/>
  <c r="N15" i="120" s="1"/>
  <c r="I23" i="116"/>
  <c r="K23" i="116" s="1"/>
  <c r="N23" i="116" s="1"/>
  <c r="O23" i="116" s="1"/>
  <c r="I29" i="116"/>
  <c r="K29" i="116" s="1"/>
  <c r="N29" i="116" s="1"/>
  <c r="J33" i="117"/>
  <c r="I33" i="117"/>
  <c r="J30" i="118"/>
  <c r="I30" i="118"/>
  <c r="I33" i="118"/>
  <c r="K33" i="118" s="1"/>
  <c r="N33" i="118" s="1"/>
  <c r="J28" i="113"/>
  <c r="J14" i="61"/>
  <c r="I26" i="61"/>
  <c r="K26" i="61" s="1"/>
  <c r="N26" i="61" s="1"/>
  <c r="I13" i="93"/>
  <c r="K13" i="93" s="1"/>
  <c r="N13" i="93" s="1"/>
  <c r="I12" i="94"/>
  <c r="K12" i="94" s="1"/>
  <c r="N12" i="94" s="1"/>
  <c r="I13" i="97"/>
  <c r="K13" i="97" s="1"/>
  <c r="N13" i="97" s="1"/>
  <c r="I12" i="98"/>
  <c r="K12" i="98" s="1"/>
  <c r="N12" i="98" s="1"/>
  <c r="I13" i="102"/>
  <c r="K13" i="102" s="1"/>
  <c r="N13" i="102" s="1"/>
  <c r="I31" i="93"/>
  <c r="K31" i="93" s="1"/>
  <c r="N31" i="93" s="1"/>
  <c r="I24" i="94"/>
  <c r="K24" i="94" s="1"/>
  <c r="N24" i="94" s="1"/>
  <c r="I37" i="94"/>
  <c r="K37" i="94" s="1"/>
  <c r="N37" i="94" s="1"/>
  <c r="I22" i="99"/>
  <c r="K22" i="99" s="1"/>
  <c r="N22" i="99" s="1"/>
  <c r="O22" i="99" s="1"/>
  <c r="I32" i="100"/>
  <c r="K32" i="100" s="1"/>
  <c r="N32" i="100" s="1"/>
  <c r="I28" i="101"/>
  <c r="K28" i="101" s="1"/>
  <c r="N28" i="101" s="1"/>
  <c r="I32" i="104"/>
  <c r="K32" i="104" s="1"/>
  <c r="N32" i="104" s="1"/>
  <c r="I6" i="108"/>
  <c r="K6" i="108" s="1"/>
  <c r="N6" i="108" s="1"/>
  <c r="I11" i="105"/>
  <c r="K11" i="105" s="1"/>
  <c r="N11" i="105" s="1"/>
  <c r="J33" i="106"/>
  <c r="I33" i="106"/>
  <c r="I37" i="107"/>
  <c r="K37" i="107" s="1"/>
  <c r="N37" i="107" s="1"/>
  <c r="I11" i="112"/>
  <c r="K11" i="112" s="1"/>
  <c r="N11" i="112" s="1"/>
  <c r="I32" i="110"/>
  <c r="K32" i="110" s="1"/>
  <c r="N32" i="110" s="1"/>
  <c r="I22" i="113"/>
  <c r="K22" i="113" s="1"/>
  <c r="N22" i="113" s="1"/>
  <c r="O22" i="113" s="1"/>
  <c r="O23" i="113" s="1"/>
  <c r="I11" i="117"/>
  <c r="I6" i="121"/>
  <c r="I6" i="123"/>
  <c r="I11" i="125"/>
  <c r="K11" i="125" s="1"/>
  <c r="I27" i="118"/>
  <c r="K27" i="118" s="1"/>
  <c r="N27" i="118" s="1"/>
  <c r="I26" i="122"/>
  <c r="K26" i="122" s="1"/>
  <c r="N26" i="122" s="1"/>
  <c r="I25" i="125"/>
  <c r="K25" i="125" s="1"/>
  <c r="N25" i="125" s="1"/>
  <c r="O25" i="125" s="1"/>
  <c r="O26" i="125" s="1"/>
  <c r="O27" i="125" s="1"/>
  <c r="O28" i="125" s="1"/>
  <c r="O29" i="125" s="1"/>
  <c r="O30" i="125" s="1"/>
  <c r="O31" i="125" s="1"/>
  <c r="O32" i="125" s="1"/>
  <c r="O33" i="125" s="1"/>
  <c r="O34" i="125" s="1"/>
  <c r="O35" i="125" s="1"/>
  <c r="O36" i="125" s="1"/>
  <c r="O37" i="125" s="1"/>
  <c r="O38" i="125" s="1"/>
  <c r="G56" i="1" s="1"/>
  <c r="I35" i="125"/>
  <c r="K35" i="125" s="1"/>
  <c r="N35" i="125" s="1"/>
  <c r="J4" i="118"/>
  <c r="J12" i="115"/>
  <c r="J16" i="115"/>
  <c r="J32" i="95"/>
  <c r="I34" i="61"/>
  <c r="K34" i="61" s="1"/>
  <c r="N34" i="61" s="1"/>
  <c r="I5" i="92"/>
  <c r="K5" i="92" s="1"/>
  <c r="N5" i="92" s="1"/>
  <c r="I4" i="93"/>
  <c r="K4" i="93" s="1"/>
  <c r="N4" i="93" s="1"/>
  <c r="O4" i="93" s="1"/>
  <c r="O5" i="93" s="1"/>
  <c r="O6" i="93" s="1"/>
  <c r="O7" i="93" s="1"/>
  <c r="O8" i="93" s="1"/>
  <c r="O9" i="93" s="1"/>
  <c r="O10" i="93" s="1"/>
  <c r="O11" i="93" s="1"/>
  <c r="O12" i="93" s="1"/>
  <c r="O13" i="93" s="1"/>
  <c r="O14" i="93" s="1"/>
  <c r="O15" i="93" s="1"/>
  <c r="O16" i="93" s="1"/>
  <c r="O17" i="93" s="1"/>
  <c r="O18" i="93" s="1"/>
  <c r="O19" i="93" s="1"/>
  <c r="D24" i="1" s="1"/>
  <c r="I5" i="96"/>
  <c r="K5" i="96" s="1"/>
  <c r="N5" i="96" s="1"/>
  <c r="I5" i="100"/>
  <c r="K5" i="100" s="1"/>
  <c r="N5" i="100" s="1"/>
  <c r="I4" i="102"/>
  <c r="K4" i="102" s="1"/>
  <c r="N4" i="102" s="1"/>
  <c r="O4" i="102" s="1"/>
  <c r="O5" i="102" s="1"/>
  <c r="O6" i="102" s="1"/>
  <c r="O7" i="102" s="1"/>
  <c r="O8" i="102" s="1"/>
  <c r="O9" i="102" s="1"/>
  <c r="O10" i="102" s="1"/>
  <c r="O11" i="102" s="1"/>
  <c r="O12" i="102" s="1"/>
  <c r="O13" i="102" s="1"/>
  <c r="I29" i="94"/>
  <c r="K29" i="94" s="1"/>
  <c r="N29" i="94" s="1"/>
  <c r="I35" i="95"/>
  <c r="K35" i="95" s="1"/>
  <c r="N35" i="95" s="1"/>
  <c r="I24" i="103"/>
  <c r="K24" i="103" s="1"/>
  <c r="N24" i="103" s="1"/>
  <c r="O24" i="103" s="1"/>
  <c r="I36" i="103"/>
  <c r="I8" i="107"/>
  <c r="K8" i="107" s="1"/>
  <c r="N8" i="107" s="1"/>
  <c r="I5" i="105"/>
  <c r="K5" i="105" s="1"/>
  <c r="N5" i="105" s="1"/>
  <c r="O5" i="105" s="1"/>
  <c r="O6" i="105" s="1"/>
  <c r="O7" i="105" s="1"/>
  <c r="I29" i="105"/>
  <c r="K29" i="105" s="1"/>
  <c r="N29" i="105" s="1"/>
  <c r="I36" i="106"/>
  <c r="K36" i="106" s="1"/>
  <c r="N36" i="106" s="1"/>
  <c r="I29" i="107"/>
  <c r="K29" i="107" s="1"/>
  <c r="N29" i="107" s="1"/>
  <c r="J11" i="111"/>
  <c r="I6" i="111"/>
  <c r="K6" i="111" s="1"/>
  <c r="N6" i="111" s="1"/>
  <c r="O6" i="111" s="1"/>
  <c r="I3" i="113"/>
  <c r="I17" i="115"/>
  <c r="I8" i="115"/>
  <c r="K8" i="115" s="1"/>
  <c r="N8" i="115" s="1"/>
  <c r="I26" i="110"/>
  <c r="K26" i="110" s="1"/>
  <c r="N26" i="110" s="1"/>
  <c r="I22" i="112"/>
  <c r="J34" i="113"/>
  <c r="I34" i="113"/>
  <c r="J31" i="113"/>
  <c r="I28" i="113"/>
  <c r="J25" i="113"/>
  <c r="I34" i="115"/>
  <c r="K34" i="115" s="1"/>
  <c r="N34" i="115" s="1"/>
  <c r="I3" i="120"/>
  <c r="K3" i="120" s="1"/>
  <c r="N3" i="120" s="1"/>
  <c r="O3" i="120" s="1"/>
  <c r="J31" i="120"/>
  <c r="J4" i="114"/>
  <c r="J10" i="113"/>
  <c r="J32" i="107"/>
  <c r="J6" i="119"/>
  <c r="J4" i="116"/>
  <c r="J17" i="115"/>
  <c r="J8" i="108"/>
  <c r="J16" i="100"/>
  <c r="J25" i="107"/>
  <c r="I30" i="113"/>
  <c r="K30" i="113" s="1"/>
  <c r="N30" i="113" s="1"/>
  <c r="I33" i="115"/>
  <c r="K33" i="115" s="1"/>
  <c r="N33" i="115" s="1"/>
  <c r="I11" i="118"/>
  <c r="K11" i="118" s="1"/>
  <c r="N11" i="118" s="1"/>
  <c r="I7" i="119"/>
  <c r="K7" i="119" s="1"/>
  <c r="N7" i="119" s="1"/>
  <c r="I11" i="122"/>
  <c r="K11" i="122" s="1"/>
  <c r="N11" i="122" s="1"/>
  <c r="I7" i="123"/>
  <c r="K7" i="123" s="1"/>
  <c r="N7" i="123" s="1"/>
  <c r="I31" i="117"/>
  <c r="K31" i="117" s="1"/>
  <c r="N31" i="117" s="1"/>
  <c r="I37" i="117"/>
  <c r="K37" i="117" s="1"/>
  <c r="N37" i="117" s="1"/>
  <c r="I24" i="119"/>
  <c r="K24" i="119" s="1"/>
  <c r="N24" i="119" s="1"/>
  <c r="I26" i="124"/>
  <c r="K26" i="124" s="1"/>
  <c r="N26" i="124" s="1"/>
  <c r="J15" i="124"/>
  <c r="J6" i="123"/>
  <c r="J15" i="121"/>
  <c r="K15" i="121" s="1"/>
  <c r="J6" i="120"/>
  <c r="J4" i="119"/>
  <c r="J11" i="119"/>
  <c r="J8" i="114"/>
  <c r="I11" i="119"/>
  <c r="I7" i="120"/>
  <c r="I11" i="123"/>
  <c r="I7" i="124"/>
  <c r="I30" i="124"/>
  <c r="K30" i="124" s="1"/>
  <c r="N30" i="124" s="1"/>
  <c r="J15" i="125"/>
  <c r="J12" i="124"/>
  <c r="K12" i="124" s="1"/>
  <c r="J16" i="124"/>
  <c r="K16" i="124" s="1"/>
  <c r="J12" i="121"/>
  <c r="K12" i="121" s="1"/>
  <c r="J16" i="118"/>
  <c r="J11" i="117"/>
  <c r="J16" i="116"/>
  <c r="J3" i="115"/>
  <c r="J9" i="114"/>
  <c r="J13" i="114"/>
  <c r="J17" i="114"/>
  <c r="J8" i="113"/>
  <c r="J29" i="118"/>
  <c r="J27" i="117"/>
  <c r="I34" i="114"/>
  <c r="K34" i="114" s="1"/>
  <c r="N34" i="114" s="1"/>
  <c r="I27" i="115"/>
  <c r="K27" i="115" s="1"/>
  <c r="N27" i="115" s="1"/>
  <c r="I3" i="118"/>
  <c r="I15" i="118"/>
  <c r="I3" i="122"/>
  <c r="I15" i="122"/>
  <c r="K15" i="122" s="1"/>
  <c r="I25" i="118"/>
  <c r="I23" i="121"/>
  <c r="K23" i="121" s="1"/>
  <c r="N23" i="121" s="1"/>
  <c r="O23" i="121" s="1"/>
  <c r="I35" i="121"/>
  <c r="K35" i="121" s="1"/>
  <c r="N35" i="121" s="1"/>
  <c r="I37" i="122"/>
  <c r="K37" i="122" s="1"/>
  <c r="N37" i="122" s="1"/>
  <c r="J12" i="125"/>
  <c r="J11" i="123"/>
  <c r="J6" i="122"/>
  <c r="J12" i="122"/>
  <c r="M12" i="122" s="1"/>
  <c r="J11" i="120"/>
  <c r="J14" i="120"/>
  <c r="J3" i="118"/>
  <c r="J7" i="118"/>
  <c r="J4" i="117"/>
  <c r="J7" i="112"/>
  <c r="K77" i="127"/>
  <c r="D82" i="127" s="1"/>
  <c r="H97" i="127"/>
  <c r="I22" i="116"/>
  <c r="K22" i="116" s="1"/>
  <c r="N22" i="116" s="1"/>
  <c r="O22" i="116" s="1"/>
  <c r="I28" i="116"/>
  <c r="K28" i="116" s="1"/>
  <c r="N28" i="116" s="1"/>
  <c r="J6" i="61"/>
  <c r="K6" i="61" s="1"/>
  <c r="J3" i="125"/>
  <c r="K3" i="125" s="1"/>
  <c r="J15" i="123"/>
  <c r="J4" i="120"/>
  <c r="K13" i="119"/>
  <c r="N13" i="119" s="1"/>
  <c r="J3" i="114"/>
  <c r="J18" i="114"/>
  <c r="I24" i="121"/>
  <c r="K24" i="121" s="1"/>
  <c r="N24" i="121" s="1"/>
  <c r="O24" i="121" s="1"/>
  <c r="I26" i="125"/>
  <c r="K26" i="125" s="1"/>
  <c r="N26" i="125" s="1"/>
  <c r="J13" i="125"/>
  <c r="J3" i="124"/>
  <c r="J6" i="124"/>
  <c r="J11" i="121"/>
  <c r="J3" i="119"/>
  <c r="J10" i="119"/>
  <c r="J5" i="116"/>
  <c r="J6" i="113"/>
  <c r="H48" i="127"/>
  <c r="I48" i="127"/>
  <c r="K48" i="127" s="1"/>
  <c r="L48" i="127" s="1"/>
  <c r="I31" i="119"/>
  <c r="K31" i="119" s="1"/>
  <c r="N31" i="119" s="1"/>
  <c r="I30" i="120"/>
  <c r="K30" i="120" s="1"/>
  <c r="N30" i="120" s="1"/>
  <c r="I34" i="123"/>
  <c r="K34" i="123" s="1"/>
  <c r="N34" i="123" s="1"/>
  <c r="J5" i="125"/>
  <c r="J17" i="125"/>
  <c r="M17" i="125" s="1"/>
  <c r="J14" i="124"/>
  <c r="K14" i="124" s="1"/>
  <c r="J18" i="124"/>
  <c r="J5" i="123"/>
  <c r="J12" i="123"/>
  <c r="J3" i="122"/>
  <c r="J16" i="121"/>
  <c r="K16" i="121" s="1"/>
  <c r="J7" i="120"/>
  <c r="J10" i="120"/>
  <c r="M10" i="120" s="1"/>
  <c r="J8" i="119"/>
  <c r="J15" i="119"/>
  <c r="J5" i="118"/>
  <c r="J9" i="118"/>
  <c r="J3" i="116"/>
  <c r="J10" i="116"/>
  <c r="J14" i="116"/>
  <c r="J7" i="115"/>
  <c r="J12" i="114"/>
  <c r="J16" i="114"/>
  <c r="J4" i="113"/>
  <c r="J11" i="113"/>
  <c r="H94" i="127"/>
  <c r="I26" i="123"/>
  <c r="K26" i="123" s="1"/>
  <c r="N26" i="123" s="1"/>
  <c r="J11" i="124"/>
  <c r="J13" i="122"/>
  <c r="J3" i="121"/>
  <c r="K3" i="121" s="1"/>
  <c r="N3" i="121" s="1"/>
  <c r="O3" i="121" s="1"/>
  <c r="O4" i="121" s="1"/>
  <c r="O5" i="121" s="1"/>
  <c r="J6" i="121"/>
  <c r="K6" i="121" s="1"/>
  <c r="J10" i="117"/>
  <c r="I96" i="127"/>
  <c r="K96" i="127" s="1"/>
  <c r="L96" i="127" s="1"/>
  <c r="L101" i="127" s="1"/>
  <c r="J14" i="118"/>
  <c r="J17" i="118"/>
  <c r="M17" i="118" s="1"/>
  <c r="J5" i="117"/>
  <c r="J12" i="113"/>
  <c r="I54" i="127"/>
  <c r="K54" i="127" s="1"/>
  <c r="L54" i="127" s="1"/>
  <c r="M54" i="127" s="1"/>
  <c r="M55" i="127" s="1"/>
  <c r="M56" i="127" s="1"/>
  <c r="M57" i="127" s="1"/>
  <c r="M58" i="127" s="1"/>
  <c r="J8" i="125"/>
  <c r="M8" i="125" s="1"/>
  <c r="J11" i="125"/>
  <c r="J8" i="124"/>
  <c r="J14" i="123"/>
  <c r="M14" i="123" s="1"/>
  <c r="J8" i="122"/>
  <c r="K8" i="122" s="1"/>
  <c r="J11" i="122"/>
  <c r="J8" i="121"/>
  <c r="J17" i="120"/>
  <c r="J5" i="119"/>
  <c r="J12" i="119"/>
  <c r="J18" i="119"/>
  <c r="J15" i="118"/>
  <c r="J6" i="117"/>
  <c r="J6" i="116"/>
  <c r="J14" i="115"/>
  <c r="K14" i="115" s="1"/>
  <c r="I44" i="127"/>
  <c r="K44" i="127" s="1"/>
  <c r="L44" i="127" s="1"/>
  <c r="M44" i="127" s="1"/>
  <c r="M45" i="127" s="1"/>
  <c r="M46" i="127" s="1"/>
  <c r="M47" i="127" s="1"/>
  <c r="I59" i="127"/>
  <c r="K59" i="127" s="1"/>
  <c r="L59" i="127" s="1"/>
  <c r="J8" i="117"/>
  <c r="J14" i="117"/>
  <c r="J7" i="116"/>
  <c r="J17" i="116"/>
  <c r="J4" i="115"/>
  <c r="J10" i="115"/>
  <c r="J12" i="118"/>
  <c r="J9" i="117"/>
  <c r="J12" i="117"/>
  <c r="J15" i="117"/>
  <c r="J8" i="116"/>
  <c r="J15" i="116"/>
  <c r="J18" i="116"/>
  <c r="J11" i="115"/>
  <c r="J5" i="114"/>
  <c r="K5" i="114" s="1"/>
  <c r="J11" i="114"/>
  <c r="J6" i="118"/>
  <c r="J18" i="118"/>
  <c r="J12" i="116"/>
  <c r="J15" i="115"/>
  <c r="J15" i="114"/>
  <c r="J3" i="113"/>
  <c r="J9" i="113"/>
  <c r="M9" i="113" s="1"/>
  <c r="J15" i="113"/>
  <c r="M15" i="113" s="1"/>
  <c r="O5" i="92"/>
  <c r="O23" i="61"/>
  <c r="O24" i="61" s="1"/>
  <c r="O25" i="61" s="1"/>
  <c r="O26" i="61" s="1"/>
  <c r="O23" i="124"/>
  <c r="O24" i="124" s="1"/>
  <c r="O23" i="118"/>
  <c r="O24" i="118" s="1"/>
  <c r="O25" i="118"/>
  <c r="O26" i="118" s="1"/>
  <c r="O27" i="118" s="1"/>
  <c r="O28" i="118" s="1"/>
  <c r="O24" i="93"/>
  <c r="O25" i="93" s="1"/>
  <c r="O24" i="91"/>
  <c r="O5" i="61"/>
  <c r="M10" i="125"/>
  <c r="K10" i="125"/>
  <c r="K15" i="125"/>
  <c r="N15" i="125" s="1"/>
  <c r="M15" i="125"/>
  <c r="K5" i="124"/>
  <c r="N5" i="124" s="1"/>
  <c r="M5" i="124"/>
  <c r="K10" i="124"/>
  <c r="M10" i="124"/>
  <c r="M12" i="124"/>
  <c r="M15" i="124"/>
  <c r="K15" i="124"/>
  <c r="M16" i="124"/>
  <c r="M4" i="123"/>
  <c r="K4" i="123"/>
  <c r="M5" i="123"/>
  <c r="K5" i="123"/>
  <c r="K12" i="123"/>
  <c r="M12" i="123"/>
  <c r="K17" i="123"/>
  <c r="N17" i="123" s="1"/>
  <c r="M17" i="123"/>
  <c r="M3" i="122"/>
  <c r="K3" i="122"/>
  <c r="K10" i="122"/>
  <c r="N10" i="122" s="1"/>
  <c r="M10" i="122"/>
  <c r="M15" i="122"/>
  <c r="K17" i="122"/>
  <c r="N17" i="122" s="1"/>
  <c r="M17" i="122"/>
  <c r="M10" i="121"/>
  <c r="K10" i="121"/>
  <c r="M12" i="121"/>
  <c r="M16" i="121"/>
  <c r="K4" i="120"/>
  <c r="M4" i="120"/>
  <c r="K5" i="120"/>
  <c r="N5" i="120" s="1"/>
  <c r="M5" i="120"/>
  <c r="K15" i="114"/>
  <c r="N15" i="114" s="1"/>
  <c r="M15" i="114"/>
  <c r="K9" i="113"/>
  <c r="K15" i="113"/>
  <c r="K7" i="112"/>
  <c r="M7" i="112"/>
  <c r="K6" i="125"/>
  <c r="N6" i="125" s="1"/>
  <c r="M6" i="125"/>
  <c r="M11" i="125"/>
  <c r="K12" i="125"/>
  <c r="M12" i="125"/>
  <c r="M3" i="124"/>
  <c r="K3" i="124"/>
  <c r="M6" i="124"/>
  <c r="K6" i="124"/>
  <c r="K7" i="124"/>
  <c r="N7" i="124" s="1"/>
  <c r="M7" i="124"/>
  <c r="M3" i="123"/>
  <c r="K3" i="123"/>
  <c r="K8" i="123"/>
  <c r="M8" i="123"/>
  <c r="M10" i="123"/>
  <c r="K10" i="123"/>
  <c r="M13" i="123"/>
  <c r="K13" i="123"/>
  <c r="K14" i="123"/>
  <c r="K6" i="122"/>
  <c r="M6" i="122"/>
  <c r="M8" i="122"/>
  <c r="M11" i="122"/>
  <c r="K12" i="122"/>
  <c r="M3" i="121"/>
  <c r="M6" i="121"/>
  <c r="M7" i="121"/>
  <c r="K7" i="121"/>
  <c r="M3" i="120"/>
  <c r="K8" i="120"/>
  <c r="M8" i="120"/>
  <c r="K10" i="120"/>
  <c r="K6" i="119"/>
  <c r="M6" i="119"/>
  <c r="K17" i="118"/>
  <c r="K4" i="115"/>
  <c r="M4" i="115"/>
  <c r="M5" i="114"/>
  <c r="N3" i="125" l="1"/>
  <c r="O3" i="125" s="1"/>
  <c r="O4" i="125" s="1"/>
  <c r="O5" i="125" s="1"/>
  <c r="O6" i="125" s="1"/>
  <c r="O7" i="125" s="1"/>
  <c r="O32" i="102"/>
  <c r="O25" i="107"/>
  <c r="O26" i="107" s="1"/>
  <c r="O27" i="107" s="1"/>
  <c r="O28" i="107" s="1"/>
  <c r="O29" i="107" s="1"/>
  <c r="O30" i="107" s="1"/>
  <c r="O31" i="107" s="1"/>
  <c r="N6" i="61"/>
  <c r="O6" i="61" s="1"/>
  <c r="O7" i="61" s="1"/>
  <c r="O8" i="61" s="1"/>
  <c r="O9" i="61" s="1"/>
  <c r="O10" i="61" s="1"/>
  <c r="O11" i="61" s="1"/>
  <c r="O12" i="61" s="1"/>
  <c r="O13" i="61" s="1"/>
  <c r="H56" i="1"/>
  <c r="I56" i="1" s="1"/>
  <c r="J56" i="1"/>
  <c r="K56" i="1" s="1"/>
  <c r="O24" i="92"/>
  <c r="N14" i="124"/>
  <c r="H54" i="1"/>
  <c r="I54" i="1" s="1"/>
  <c r="J54" i="1"/>
  <c r="K54" i="1" s="1"/>
  <c r="K11" i="114"/>
  <c r="M11" i="114"/>
  <c r="M16" i="114"/>
  <c r="K16" i="114"/>
  <c r="M3" i="115"/>
  <c r="K3" i="115"/>
  <c r="N3" i="115" s="1"/>
  <c r="O3" i="115" s="1"/>
  <c r="K8" i="108"/>
  <c r="N8" i="108" s="1"/>
  <c r="M8" i="108"/>
  <c r="K35" i="61"/>
  <c r="M35" i="61"/>
  <c r="M12" i="110"/>
  <c r="K12" i="110"/>
  <c r="M27" i="61"/>
  <c r="K27" i="61"/>
  <c r="N27" i="61" s="1"/>
  <c r="K24" i="104"/>
  <c r="M24" i="104"/>
  <c r="O6" i="110"/>
  <c r="O7" i="110" s="1"/>
  <c r="O8" i="110" s="1"/>
  <c r="O9" i="110" s="1"/>
  <c r="O10" i="110" s="1"/>
  <c r="O11" i="110" s="1"/>
  <c r="M26" i="93"/>
  <c r="K26" i="93"/>
  <c r="O6" i="92"/>
  <c r="K17" i="120"/>
  <c r="N17" i="120" s="1"/>
  <c r="M17" i="120"/>
  <c r="K12" i="114"/>
  <c r="M12" i="114"/>
  <c r="M3" i="118"/>
  <c r="K3" i="118"/>
  <c r="O8" i="105"/>
  <c r="O9" i="105" s="1"/>
  <c r="O10" i="105" s="1"/>
  <c r="O11" i="105" s="1"/>
  <c r="O12" i="105" s="1"/>
  <c r="O13" i="105" s="1"/>
  <c r="N17" i="108"/>
  <c r="M8" i="99"/>
  <c r="K8" i="99"/>
  <c r="N8" i="106"/>
  <c r="N6" i="122"/>
  <c r="N10" i="124"/>
  <c r="K27" i="117"/>
  <c r="M27" i="117"/>
  <c r="K11" i="117"/>
  <c r="M11" i="117"/>
  <c r="M6" i="123"/>
  <c r="K6" i="123"/>
  <c r="N6" i="123" s="1"/>
  <c r="M4" i="116"/>
  <c r="N4" i="116" s="1"/>
  <c r="K4" i="116"/>
  <c r="M25" i="113"/>
  <c r="K25" i="113"/>
  <c r="N25" i="113" s="1"/>
  <c r="O25" i="113" s="1"/>
  <c r="O26" i="113" s="1"/>
  <c r="O27" i="113" s="1"/>
  <c r="O28" i="113" s="1"/>
  <c r="O29" i="113" s="1"/>
  <c r="O30" i="113" s="1"/>
  <c r="K30" i="118"/>
  <c r="M30" i="118"/>
  <c r="M18" i="110"/>
  <c r="K18" i="110"/>
  <c r="N18" i="110" s="1"/>
  <c r="K6" i="110"/>
  <c r="N6" i="110" s="1"/>
  <c r="M6" i="110"/>
  <c r="M33" i="114"/>
  <c r="K33" i="114"/>
  <c r="N33" i="114" s="1"/>
  <c r="E88" i="1"/>
  <c r="F88" i="1"/>
  <c r="N30" i="61"/>
  <c r="M4" i="98"/>
  <c r="K4" i="98"/>
  <c r="N4" i="98" s="1"/>
  <c r="O4" i="98" s="1"/>
  <c r="O5" i="98" s="1"/>
  <c r="O6" i="98" s="1"/>
  <c r="O7" i="98" s="1"/>
  <c r="O8" i="98" s="1"/>
  <c r="O9" i="98" s="1"/>
  <c r="O10" i="98" s="1"/>
  <c r="O11" i="98" s="1"/>
  <c r="O12" i="98" s="1"/>
  <c r="O13" i="98" s="1"/>
  <c r="O14" i="98" s="1"/>
  <c r="O15" i="98" s="1"/>
  <c r="O16" i="98" s="1"/>
  <c r="O17" i="98" s="1"/>
  <c r="O18" i="98" s="1"/>
  <c r="O19" i="98" s="1"/>
  <c r="D29" i="1" s="1"/>
  <c r="N28" i="112"/>
  <c r="M37" i="104"/>
  <c r="K37" i="104"/>
  <c r="N37" i="104" s="1"/>
  <c r="K28" i="99"/>
  <c r="M28" i="99"/>
  <c r="N32" i="111"/>
  <c r="N6" i="114"/>
  <c r="N7" i="125"/>
  <c r="M28" i="108"/>
  <c r="K28" i="108"/>
  <c r="M9" i="115"/>
  <c r="K9" i="115"/>
  <c r="N9" i="115" s="1"/>
  <c r="O24" i="96"/>
  <c r="O25" i="96" s="1"/>
  <c r="O26" i="96" s="1"/>
  <c r="J90" i="1"/>
  <c r="K90" i="1" s="1"/>
  <c r="H90" i="1"/>
  <c r="I90" i="1" s="1"/>
  <c r="N35" i="116"/>
  <c r="N22" i="115"/>
  <c r="O22" i="115" s="1"/>
  <c r="O23" i="115" s="1"/>
  <c r="O24" i="115" s="1"/>
  <c r="K7" i="94"/>
  <c r="M7" i="94"/>
  <c r="O4" i="99"/>
  <c r="O5" i="99" s="1"/>
  <c r="K14" i="95"/>
  <c r="N14" i="95" s="1"/>
  <c r="M14" i="95"/>
  <c r="H93" i="1"/>
  <c r="I93" i="1" s="1"/>
  <c r="J93" i="1"/>
  <c r="K93" i="1" s="1"/>
  <c r="N31" i="105"/>
  <c r="M3" i="125"/>
  <c r="M18" i="116"/>
  <c r="K18" i="116"/>
  <c r="N18" i="116" s="1"/>
  <c r="K6" i="116"/>
  <c r="N6" i="116" s="1"/>
  <c r="M6" i="116"/>
  <c r="M5" i="117"/>
  <c r="K5" i="117"/>
  <c r="N5" i="117" s="1"/>
  <c r="K11" i="124"/>
  <c r="N11" i="124" s="1"/>
  <c r="M11" i="124"/>
  <c r="M14" i="116"/>
  <c r="K14" i="116"/>
  <c r="N14" i="116" s="1"/>
  <c r="M7" i="120"/>
  <c r="K7" i="120"/>
  <c r="M5" i="125"/>
  <c r="K5" i="125"/>
  <c r="N5" i="125" s="1"/>
  <c r="M10" i="119"/>
  <c r="K10" i="119"/>
  <c r="K18" i="114"/>
  <c r="M18" i="114"/>
  <c r="M11" i="120"/>
  <c r="K11" i="120"/>
  <c r="M29" i="118"/>
  <c r="K29" i="118"/>
  <c r="N29" i="118" s="1"/>
  <c r="K16" i="118"/>
  <c r="N16" i="118" s="1"/>
  <c r="M16" i="118"/>
  <c r="K26" i="112"/>
  <c r="M26" i="112"/>
  <c r="M25" i="110"/>
  <c r="K25" i="110"/>
  <c r="M16" i="106"/>
  <c r="K16" i="106"/>
  <c r="N16" i="106" s="1"/>
  <c r="K22" i="98"/>
  <c r="N22" i="98" s="1"/>
  <c r="O22" i="98" s="1"/>
  <c r="M22" i="98"/>
  <c r="M24" i="97"/>
  <c r="K24" i="97"/>
  <c r="N24" i="97" s="1"/>
  <c r="O24" i="97" s="1"/>
  <c r="O25" i="97" s="1"/>
  <c r="O26" i="97" s="1"/>
  <c r="O27" i="97" s="1"/>
  <c r="O28" i="97" s="1"/>
  <c r="M4" i="103"/>
  <c r="K4" i="103"/>
  <c r="M7" i="98"/>
  <c r="K7" i="98"/>
  <c r="N7" i="98" s="1"/>
  <c r="K14" i="102"/>
  <c r="N14" i="102" s="1"/>
  <c r="O14" i="102" s="1"/>
  <c r="O15" i="102" s="1"/>
  <c r="O16" i="102" s="1"/>
  <c r="O17" i="102" s="1"/>
  <c r="O18" i="102" s="1"/>
  <c r="O19" i="102" s="1"/>
  <c r="D33" i="1" s="1"/>
  <c r="M14" i="102"/>
  <c r="M24" i="99"/>
  <c r="K24" i="99"/>
  <c r="N24" i="99" s="1"/>
  <c r="O24" i="99" s="1"/>
  <c r="O25" i="99" s="1"/>
  <c r="O26" i="99" s="1"/>
  <c r="O27" i="99" s="1"/>
  <c r="K16" i="95"/>
  <c r="N16" i="95" s="1"/>
  <c r="M16" i="95"/>
  <c r="K32" i="120"/>
  <c r="M32" i="120"/>
  <c r="N37" i="108"/>
  <c r="K3" i="100"/>
  <c r="M3" i="100"/>
  <c r="K4" i="95"/>
  <c r="N4" i="95" s="1"/>
  <c r="O4" i="95" s="1"/>
  <c r="O5" i="95" s="1"/>
  <c r="O6" i="95" s="1"/>
  <c r="M4" i="95"/>
  <c r="N11" i="61"/>
  <c r="H91" i="1"/>
  <c r="I91" i="1" s="1"/>
  <c r="J91" i="1"/>
  <c r="K91" i="1" s="1"/>
  <c r="N15" i="94"/>
  <c r="N25" i="115"/>
  <c r="N36" i="104"/>
  <c r="N34" i="112"/>
  <c r="N29" i="99"/>
  <c r="N26" i="96"/>
  <c r="N10" i="120"/>
  <c r="M59" i="127"/>
  <c r="M60" i="127" s="1"/>
  <c r="M61" i="127" s="1"/>
  <c r="M18" i="124"/>
  <c r="K18" i="124"/>
  <c r="N18" i="124" s="1"/>
  <c r="K13" i="125"/>
  <c r="N13" i="125" s="1"/>
  <c r="M13" i="125"/>
  <c r="K7" i="118"/>
  <c r="M7" i="118"/>
  <c r="K6" i="120"/>
  <c r="N6" i="120" s="1"/>
  <c r="M6" i="120"/>
  <c r="O24" i="110"/>
  <c r="K29" i="61"/>
  <c r="M29" i="61"/>
  <c r="O5" i="108"/>
  <c r="K8" i="125"/>
  <c r="O29" i="118"/>
  <c r="M12" i="118"/>
  <c r="K12" i="118"/>
  <c r="K8" i="119"/>
  <c r="M8" i="119"/>
  <c r="M29" i="97"/>
  <c r="K29" i="97"/>
  <c r="N4" i="124"/>
  <c r="N4" i="115"/>
  <c r="O4" i="115" s="1"/>
  <c r="O5" i="115" s="1"/>
  <c r="O6" i="115" s="1"/>
  <c r="K11" i="115"/>
  <c r="M11" i="115"/>
  <c r="M8" i="121"/>
  <c r="K8" i="121"/>
  <c r="N8" i="121" s="1"/>
  <c r="K13" i="122"/>
  <c r="N13" i="122" s="1"/>
  <c r="M13" i="122"/>
  <c r="M7" i="115"/>
  <c r="K7" i="115"/>
  <c r="N7" i="115" s="1"/>
  <c r="M5" i="116"/>
  <c r="K5" i="116"/>
  <c r="M14" i="120"/>
  <c r="K14" i="120"/>
  <c r="N14" i="120" s="1"/>
  <c r="N14" i="123"/>
  <c r="K17" i="116"/>
  <c r="N17" i="116" s="1"/>
  <c r="M17" i="116"/>
  <c r="M49" i="127"/>
  <c r="M50" i="127" s="1"/>
  <c r="D80" i="127" s="1"/>
  <c r="M28" i="114"/>
  <c r="K28" i="114"/>
  <c r="K7" i="92"/>
  <c r="M7" i="92"/>
  <c r="O5" i="101"/>
  <c r="O6" i="101" s="1"/>
  <c r="O7" i="101" s="1"/>
  <c r="M14" i="124"/>
  <c r="M6" i="61"/>
  <c r="M7" i="116"/>
  <c r="K7" i="116"/>
  <c r="N7" i="116" s="1"/>
  <c r="M14" i="118"/>
  <c r="K14" i="118"/>
  <c r="N14" i="118" s="1"/>
  <c r="K3" i="116"/>
  <c r="M3" i="116"/>
  <c r="N3" i="116" s="1"/>
  <c r="O3" i="116" s="1"/>
  <c r="M11" i="121"/>
  <c r="K11" i="121"/>
  <c r="O24" i="119"/>
  <c r="O25" i="119" s="1"/>
  <c r="K10" i="113"/>
  <c r="N10" i="113" s="1"/>
  <c r="M10" i="113"/>
  <c r="K11" i="111"/>
  <c r="M11" i="111"/>
  <c r="K32" i="95"/>
  <c r="N32" i="95" s="1"/>
  <c r="M32" i="95"/>
  <c r="M12" i="120"/>
  <c r="K12" i="120"/>
  <c r="N12" i="120" s="1"/>
  <c r="K13" i="106"/>
  <c r="N13" i="106" s="1"/>
  <c r="M13" i="106"/>
  <c r="K13" i="109"/>
  <c r="M13" i="109"/>
  <c r="M25" i="117"/>
  <c r="K25" i="117"/>
  <c r="M33" i="111"/>
  <c r="K33" i="111"/>
  <c r="N33" i="111" s="1"/>
  <c r="M34" i="111"/>
  <c r="K34" i="111"/>
  <c r="N30" i="99"/>
  <c r="M23" i="109"/>
  <c r="K23" i="109"/>
  <c r="N23" i="109" s="1"/>
  <c r="O23" i="109" s="1"/>
  <c r="O24" i="109" s="1"/>
  <c r="O25" i="109" s="1"/>
  <c r="O26" i="109" s="1"/>
  <c r="O27" i="109" s="1"/>
  <c r="O28" i="109" s="1"/>
  <c r="O29" i="109" s="1"/>
  <c r="O30" i="109" s="1"/>
  <c r="O31" i="109" s="1"/>
  <c r="O32" i="109" s="1"/>
  <c r="O33" i="109" s="1"/>
  <c r="O34" i="109" s="1"/>
  <c r="N6" i="115"/>
  <c r="N6" i="99"/>
  <c r="K7" i="95"/>
  <c r="M7" i="95"/>
  <c r="N15" i="113"/>
  <c r="M5" i="119"/>
  <c r="K5" i="119"/>
  <c r="N5" i="119" s="1"/>
  <c r="M4" i="118"/>
  <c r="K4" i="118"/>
  <c r="M14" i="108"/>
  <c r="K14" i="108"/>
  <c r="M30" i="105"/>
  <c r="K30" i="105"/>
  <c r="N30" i="105" s="1"/>
  <c r="O30" i="105" s="1"/>
  <c r="O31" i="105" s="1"/>
  <c r="O32" i="105" s="1"/>
  <c r="O33" i="105" s="1"/>
  <c r="O34" i="105" s="1"/>
  <c r="O35" i="105" s="1"/>
  <c r="O36" i="105" s="1"/>
  <c r="O37" i="105" s="1"/>
  <c r="O38" i="105" s="1"/>
  <c r="G36" i="1" s="1"/>
  <c r="K6" i="113"/>
  <c r="N6" i="113" s="1"/>
  <c r="M6" i="113"/>
  <c r="M17" i="115"/>
  <c r="K17" i="115"/>
  <c r="N17" i="115" s="1"/>
  <c r="O5" i="96"/>
  <c r="O6" i="96" s="1"/>
  <c r="O7" i="96" s="1"/>
  <c r="O8" i="96" s="1"/>
  <c r="O9" i="96" s="1"/>
  <c r="O10" i="96" s="1"/>
  <c r="O11" i="96" s="1"/>
  <c r="O12" i="96" s="1"/>
  <c r="O13" i="96" s="1"/>
  <c r="O14" i="96" s="1"/>
  <c r="O15" i="96" s="1"/>
  <c r="O16" i="96" s="1"/>
  <c r="O17" i="96" s="1"/>
  <c r="O18" i="96" s="1"/>
  <c r="O19" i="96" s="1"/>
  <c r="D27" i="1" s="1"/>
  <c r="M32" i="109"/>
  <c r="K32" i="109"/>
  <c r="N32" i="109" s="1"/>
  <c r="M26" i="109"/>
  <c r="K26" i="109"/>
  <c r="N26" i="109" s="1"/>
  <c r="O4" i="96"/>
  <c r="M10" i="112"/>
  <c r="K10" i="112"/>
  <c r="N10" i="112" s="1"/>
  <c r="K37" i="100"/>
  <c r="N37" i="100" s="1"/>
  <c r="O37" i="100" s="1"/>
  <c r="O38" i="100" s="1"/>
  <c r="G31" i="1" s="1"/>
  <c r="M37" i="100"/>
  <c r="O32" i="111"/>
  <c r="O33" i="111" s="1"/>
  <c r="O26" i="120"/>
  <c r="O27" i="120" s="1"/>
  <c r="O28" i="120" s="1"/>
  <c r="O29" i="120" s="1"/>
  <c r="O30" i="120" s="1"/>
  <c r="O31" i="120" s="1"/>
  <c r="N8" i="123"/>
  <c r="K10" i="115"/>
  <c r="N10" i="115" s="1"/>
  <c r="M10" i="115"/>
  <c r="O8" i="107"/>
  <c r="O9" i="107" s="1"/>
  <c r="O10" i="107" s="1"/>
  <c r="O11" i="107" s="1"/>
  <c r="O12" i="107" s="1"/>
  <c r="O13" i="107" s="1"/>
  <c r="O14" i="107" s="1"/>
  <c r="O15" i="107" s="1"/>
  <c r="O16" i="107" s="1"/>
  <c r="O17" i="107" s="1"/>
  <c r="O18" i="107" s="1"/>
  <c r="O19" i="107" s="1"/>
  <c r="D38" i="1" s="1"/>
  <c r="N17" i="118"/>
  <c r="O25" i="91"/>
  <c r="O26" i="91" s="1"/>
  <c r="O27" i="91" s="1"/>
  <c r="M15" i="115"/>
  <c r="K15" i="115"/>
  <c r="N15" i="115" s="1"/>
  <c r="M6" i="117"/>
  <c r="K6" i="117"/>
  <c r="K3" i="114"/>
  <c r="M3" i="114"/>
  <c r="M13" i="104"/>
  <c r="K13" i="104"/>
  <c r="N13" i="104" s="1"/>
  <c r="K28" i="98"/>
  <c r="M28" i="98"/>
  <c r="M14" i="91"/>
  <c r="K14" i="91"/>
  <c r="K14" i="103"/>
  <c r="M14" i="103"/>
  <c r="O23" i="99"/>
  <c r="M7" i="103"/>
  <c r="K7" i="103"/>
  <c r="N7" i="103" s="1"/>
  <c r="M15" i="121"/>
  <c r="N15" i="121" s="1"/>
  <c r="K17" i="125"/>
  <c r="K8" i="116"/>
  <c r="M8" i="116"/>
  <c r="M8" i="114"/>
  <c r="K8" i="114"/>
  <c r="N12" i="125"/>
  <c r="N12" i="123"/>
  <c r="M18" i="118"/>
  <c r="K18" i="118"/>
  <c r="M15" i="117"/>
  <c r="K15" i="117"/>
  <c r="N15" i="117" s="1"/>
  <c r="M14" i="117"/>
  <c r="K14" i="117"/>
  <c r="M18" i="119"/>
  <c r="K18" i="119"/>
  <c r="N18" i="119" s="1"/>
  <c r="M8" i="124"/>
  <c r="N8" i="124" s="1"/>
  <c r="K8" i="124"/>
  <c r="M11" i="113"/>
  <c r="K11" i="113"/>
  <c r="N11" i="113" s="1"/>
  <c r="M9" i="118"/>
  <c r="K9" i="118"/>
  <c r="M11" i="119"/>
  <c r="K11" i="119"/>
  <c r="N11" i="119" s="1"/>
  <c r="M4" i="114"/>
  <c r="K4" i="114"/>
  <c r="K33" i="106"/>
  <c r="M33" i="106"/>
  <c r="K9" i="110"/>
  <c r="N9" i="110" s="1"/>
  <c r="M9" i="110"/>
  <c r="K3" i="104"/>
  <c r="M3" i="104"/>
  <c r="N3" i="104" s="1"/>
  <c r="O3" i="104" s="1"/>
  <c r="O4" i="104" s="1"/>
  <c r="O5" i="104" s="1"/>
  <c r="O6" i="104" s="1"/>
  <c r="O7" i="104" s="1"/>
  <c r="K16" i="119"/>
  <c r="N16" i="119" s="1"/>
  <c r="M16" i="119"/>
  <c r="K35" i="109"/>
  <c r="M35" i="109"/>
  <c r="K34" i="96"/>
  <c r="N34" i="96" s="1"/>
  <c r="M34" i="96"/>
  <c r="K37" i="95"/>
  <c r="M37" i="95"/>
  <c r="O25" i="121"/>
  <c r="O26" i="121" s="1"/>
  <c r="O27" i="121" s="1"/>
  <c r="O28" i="121" s="1"/>
  <c r="O29" i="121" s="1"/>
  <c r="O30" i="121" s="1"/>
  <c r="O31" i="121" s="1"/>
  <c r="O32" i="121" s="1"/>
  <c r="O33" i="121" s="1"/>
  <c r="O34" i="121" s="1"/>
  <c r="O35" i="121" s="1"/>
  <c r="O36" i="121" s="1"/>
  <c r="O37" i="121" s="1"/>
  <c r="O38" i="121" s="1"/>
  <c r="G52" i="1" s="1"/>
  <c r="K27" i="96"/>
  <c r="M27" i="96"/>
  <c r="K7" i="91"/>
  <c r="N7" i="91" s="1"/>
  <c r="M7" i="91"/>
  <c r="K26" i="106"/>
  <c r="M26" i="106"/>
  <c r="K27" i="104"/>
  <c r="N27" i="104" s="1"/>
  <c r="M27" i="104"/>
  <c r="N37" i="96"/>
  <c r="K29" i="119"/>
  <c r="M29" i="119"/>
  <c r="M8" i="104"/>
  <c r="K8" i="104"/>
  <c r="N8" i="104" s="1"/>
  <c r="O8" i="104" s="1"/>
  <c r="O9" i="104" s="1"/>
  <c r="O10" i="104" s="1"/>
  <c r="O11" i="104" s="1"/>
  <c r="O12" i="104" s="1"/>
  <c r="O13" i="104" s="1"/>
  <c r="O14" i="104" s="1"/>
  <c r="O15" i="104" s="1"/>
  <c r="M16" i="91"/>
  <c r="K16" i="91"/>
  <c r="N8" i="95"/>
  <c r="N33" i="92"/>
  <c r="N35" i="97"/>
  <c r="A95" i="1"/>
  <c r="B94" i="1"/>
  <c r="O27" i="61"/>
  <c r="O28" i="61" s="1"/>
  <c r="M9" i="117"/>
  <c r="K9" i="117"/>
  <c r="M15" i="119"/>
  <c r="K15" i="119"/>
  <c r="N15" i="119" s="1"/>
  <c r="O6" i="108"/>
  <c r="O7" i="108" s="1"/>
  <c r="M25" i="103"/>
  <c r="K25" i="103"/>
  <c r="N25" i="103" s="1"/>
  <c r="O25" i="103" s="1"/>
  <c r="O26" i="103" s="1"/>
  <c r="O27" i="103" s="1"/>
  <c r="O28" i="103" s="1"/>
  <c r="O29" i="103" s="1"/>
  <c r="O30" i="103" s="1"/>
  <c r="O31" i="103" s="1"/>
  <c r="O32" i="103" s="1"/>
  <c r="O33" i="103" s="1"/>
  <c r="O34" i="103" s="1"/>
  <c r="O35" i="103" s="1"/>
  <c r="O36" i="103" s="1"/>
  <c r="O37" i="103" s="1"/>
  <c r="O38" i="103" s="1"/>
  <c r="G34" i="1" s="1"/>
  <c r="M27" i="93"/>
  <c r="K27" i="93"/>
  <c r="N27" i="93" s="1"/>
  <c r="M34" i="116"/>
  <c r="K34" i="116"/>
  <c r="M33" i="102"/>
  <c r="K33" i="102"/>
  <c r="N33" i="102" s="1"/>
  <c r="K26" i="119"/>
  <c r="M26" i="119"/>
  <c r="M16" i="116"/>
  <c r="K16" i="116"/>
  <c r="N36" i="92"/>
  <c r="K7" i="106"/>
  <c r="M7" i="106"/>
  <c r="N8" i="120"/>
  <c r="N4" i="120"/>
  <c r="O4" i="120" s="1"/>
  <c r="O5" i="120" s="1"/>
  <c r="O6" i="120" s="1"/>
  <c r="K3" i="113"/>
  <c r="M3" i="113"/>
  <c r="K12" i="113"/>
  <c r="N12" i="113" s="1"/>
  <c r="M12" i="113"/>
  <c r="N12" i="122"/>
  <c r="O25" i="124"/>
  <c r="O26" i="124" s="1"/>
  <c r="O27" i="124" s="1"/>
  <c r="O28" i="124" s="1"/>
  <c r="O29" i="124" s="1"/>
  <c r="O30" i="124" s="1"/>
  <c r="O31" i="124" s="1"/>
  <c r="O32" i="124" s="1"/>
  <c r="O33" i="124" s="1"/>
  <c r="O34" i="124" s="1"/>
  <c r="O35" i="124" s="1"/>
  <c r="O36" i="124" s="1"/>
  <c r="O37" i="124" s="1"/>
  <c r="O38" i="124" s="1"/>
  <c r="G55" i="1" s="1"/>
  <c r="H55" i="1" s="1"/>
  <c r="I55" i="1" s="1"/>
  <c r="K15" i="116"/>
  <c r="M15" i="116"/>
  <c r="M10" i="116"/>
  <c r="K10" i="116"/>
  <c r="N10" i="116" s="1"/>
  <c r="K3" i="119"/>
  <c r="N3" i="119" s="1"/>
  <c r="O3" i="119" s="1"/>
  <c r="M3" i="119"/>
  <c r="M8" i="113"/>
  <c r="K8" i="113"/>
  <c r="N8" i="113" s="1"/>
  <c r="K32" i="107"/>
  <c r="M32" i="107"/>
  <c r="M31" i="113"/>
  <c r="K31" i="113"/>
  <c r="N31" i="113" s="1"/>
  <c r="M33" i="117"/>
  <c r="K33" i="117"/>
  <c r="K7" i="109"/>
  <c r="M7" i="109"/>
  <c r="K37" i="113"/>
  <c r="M37" i="113"/>
  <c r="M23" i="95"/>
  <c r="K23" i="95"/>
  <c r="N23" i="95" s="1"/>
  <c r="O23" i="95" s="1"/>
  <c r="O24" i="95" s="1"/>
  <c r="O25" i="95" s="1"/>
  <c r="O26" i="95" s="1"/>
  <c r="O27" i="95" s="1"/>
  <c r="O28" i="95" s="1"/>
  <c r="O29" i="95" s="1"/>
  <c r="O30" i="95" s="1"/>
  <c r="O31" i="95" s="1"/>
  <c r="O32" i="95" s="1"/>
  <c r="O33" i="95" s="1"/>
  <c r="O34" i="95" s="1"/>
  <c r="O35" i="95" s="1"/>
  <c r="O36" i="95" s="1"/>
  <c r="M16" i="104"/>
  <c r="K16" i="104"/>
  <c r="K25" i="108"/>
  <c r="M25" i="108"/>
  <c r="K4" i="94"/>
  <c r="M4" i="94"/>
  <c r="E90" i="1"/>
  <c r="F90" i="1"/>
  <c r="E93" i="1"/>
  <c r="F93" i="1"/>
  <c r="M14" i="115"/>
  <c r="N14" i="115" s="1"/>
  <c r="K12" i="116"/>
  <c r="M12" i="116"/>
  <c r="M15" i="118"/>
  <c r="K15" i="118"/>
  <c r="M17" i="114"/>
  <c r="K17" i="114"/>
  <c r="N17" i="114" s="1"/>
  <c r="N6" i="119"/>
  <c r="N7" i="112"/>
  <c r="M11" i="123"/>
  <c r="K11" i="123"/>
  <c r="N11" i="123" s="1"/>
  <c r="M13" i="114"/>
  <c r="K13" i="114"/>
  <c r="M25" i="107"/>
  <c r="K25" i="107"/>
  <c r="N25" i="107" s="1"/>
  <c r="M34" i="113"/>
  <c r="K34" i="113"/>
  <c r="M16" i="115"/>
  <c r="K16" i="115"/>
  <c r="N16" i="115" s="1"/>
  <c r="M14" i="61"/>
  <c r="K14" i="61"/>
  <c r="M31" i="107"/>
  <c r="K31" i="107"/>
  <c r="N31" i="107" s="1"/>
  <c r="M6" i="118"/>
  <c r="K6" i="118"/>
  <c r="M12" i="117"/>
  <c r="K12" i="117"/>
  <c r="N12" i="117" s="1"/>
  <c r="M8" i="117"/>
  <c r="K8" i="117"/>
  <c r="K12" i="119"/>
  <c r="M12" i="119"/>
  <c r="M10" i="117"/>
  <c r="K10" i="117"/>
  <c r="K4" i="113"/>
  <c r="M4" i="113"/>
  <c r="M5" i="118"/>
  <c r="K5" i="118"/>
  <c r="M48" i="127"/>
  <c r="K15" i="123"/>
  <c r="M15" i="123"/>
  <c r="N15" i="123" s="1"/>
  <c r="K4" i="117"/>
  <c r="M4" i="117"/>
  <c r="K9" i="114"/>
  <c r="M9" i="114"/>
  <c r="K4" i="119"/>
  <c r="N4" i="119" s="1"/>
  <c r="O4" i="119" s="1"/>
  <c r="M4" i="119"/>
  <c r="M16" i="100"/>
  <c r="K16" i="100"/>
  <c r="N16" i="100" s="1"/>
  <c r="M31" i="120"/>
  <c r="K31" i="120"/>
  <c r="N31" i="120" s="1"/>
  <c r="M12" i="115"/>
  <c r="K12" i="115"/>
  <c r="N12" i="115" s="1"/>
  <c r="K28" i="113"/>
  <c r="N28" i="113" s="1"/>
  <c r="M28" i="113"/>
  <c r="M4" i="112"/>
  <c r="K4" i="112"/>
  <c r="N4" i="112" s="1"/>
  <c r="O4" i="112" s="1"/>
  <c r="O5" i="112" s="1"/>
  <c r="O6" i="112" s="1"/>
  <c r="M33" i="99"/>
  <c r="K33" i="99"/>
  <c r="N33" i="99" s="1"/>
  <c r="M14" i="114"/>
  <c r="K14" i="114"/>
  <c r="N14" i="114" s="1"/>
  <c r="K33" i="61"/>
  <c r="N33" i="61" s="1"/>
  <c r="M33" i="61"/>
  <c r="K35" i="94"/>
  <c r="M35" i="94"/>
  <c r="K8" i="101"/>
  <c r="M8" i="101"/>
  <c r="N23" i="98"/>
  <c r="O23" i="98" s="1"/>
  <c r="O24" i="98" s="1"/>
  <c r="O25" i="98" s="1"/>
  <c r="O26" i="98" s="1"/>
  <c r="O27" i="98" s="1"/>
  <c r="K14" i="97"/>
  <c r="N14" i="97" s="1"/>
  <c r="O14" i="97" s="1"/>
  <c r="O15" i="97" s="1"/>
  <c r="O16" i="97" s="1"/>
  <c r="O17" i="97" s="1"/>
  <c r="O18" i="97" s="1"/>
  <c r="O19" i="97" s="1"/>
  <c r="D28" i="1" s="1"/>
  <c r="M14" i="97"/>
  <c r="N30" i="95"/>
  <c r="K14" i="105"/>
  <c r="M14" i="105"/>
  <c r="N22" i="95"/>
  <c r="O22" i="95" s="1"/>
  <c r="N18" i="101"/>
  <c r="N6" i="91"/>
  <c r="O6" i="91" s="1"/>
  <c r="O7" i="91" s="1"/>
  <c r="O8" i="91" s="1"/>
  <c r="O9" i="91" s="1"/>
  <c r="O10" i="91" s="1"/>
  <c r="O11" i="91" s="1"/>
  <c r="O12" i="91" s="1"/>
  <c r="O13" i="91" s="1"/>
  <c r="O26" i="114"/>
  <c r="O27" i="114" s="1"/>
  <c r="N14" i="125"/>
  <c r="N9" i="120"/>
  <c r="H92" i="1"/>
  <c r="I92" i="1" s="1"/>
  <c r="J92" i="1"/>
  <c r="K92" i="1" s="1"/>
  <c r="N25" i="92"/>
  <c r="N23" i="117"/>
  <c r="O23" i="117" s="1"/>
  <c r="O24" i="117" s="1"/>
  <c r="N28" i="91"/>
  <c r="N36" i="110"/>
  <c r="E24" i="1"/>
  <c r="F24" i="1"/>
  <c r="J55" i="1"/>
  <c r="K55" i="1" s="1"/>
  <c r="H32" i="1"/>
  <c r="I32" i="1" s="1"/>
  <c r="J32" i="1"/>
  <c r="K32" i="1" s="1"/>
  <c r="J53" i="1"/>
  <c r="K53" i="1" s="1"/>
  <c r="H53" i="1"/>
  <c r="I53" i="1" s="1"/>
  <c r="N5" i="114"/>
  <c r="N7" i="121"/>
  <c r="N6" i="121"/>
  <c r="O6" i="121" s="1"/>
  <c r="N8" i="122"/>
  <c r="N13" i="123"/>
  <c r="N10" i="123"/>
  <c r="N3" i="123"/>
  <c r="O3" i="123" s="1"/>
  <c r="N6" i="124"/>
  <c r="N3" i="124"/>
  <c r="O3" i="124" s="1"/>
  <c r="O4" i="124" s="1"/>
  <c r="O5" i="124" s="1"/>
  <c r="N11" i="125"/>
  <c r="N8" i="125"/>
  <c r="N9" i="113"/>
  <c r="N16" i="121"/>
  <c r="N12" i="121"/>
  <c r="N10" i="121"/>
  <c r="N15" i="122"/>
  <c r="N3" i="122"/>
  <c r="O3" i="122" s="1"/>
  <c r="O4" i="122" s="1"/>
  <c r="O5" i="122" s="1"/>
  <c r="O6" i="122" s="1"/>
  <c r="O7" i="122" s="1"/>
  <c r="N5" i="123"/>
  <c r="N4" i="123"/>
  <c r="N16" i="124"/>
  <c r="N15" i="124"/>
  <c r="N12" i="124"/>
  <c r="N17" i="125"/>
  <c r="N10" i="125"/>
  <c r="H31" i="1" l="1"/>
  <c r="I31" i="1" s="1"/>
  <c r="J31" i="1"/>
  <c r="K31" i="1" s="1"/>
  <c r="H34" i="1"/>
  <c r="I34" i="1" s="1"/>
  <c r="J34" i="1"/>
  <c r="K34" i="1" s="1"/>
  <c r="O7" i="95"/>
  <c r="O8" i="95" s="1"/>
  <c r="O9" i="95" s="1"/>
  <c r="O10" i="95" s="1"/>
  <c r="O11" i="95" s="1"/>
  <c r="O12" i="95" s="1"/>
  <c r="O13" i="95" s="1"/>
  <c r="O14" i="95" s="1"/>
  <c r="O15" i="95" s="1"/>
  <c r="O16" i="95" s="1"/>
  <c r="O17" i="95" s="1"/>
  <c r="O18" i="95" s="1"/>
  <c r="O19" i="95" s="1"/>
  <c r="D26" i="1" s="1"/>
  <c r="O29" i="97"/>
  <c r="O30" i="97" s="1"/>
  <c r="O31" i="97" s="1"/>
  <c r="O32" i="97" s="1"/>
  <c r="O33" i="97" s="1"/>
  <c r="O34" i="97" s="1"/>
  <c r="O35" i="97" s="1"/>
  <c r="O36" i="97" s="1"/>
  <c r="O37" i="97" s="1"/>
  <c r="O38" i="97" s="1"/>
  <c r="G28" i="1" s="1"/>
  <c r="F28" i="1"/>
  <c r="E28" i="1"/>
  <c r="O8" i="101"/>
  <c r="O9" i="101" s="1"/>
  <c r="O10" i="101" s="1"/>
  <c r="O11" i="101" s="1"/>
  <c r="O12" i="101" s="1"/>
  <c r="O13" i="101" s="1"/>
  <c r="O14" i="101" s="1"/>
  <c r="O15" i="101" s="1"/>
  <c r="O16" i="101" s="1"/>
  <c r="O17" i="101" s="1"/>
  <c r="O18" i="101" s="1"/>
  <c r="O19" i="101" s="1"/>
  <c r="D32" i="1" s="1"/>
  <c r="E27" i="1"/>
  <c r="F27" i="1"/>
  <c r="O28" i="98"/>
  <c r="O29" i="98" s="1"/>
  <c r="O30" i="98" s="1"/>
  <c r="O31" i="98" s="1"/>
  <c r="O32" i="98" s="1"/>
  <c r="O33" i="98" s="1"/>
  <c r="O34" i="98" s="1"/>
  <c r="O35" i="98" s="1"/>
  <c r="O36" i="98" s="1"/>
  <c r="O37" i="98" s="1"/>
  <c r="O38" i="98" s="1"/>
  <c r="G29" i="1" s="1"/>
  <c r="F33" i="1"/>
  <c r="E33" i="1"/>
  <c r="H36" i="1"/>
  <c r="I36" i="1" s="1"/>
  <c r="J36" i="1"/>
  <c r="K36" i="1" s="1"/>
  <c r="E29" i="1"/>
  <c r="F29" i="1"/>
  <c r="O10" i="121"/>
  <c r="O11" i="121" s="1"/>
  <c r="O12" i="121" s="1"/>
  <c r="O13" i="121" s="1"/>
  <c r="O14" i="121" s="1"/>
  <c r="O15" i="121" s="1"/>
  <c r="O16" i="121" s="1"/>
  <c r="O17" i="121" s="1"/>
  <c r="O18" i="121" s="1"/>
  <c r="O19" i="121" s="1"/>
  <c r="D52" i="1" s="1"/>
  <c r="O28" i="99"/>
  <c r="O29" i="99" s="1"/>
  <c r="O30" i="99" s="1"/>
  <c r="O31" i="99" s="1"/>
  <c r="O32" i="99" s="1"/>
  <c r="O33" i="99" s="1"/>
  <c r="O34" i="99" s="1"/>
  <c r="O35" i="99" s="1"/>
  <c r="O36" i="99" s="1"/>
  <c r="O37" i="99" s="1"/>
  <c r="O38" i="99" s="1"/>
  <c r="G30" i="1" s="1"/>
  <c r="N4" i="113"/>
  <c r="N12" i="116"/>
  <c r="N26" i="119"/>
  <c r="O26" i="119" s="1"/>
  <c r="O27" i="119" s="1"/>
  <c r="O28" i="119" s="1"/>
  <c r="O29" i="119" s="1"/>
  <c r="O30" i="119" s="1"/>
  <c r="O31" i="119" s="1"/>
  <c r="O32" i="119" s="1"/>
  <c r="O33" i="119" s="1"/>
  <c r="O34" i="119" s="1"/>
  <c r="O35" i="119" s="1"/>
  <c r="O36" i="119" s="1"/>
  <c r="O37" i="119" s="1"/>
  <c r="O38" i="119" s="1"/>
  <c r="G50" i="1" s="1"/>
  <c r="G94" i="1"/>
  <c r="C94" i="1"/>
  <c r="D94" i="1"/>
  <c r="N26" i="106"/>
  <c r="O26" i="106" s="1"/>
  <c r="O27" i="106" s="1"/>
  <c r="O28" i="106" s="1"/>
  <c r="O29" i="106" s="1"/>
  <c r="O30" i="106" s="1"/>
  <c r="O31" i="106" s="1"/>
  <c r="O32" i="106" s="1"/>
  <c r="N37" i="95"/>
  <c r="O34" i="111"/>
  <c r="O35" i="111" s="1"/>
  <c r="O36" i="111" s="1"/>
  <c r="O37" i="111" s="1"/>
  <c r="O38" i="111" s="1"/>
  <c r="G42" i="1" s="1"/>
  <c r="N13" i="109"/>
  <c r="N11" i="111"/>
  <c r="O11" i="111" s="1"/>
  <c r="O12" i="111" s="1"/>
  <c r="O13" i="111" s="1"/>
  <c r="O14" i="111" s="1"/>
  <c r="O15" i="111" s="1"/>
  <c r="O16" i="111" s="1"/>
  <c r="O17" i="111" s="1"/>
  <c r="O18" i="111" s="1"/>
  <c r="O19" i="111" s="1"/>
  <c r="D42" i="1" s="1"/>
  <c r="N7" i="92"/>
  <c r="N8" i="119"/>
  <c r="N3" i="100"/>
  <c r="O3" i="100" s="1"/>
  <c r="O4" i="100" s="1"/>
  <c r="O5" i="100" s="1"/>
  <c r="O6" i="100" s="1"/>
  <c r="O7" i="100" s="1"/>
  <c r="O8" i="100" s="1"/>
  <c r="O9" i="100" s="1"/>
  <c r="O10" i="100" s="1"/>
  <c r="O11" i="100" s="1"/>
  <c r="O12" i="100" s="1"/>
  <c r="O13" i="100" s="1"/>
  <c r="O14" i="100" s="1"/>
  <c r="O15" i="100" s="1"/>
  <c r="O16" i="100" s="1"/>
  <c r="O17" i="100" s="1"/>
  <c r="O18" i="100" s="1"/>
  <c r="O19" i="100" s="1"/>
  <c r="D31" i="1" s="1"/>
  <c r="N26" i="112"/>
  <c r="O26" i="112" s="1"/>
  <c r="O27" i="112" s="1"/>
  <c r="O28" i="112" s="1"/>
  <c r="O29" i="112" s="1"/>
  <c r="O30" i="112" s="1"/>
  <c r="O31" i="112" s="1"/>
  <c r="O32" i="112" s="1"/>
  <c r="O33" i="112" s="1"/>
  <c r="O34" i="112" s="1"/>
  <c r="O35" i="112" s="1"/>
  <c r="O36" i="112" s="1"/>
  <c r="O37" i="112" s="1"/>
  <c r="O38" i="112" s="1"/>
  <c r="G43" i="1" s="1"/>
  <c r="N18" i="114"/>
  <c r="N12" i="114"/>
  <c r="N24" i="104"/>
  <c r="O24" i="104" s="1"/>
  <c r="O25" i="104" s="1"/>
  <c r="O26" i="104" s="1"/>
  <c r="O27" i="104" s="1"/>
  <c r="O28" i="104" s="1"/>
  <c r="O29" i="104" s="1"/>
  <c r="O30" i="104" s="1"/>
  <c r="O31" i="104" s="1"/>
  <c r="O32" i="104" s="1"/>
  <c r="O33" i="104" s="1"/>
  <c r="O34" i="104" s="1"/>
  <c r="O35" i="104" s="1"/>
  <c r="O36" i="104" s="1"/>
  <c r="O37" i="104" s="1"/>
  <c r="O38" i="104" s="1"/>
  <c r="G35" i="1" s="1"/>
  <c r="N11" i="114"/>
  <c r="O33" i="102"/>
  <c r="O34" i="102" s="1"/>
  <c r="O35" i="102" s="1"/>
  <c r="O36" i="102" s="1"/>
  <c r="O37" i="102" s="1"/>
  <c r="O38" i="102" s="1"/>
  <c r="G33" i="1" s="1"/>
  <c r="O25" i="92"/>
  <c r="O26" i="92" s="1"/>
  <c r="O27" i="92" s="1"/>
  <c r="O28" i="92" s="1"/>
  <c r="O29" i="92" s="1"/>
  <c r="O30" i="92" s="1"/>
  <c r="O31" i="92" s="1"/>
  <c r="O32" i="92" s="1"/>
  <c r="O33" i="92" s="1"/>
  <c r="O34" i="92" s="1"/>
  <c r="O35" i="92" s="1"/>
  <c r="O36" i="92" s="1"/>
  <c r="O37" i="92" s="1"/>
  <c r="O38" i="92" s="1"/>
  <c r="G23" i="1" s="1"/>
  <c r="N8" i="101"/>
  <c r="N4" i="117"/>
  <c r="O4" i="117" s="1"/>
  <c r="O5" i="117" s="1"/>
  <c r="O6" i="117" s="1"/>
  <c r="O7" i="117" s="1"/>
  <c r="O8" i="117" s="1"/>
  <c r="O9" i="117" s="1"/>
  <c r="O10" i="117" s="1"/>
  <c r="O11" i="117" s="1"/>
  <c r="O12" i="117" s="1"/>
  <c r="O13" i="117" s="1"/>
  <c r="O14" i="117" s="1"/>
  <c r="O15" i="117" s="1"/>
  <c r="O16" i="117" s="1"/>
  <c r="O17" i="117" s="1"/>
  <c r="O18" i="117" s="1"/>
  <c r="O19" i="117" s="1"/>
  <c r="D48" i="1" s="1"/>
  <c r="N10" i="117"/>
  <c r="N6" i="118"/>
  <c r="N34" i="113"/>
  <c r="O7" i="112"/>
  <c r="O8" i="112" s="1"/>
  <c r="O9" i="112" s="1"/>
  <c r="O10" i="112" s="1"/>
  <c r="O11" i="112" s="1"/>
  <c r="O12" i="112" s="1"/>
  <c r="O13" i="112" s="1"/>
  <c r="O14" i="112" s="1"/>
  <c r="O15" i="112" s="1"/>
  <c r="O16" i="112" s="1"/>
  <c r="O17" i="112" s="1"/>
  <c r="O18" i="112" s="1"/>
  <c r="O19" i="112" s="1"/>
  <c r="D43" i="1" s="1"/>
  <c r="N4" i="94"/>
  <c r="O4" i="94" s="1"/>
  <c r="O5" i="94" s="1"/>
  <c r="O6" i="94" s="1"/>
  <c r="N37" i="113"/>
  <c r="N32" i="107"/>
  <c r="O32" i="107" s="1"/>
  <c r="O33" i="107" s="1"/>
  <c r="O34" i="107" s="1"/>
  <c r="O35" i="107" s="1"/>
  <c r="O36" i="107" s="1"/>
  <c r="O37" i="107" s="1"/>
  <c r="O38" i="107" s="1"/>
  <c r="G38" i="1" s="1"/>
  <c r="N15" i="116"/>
  <c r="B95" i="1"/>
  <c r="A96" i="1"/>
  <c r="N9" i="118"/>
  <c r="N14" i="117"/>
  <c r="N8" i="114"/>
  <c r="O28" i="91"/>
  <c r="O29" i="91" s="1"/>
  <c r="O30" i="91" s="1"/>
  <c r="O31" i="91" s="1"/>
  <c r="O32" i="91" s="1"/>
  <c r="O33" i="91" s="1"/>
  <c r="O34" i="91" s="1"/>
  <c r="O35" i="91" s="1"/>
  <c r="O36" i="91" s="1"/>
  <c r="O37" i="91" s="1"/>
  <c r="O38" i="91" s="1"/>
  <c r="G22" i="1" s="1"/>
  <c r="N14" i="108"/>
  <c r="N34" i="111"/>
  <c r="N28" i="114"/>
  <c r="O28" i="114" s="1"/>
  <c r="O29" i="114" s="1"/>
  <c r="O30" i="114" s="1"/>
  <c r="O31" i="114" s="1"/>
  <c r="O32" i="114" s="1"/>
  <c r="O33" i="114" s="1"/>
  <c r="O34" i="114" s="1"/>
  <c r="O35" i="114" s="1"/>
  <c r="O36" i="114" s="1"/>
  <c r="O37" i="114" s="1"/>
  <c r="O38" i="114" s="1"/>
  <c r="G45" i="1" s="1"/>
  <c r="N5" i="116"/>
  <c r="N11" i="115"/>
  <c r="N12" i="118"/>
  <c r="N10" i="119"/>
  <c r="N7" i="94"/>
  <c r="N28" i="108"/>
  <c r="N30" i="118"/>
  <c r="N11" i="117"/>
  <c r="N8" i="99"/>
  <c r="N9" i="114"/>
  <c r="N28" i="98"/>
  <c r="N35" i="61"/>
  <c r="O31" i="113"/>
  <c r="O32" i="113" s="1"/>
  <c r="O33" i="113" s="1"/>
  <c r="N14" i="105"/>
  <c r="O14" i="105" s="1"/>
  <c r="O15" i="105" s="1"/>
  <c r="O16" i="105" s="1"/>
  <c r="O17" i="105" s="1"/>
  <c r="O18" i="105" s="1"/>
  <c r="O19" i="105" s="1"/>
  <c r="D36" i="1" s="1"/>
  <c r="N7" i="109"/>
  <c r="O7" i="109" s="1"/>
  <c r="O8" i="109" s="1"/>
  <c r="O9" i="109" s="1"/>
  <c r="O10" i="109" s="1"/>
  <c r="O11" i="109" s="1"/>
  <c r="O12" i="109" s="1"/>
  <c r="O13" i="109" s="1"/>
  <c r="O14" i="109" s="1"/>
  <c r="O15" i="109" s="1"/>
  <c r="O16" i="109" s="1"/>
  <c r="O17" i="109" s="1"/>
  <c r="O18" i="109" s="1"/>
  <c r="O19" i="109" s="1"/>
  <c r="D40" i="1" s="1"/>
  <c r="N29" i="119"/>
  <c r="E38" i="1"/>
  <c r="F38" i="1"/>
  <c r="O30" i="118"/>
  <c r="O31" i="118" s="1"/>
  <c r="O32" i="118" s="1"/>
  <c r="O33" i="118" s="1"/>
  <c r="O34" i="118" s="1"/>
  <c r="O35" i="118" s="1"/>
  <c r="O36" i="118" s="1"/>
  <c r="O37" i="118" s="1"/>
  <c r="O38" i="118" s="1"/>
  <c r="G49" i="1" s="1"/>
  <c r="N27" i="117"/>
  <c r="O7" i="92"/>
  <c r="O8" i="92" s="1"/>
  <c r="O9" i="92" s="1"/>
  <c r="O10" i="92" s="1"/>
  <c r="O11" i="92" s="1"/>
  <c r="O12" i="92" s="1"/>
  <c r="O13" i="92" s="1"/>
  <c r="O14" i="92" s="1"/>
  <c r="O15" i="92" s="1"/>
  <c r="O16" i="92" s="1"/>
  <c r="O17" i="92" s="1"/>
  <c r="O18" i="92" s="1"/>
  <c r="O19" i="92" s="1"/>
  <c r="D23" i="1" s="1"/>
  <c r="O37" i="95"/>
  <c r="O38" i="95" s="1"/>
  <c r="G26" i="1" s="1"/>
  <c r="O27" i="96"/>
  <c r="O28" i="96" s="1"/>
  <c r="O29" i="96" s="1"/>
  <c r="O30" i="96" s="1"/>
  <c r="O31" i="96" s="1"/>
  <c r="O32" i="96" s="1"/>
  <c r="O33" i="96" s="1"/>
  <c r="O34" i="96" s="1"/>
  <c r="O35" i="96" s="1"/>
  <c r="O36" i="96" s="1"/>
  <c r="O37" i="96" s="1"/>
  <c r="O38" i="96" s="1"/>
  <c r="G27" i="1" s="1"/>
  <c r="N3" i="113"/>
  <c r="O3" i="113" s="1"/>
  <c r="N29" i="61"/>
  <c r="N28" i="99"/>
  <c r="O8" i="125"/>
  <c r="O9" i="125" s="1"/>
  <c r="O10" i="125" s="1"/>
  <c r="O11" i="125" s="1"/>
  <c r="O12" i="125" s="1"/>
  <c r="O13" i="125" s="1"/>
  <c r="O14" i="125" s="1"/>
  <c r="O15" i="125" s="1"/>
  <c r="O16" i="125" s="1"/>
  <c r="O17" i="125" s="1"/>
  <c r="O18" i="125" s="1"/>
  <c r="O19" i="125" s="1"/>
  <c r="D56" i="1" s="1"/>
  <c r="O6" i="119"/>
  <c r="O7" i="119" s="1"/>
  <c r="O8" i="119" s="1"/>
  <c r="O9" i="119" s="1"/>
  <c r="O10" i="119" s="1"/>
  <c r="O11" i="119" s="1"/>
  <c r="O25" i="115"/>
  <c r="O26" i="115" s="1"/>
  <c r="O27" i="115" s="1"/>
  <c r="O28" i="115" s="1"/>
  <c r="O29" i="115" s="1"/>
  <c r="O30" i="115" s="1"/>
  <c r="O31" i="115" s="1"/>
  <c r="O32" i="115" s="1"/>
  <c r="O33" i="115" s="1"/>
  <c r="O34" i="115" s="1"/>
  <c r="O35" i="115" s="1"/>
  <c r="O36" i="115" s="1"/>
  <c r="O37" i="115" s="1"/>
  <c r="O38" i="115" s="1"/>
  <c r="G46" i="1" s="1"/>
  <c r="O8" i="108"/>
  <c r="O9" i="108" s="1"/>
  <c r="O10" i="108" s="1"/>
  <c r="O11" i="108" s="1"/>
  <c r="O12" i="108" s="1"/>
  <c r="O13" i="108" s="1"/>
  <c r="O14" i="108" s="1"/>
  <c r="O15" i="108" s="1"/>
  <c r="O16" i="108" s="1"/>
  <c r="O17" i="108" s="1"/>
  <c r="O18" i="108" s="1"/>
  <c r="O19" i="108" s="1"/>
  <c r="D39" i="1" s="1"/>
  <c r="O5" i="123"/>
  <c r="O6" i="123" s="1"/>
  <c r="O7" i="123" s="1"/>
  <c r="O8" i="123" s="1"/>
  <c r="O9" i="123" s="1"/>
  <c r="O7" i="121"/>
  <c r="O8" i="121" s="1"/>
  <c r="O9" i="121" s="1"/>
  <c r="N35" i="94"/>
  <c r="O35" i="94" s="1"/>
  <c r="O36" i="94" s="1"/>
  <c r="O37" i="94" s="1"/>
  <c r="O38" i="94" s="1"/>
  <c r="G25" i="1" s="1"/>
  <c r="N25" i="108"/>
  <c r="O25" i="108" s="1"/>
  <c r="O26" i="108" s="1"/>
  <c r="O27" i="108" s="1"/>
  <c r="O28" i="108" s="1"/>
  <c r="O29" i="108" s="1"/>
  <c r="O30" i="108" s="1"/>
  <c r="O31" i="108" s="1"/>
  <c r="O32" i="108" s="1"/>
  <c r="O33" i="108" s="1"/>
  <c r="O34" i="108" s="1"/>
  <c r="O35" i="108" s="1"/>
  <c r="O36" i="108" s="1"/>
  <c r="O37" i="108" s="1"/>
  <c r="O38" i="108" s="1"/>
  <c r="G39" i="1" s="1"/>
  <c r="N7" i="106"/>
  <c r="O7" i="106" s="1"/>
  <c r="O8" i="106" s="1"/>
  <c r="O9" i="106" s="1"/>
  <c r="O10" i="106" s="1"/>
  <c r="O11" i="106" s="1"/>
  <c r="O12" i="106" s="1"/>
  <c r="O13" i="106" s="1"/>
  <c r="O14" i="106" s="1"/>
  <c r="O15" i="106" s="1"/>
  <c r="O16" i="106" s="1"/>
  <c r="O17" i="106" s="1"/>
  <c r="O18" i="106" s="1"/>
  <c r="O19" i="106" s="1"/>
  <c r="D37" i="1" s="1"/>
  <c r="N14" i="103"/>
  <c r="N7" i="95"/>
  <c r="J12" i="126"/>
  <c r="K12" i="126" s="1"/>
  <c r="D7" i="126"/>
  <c r="E7" i="126" s="1"/>
  <c r="D11" i="126"/>
  <c r="E11" i="126" s="1"/>
  <c r="J22" i="126"/>
  <c r="K22" i="126" s="1"/>
  <c r="J11" i="126"/>
  <c r="K11" i="126" s="1"/>
  <c r="J25" i="126"/>
  <c r="K25" i="126" s="1"/>
  <c r="J23" i="126"/>
  <c r="K23" i="126" s="1"/>
  <c r="J27" i="126"/>
  <c r="K27" i="126" s="1"/>
  <c r="D21" i="126"/>
  <c r="E21" i="126" s="1"/>
  <c r="D12" i="126"/>
  <c r="E12" i="126" s="1"/>
  <c r="D8" i="126"/>
  <c r="E8" i="126" s="1"/>
  <c r="J9" i="126"/>
  <c r="K9" i="126" s="1"/>
  <c r="J8" i="126"/>
  <c r="K8" i="126" s="1"/>
  <c r="J26" i="126"/>
  <c r="K26" i="126" s="1"/>
  <c r="D9" i="126"/>
  <c r="E9" i="126" s="1"/>
  <c r="D13" i="126"/>
  <c r="E13" i="126" s="1"/>
  <c r="J20" i="126"/>
  <c r="K20" i="126" s="1"/>
  <c r="D27" i="126"/>
  <c r="E27" i="126" s="1"/>
  <c r="J10" i="126"/>
  <c r="K10" i="126" s="1"/>
  <c r="D26" i="126"/>
  <c r="E26" i="126" s="1"/>
  <c r="D14" i="126"/>
  <c r="E14" i="126" s="1"/>
  <c r="J13" i="126"/>
  <c r="K13" i="126" s="1"/>
  <c r="D10" i="126"/>
  <c r="E10" i="126" s="1"/>
  <c r="D22" i="126"/>
  <c r="E22" i="126" s="1"/>
  <c r="D25" i="126"/>
  <c r="E25" i="126" s="1"/>
  <c r="D24" i="126"/>
  <c r="E24" i="126" s="1"/>
  <c r="J24" i="126"/>
  <c r="K24" i="126" s="1"/>
  <c r="J7" i="126"/>
  <c r="K7" i="126" s="1"/>
  <c r="J14" i="126"/>
  <c r="K14" i="126" s="1"/>
  <c r="J21" i="126"/>
  <c r="K21" i="126" s="1"/>
  <c r="D23" i="126"/>
  <c r="E23" i="126" s="1"/>
  <c r="D20" i="126"/>
  <c r="E20" i="126" s="1"/>
  <c r="O7" i="115"/>
  <c r="O8" i="115" s="1"/>
  <c r="O9" i="115" s="1"/>
  <c r="O10" i="115" s="1"/>
  <c r="O11" i="115" s="1"/>
  <c r="O12" i="115" s="1"/>
  <c r="O13" i="115" s="1"/>
  <c r="O14" i="115" s="1"/>
  <c r="O15" i="115" s="1"/>
  <c r="O16" i="115" s="1"/>
  <c r="O17" i="115" s="1"/>
  <c r="O18" i="115" s="1"/>
  <c r="O19" i="115" s="1"/>
  <c r="D46" i="1" s="1"/>
  <c r="N12" i="119"/>
  <c r="N16" i="104"/>
  <c r="O16" i="104" s="1"/>
  <c r="O17" i="104" s="1"/>
  <c r="O18" i="104" s="1"/>
  <c r="O19" i="104" s="1"/>
  <c r="D35" i="1" s="1"/>
  <c r="N33" i="117"/>
  <c r="N34" i="116"/>
  <c r="O34" i="116" s="1"/>
  <c r="O35" i="116" s="1"/>
  <c r="O36" i="116" s="1"/>
  <c r="O37" i="116" s="1"/>
  <c r="O38" i="116" s="1"/>
  <c r="G47" i="1" s="1"/>
  <c r="N27" i="96"/>
  <c r="N35" i="109"/>
  <c r="O35" i="109" s="1"/>
  <c r="O36" i="109" s="1"/>
  <c r="O37" i="109" s="1"/>
  <c r="O38" i="109" s="1"/>
  <c r="G40" i="1" s="1"/>
  <c r="N33" i="106"/>
  <c r="N8" i="116"/>
  <c r="N14" i="91"/>
  <c r="O14" i="91" s="1"/>
  <c r="O15" i="91" s="1"/>
  <c r="O16" i="91" s="1"/>
  <c r="O17" i="91" s="1"/>
  <c r="O18" i="91" s="1"/>
  <c r="O19" i="91" s="1"/>
  <c r="D22" i="1" s="1"/>
  <c r="N3" i="114"/>
  <c r="O3" i="114" s="1"/>
  <c r="N4" i="118"/>
  <c r="O6" i="99"/>
  <c r="O7" i="99" s="1"/>
  <c r="N11" i="121"/>
  <c r="N7" i="118"/>
  <c r="N32" i="120"/>
  <c r="O32" i="120" s="1"/>
  <c r="O33" i="120" s="1"/>
  <c r="O34" i="120" s="1"/>
  <c r="O35" i="120" s="1"/>
  <c r="O36" i="120" s="1"/>
  <c r="O37" i="120" s="1"/>
  <c r="O38" i="120" s="1"/>
  <c r="G51" i="1" s="1"/>
  <c r="N26" i="93"/>
  <c r="O26" i="93" s="1"/>
  <c r="O27" i="93" s="1"/>
  <c r="O28" i="93" s="1"/>
  <c r="O29" i="93" s="1"/>
  <c r="O30" i="93" s="1"/>
  <c r="O31" i="93" s="1"/>
  <c r="O32" i="93" s="1"/>
  <c r="O33" i="93" s="1"/>
  <c r="O34" i="93" s="1"/>
  <c r="O35" i="93" s="1"/>
  <c r="O36" i="93" s="1"/>
  <c r="O37" i="93" s="1"/>
  <c r="O38" i="93" s="1"/>
  <c r="G24" i="1" s="1"/>
  <c r="N12" i="110"/>
  <c r="O12" i="110" s="1"/>
  <c r="O13" i="110" s="1"/>
  <c r="O14" i="110" s="1"/>
  <c r="O15" i="110" s="1"/>
  <c r="O16" i="110" s="1"/>
  <c r="O17" i="110" s="1"/>
  <c r="O18" i="110" s="1"/>
  <c r="O19" i="110" s="1"/>
  <c r="D41" i="1" s="1"/>
  <c r="O29" i="61"/>
  <c r="O30" i="61" s="1"/>
  <c r="O31" i="61" s="1"/>
  <c r="O32" i="61" s="1"/>
  <c r="O33" i="61" s="1"/>
  <c r="O34" i="61" s="1"/>
  <c r="O35" i="61" s="1"/>
  <c r="O36" i="61" s="1"/>
  <c r="O37" i="61" s="1"/>
  <c r="O38" i="61" s="1"/>
  <c r="G21" i="1" s="1"/>
  <c r="O4" i="123"/>
  <c r="O5" i="119"/>
  <c r="N5" i="118"/>
  <c r="N8" i="117"/>
  <c r="N14" i="61"/>
  <c r="O14" i="61" s="1"/>
  <c r="O15" i="61" s="1"/>
  <c r="O16" i="61" s="1"/>
  <c r="O17" i="61" s="1"/>
  <c r="O18" i="61" s="1"/>
  <c r="O19" i="61" s="1"/>
  <c r="D21" i="1" s="1"/>
  <c r="N13" i="114"/>
  <c r="N15" i="118"/>
  <c r="N16" i="116"/>
  <c r="N9" i="117"/>
  <c r="N16" i="91"/>
  <c r="J52" i="1"/>
  <c r="K52" i="1" s="1"/>
  <c r="H52" i="1"/>
  <c r="I52" i="1" s="1"/>
  <c r="N4" i="114"/>
  <c r="O4" i="114" s="1"/>
  <c r="O5" i="114" s="1"/>
  <c r="O6" i="114" s="1"/>
  <c r="O7" i="114" s="1"/>
  <c r="O8" i="114" s="1"/>
  <c r="O9" i="114" s="1"/>
  <c r="O10" i="114" s="1"/>
  <c r="O11" i="114" s="1"/>
  <c r="O12" i="114" s="1"/>
  <c r="O13" i="114" s="1"/>
  <c r="O14" i="114" s="1"/>
  <c r="O15" i="114" s="1"/>
  <c r="O16" i="114" s="1"/>
  <c r="O17" i="114" s="1"/>
  <c r="O18" i="114" s="1"/>
  <c r="O19" i="114" s="1"/>
  <c r="D45" i="1" s="1"/>
  <c r="N18" i="118"/>
  <c r="N6" i="117"/>
  <c r="N25" i="117"/>
  <c r="O25" i="117" s="1"/>
  <c r="O26" i="117" s="1"/>
  <c r="N29" i="97"/>
  <c r="N4" i="103"/>
  <c r="O4" i="103" s="1"/>
  <c r="O5" i="103" s="1"/>
  <c r="O6" i="103" s="1"/>
  <c r="O7" i="103" s="1"/>
  <c r="O8" i="103" s="1"/>
  <c r="O9" i="103" s="1"/>
  <c r="O10" i="103" s="1"/>
  <c r="O11" i="103" s="1"/>
  <c r="O12" i="103" s="1"/>
  <c r="O13" i="103" s="1"/>
  <c r="O14" i="103" s="1"/>
  <c r="O15" i="103" s="1"/>
  <c r="O16" i="103" s="1"/>
  <c r="O17" i="103" s="1"/>
  <c r="O18" i="103" s="1"/>
  <c r="O19" i="103" s="1"/>
  <c r="D34" i="1" s="1"/>
  <c r="N25" i="110"/>
  <c r="O25" i="110" s="1"/>
  <c r="O26" i="110" s="1"/>
  <c r="O27" i="110" s="1"/>
  <c r="O28" i="110" s="1"/>
  <c r="O29" i="110" s="1"/>
  <c r="O30" i="110" s="1"/>
  <c r="O31" i="110" s="1"/>
  <c r="O32" i="110" s="1"/>
  <c r="O33" i="110" s="1"/>
  <c r="O34" i="110" s="1"/>
  <c r="O35" i="110" s="1"/>
  <c r="O36" i="110" s="1"/>
  <c r="O37" i="110" s="1"/>
  <c r="O38" i="110" s="1"/>
  <c r="G41" i="1" s="1"/>
  <c r="N11" i="120"/>
  <c r="N7" i="120"/>
  <c r="O7" i="120" s="1"/>
  <c r="O8" i="120" s="1"/>
  <c r="O9" i="120" s="1"/>
  <c r="O10" i="120" s="1"/>
  <c r="O11" i="120" s="1"/>
  <c r="O12" i="120" s="1"/>
  <c r="O13" i="120" s="1"/>
  <c r="O14" i="120" s="1"/>
  <c r="O15" i="120" s="1"/>
  <c r="O16" i="120" s="1"/>
  <c r="O17" i="120" s="1"/>
  <c r="O18" i="120" s="1"/>
  <c r="O19" i="120" s="1"/>
  <c r="D51" i="1" s="1"/>
  <c r="O4" i="116"/>
  <c r="N3" i="118"/>
  <c r="O3" i="118" s="1"/>
  <c r="N16" i="114"/>
  <c r="O6" i="124"/>
  <c r="O7" i="124" s="1"/>
  <c r="O8" i="124" s="1"/>
  <c r="O9" i="124" s="1"/>
  <c r="O10" i="124" s="1"/>
  <c r="O11" i="124" s="1"/>
  <c r="O12" i="124" s="1"/>
  <c r="O13" i="124" s="1"/>
  <c r="O14" i="124" s="1"/>
  <c r="O15" i="124" s="1"/>
  <c r="O16" i="124" s="1"/>
  <c r="O17" i="124" s="1"/>
  <c r="O18" i="124" s="1"/>
  <c r="O19" i="124" s="1"/>
  <c r="D55" i="1" s="1"/>
  <c r="O10" i="123"/>
  <c r="O11" i="123" s="1"/>
  <c r="O12" i="123" s="1"/>
  <c r="O13" i="123" s="1"/>
  <c r="O14" i="123" s="1"/>
  <c r="O15" i="123" s="1"/>
  <c r="O16" i="123" s="1"/>
  <c r="O17" i="123" s="1"/>
  <c r="O18" i="123" s="1"/>
  <c r="O19" i="123" s="1"/>
  <c r="D54" i="1" s="1"/>
  <c r="O8" i="122"/>
  <c r="O9" i="122" s="1"/>
  <c r="O10" i="122" s="1"/>
  <c r="O11" i="122" s="1"/>
  <c r="O12" i="122" s="1"/>
  <c r="O13" i="122" s="1"/>
  <c r="O14" i="122" s="1"/>
  <c r="O15" i="122" s="1"/>
  <c r="O16" i="122" s="1"/>
  <c r="O17" i="122" s="1"/>
  <c r="O18" i="122" s="1"/>
  <c r="O19" i="122" s="1"/>
  <c r="D53" i="1" s="1"/>
  <c r="E51" i="1" l="1"/>
  <c r="F51" i="1"/>
  <c r="E21" i="1"/>
  <c r="F21" i="1"/>
  <c r="H40" i="1"/>
  <c r="I40" i="1" s="1"/>
  <c r="J40" i="1"/>
  <c r="K40" i="1" s="1"/>
  <c r="J50" i="1"/>
  <c r="K50" i="1" s="1"/>
  <c r="H50" i="1"/>
  <c r="I50" i="1" s="1"/>
  <c r="E45" i="1"/>
  <c r="F45" i="1"/>
  <c r="H51" i="1"/>
  <c r="I51" i="1" s="1"/>
  <c r="J51" i="1"/>
  <c r="K51" i="1" s="1"/>
  <c r="F35" i="1"/>
  <c r="E35" i="1"/>
  <c r="F41" i="1"/>
  <c r="E41" i="1"/>
  <c r="E22" i="1"/>
  <c r="F22" i="1"/>
  <c r="F48" i="1"/>
  <c r="E48" i="1"/>
  <c r="E46" i="1"/>
  <c r="F46" i="1"/>
  <c r="F36" i="1"/>
  <c r="E36" i="1"/>
  <c r="H38" i="1"/>
  <c r="I38" i="1" s="1"/>
  <c r="J38" i="1"/>
  <c r="K38" i="1" s="1"/>
  <c r="E40" i="1"/>
  <c r="F40" i="1"/>
  <c r="J94" i="1"/>
  <c r="K94" i="1" s="1"/>
  <c r="H94" i="1"/>
  <c r="I94" i="1" s="1"/>
  <c r="J45" i="1"/>
  <c r="K45" i="1" s="1"/>
  <c r="H45" i="1"/>
  <c r="I45" i="1" s="1"/>
  <c r="G95" i="1"/>
  <c r="C95" i="1"/>
  <c r="D95" i="1"/>
  <c r="H29" i="1"/>
  <c r="I29" i="1" s="1"/>
  <c r="J29" i="1"/>
  <c r="K29" i="1" s="1"/>
  <c r="J28" i="1"/>
  <c r="K28" i="1" s="1"/>
  <c r="H28" i="1"/>
  <c r="I28" i="1" s="1"/>
  <c r="H24" i="1"/>
  <c r="I24" i="1" s="1"/>
  <c r="J24" i="1"/>
  <c r="K24" i="1" s="1"/>
  <c r="O12" i="119"/>
  <c r="O13" i="119" s="1"/>
  <c r="O14" i="119" s="1"/>
  <c r="O15" i="119" s="1"/>
  <c r="O16" i="119" s="1"/>
  <c r="O17" i="119" s="1"/>
  <c r="O18" i="119" s="1"/>
  <c r="O19" i="119" s="1"/>
  <c r="D50" i="1" s="1"/>
  <c r="J25" i="1"/>
  <c r="K25" i="1" s="1"/>
  <c r="H25" i="1"/>
  <c r="I25" i="1" s="1"/>
  <c r="O34" i="113"/>
  <c r="O35" i="113" s="1"/>
  <c r="O36" i="113" s="1"/>
  <c r="O37" i="113" s="1"/>
  <c r="O38" i="113" s="1"/>
  <c r="G44" i="1" s="1"/>
  <c r="E26" i="1"/>
  <c r="F26" i="1"/>
  <c r="J41" i="1"/>
  <c r="K41" i="1" s="1"/>
  <c r="H41" i="1"/>
  <c r="I41" i="1" s="1"/>
  <c r="O5" i="118"/>
  <c r="O6" i="118" s="1"/>
  <c r="O7" i="118" s="1"/>
  <c r="O8" i="118" s="1"/>
  <c r="O9" i="118" s="1"/>
  <c r="O10" i="118" s="1"/>
  <c r="O11" i="118" s="1"/>
  <c r="O12" i="118" s="1"/>
  <c r="O13" i="118" s="1"/>
  <c r="O14" i="118" s="1"/>
  <c r="O15" i="118" s="1"/>
  <c r="O16" i="118" s="1"/>
  <c r="O17" i="118" s="1"/>
  <c r="O18" i="118" s="1"/>
  <c r="O19" i="118" s="1"/>
  <c r="D49" i="1" s="1"/>
  <c r="H43" i="1"/>
  <c r="I43" i="1" s="1"/>
  <c r="J43" i="1"/>
  <c r="K43" i="1" s="1"/>
  <c r="O33" i="106"/>
  <c r="O34" i="106" s="1"/>
  <c r="O35" i="106" s="1"/>
  <c r="O36" i="106" s="1"/>
  <c r="O37" i="106" s="1"/>
  <c r="O38" i="106" s="1"/>
  <c r="G37" i="1" s="1"/>
  <c r="O4" i="113"/>
  <c r="O5" i="113" s="1"/>
  <c r="O6" i="113" s="1"/>
  <c r="O7" i="113" s="1"/>
  <c r="O8" i="113" s="1"/>
  <c r="O9" i="113" s="1"/>
  <c r="O10" i="113" s="1"/>
  <c r="O11" i="113" s="1"/>
  <c r="O12" i="113" s="1"/>
  <c r="O13" i="113" s="1"/>
  <c r="O14" i="113" s="1"/>
  <c r="O15" i="113" s="1"/>
  <c r="O16" i="113" s="1"/>
  <c r="O17" i="113" s="1"/>
  <c r="O18" i="113" s="1"/>
  <c r="O19" i="113" s="1"/>
  <c r="D44" i="1" s="1"/>
  <c r="H35" i="1"/>
  <c r="I35" i="1" s="1"/>
  <c r="J35" i="1"/>
  <c r="K35" i="1" s="1"/>
  <c r="H39" i="1"/>
  <c r="I39" i="1" s="1"/>
  <c r="J39" i="1"/>
  <c r="K39" i="1" s="1"/>
  <c r="F34" i="1"/>
  <c r="E34" i="1"/>
  <c r="J49" i="1"/>
  <c r="K49" i="1" s="1"/>
  <c r="H49" i="1"/>
  <c r="I49" i="1" s="1"/>
  <c r="H23" i="1"/>
  <c r="I23" i="1" s="1"/>
  <c r="J23" i="1"/>
  <c r="K23" i="1" s="1"/>
  <c r="E94" i="1"/>
  <c r="F94" i="1"/>
  <c r="O5" i="116"/>
  <c r="O6" i="116" s="1"/>
  <c r="O7" i="116" s="1"/>
  <c r="O8" i="116" s="1"/>
  <c r="O9" i="116" s="1"/>
  <c r="O10" i="116" s="1"/>
  <c r="O11" i="116" s="1"/>
  <c r="O12" i="116" s="1"/>
  <c r="O13" i="116" s="1"/>
  <c r="O14" i="116" s="1"/>
  <c r="O15" i="116" s="1"/>
  <c r="O16" i="116" s="1"/>
  <c r="O17" i="116" s="1"/>
  <c r="O18" i="116" s="1"/>
  <c r="O19" i="116" s="1"/>
  <c r="D47" i="1" s="1"/>
  <c r="F23" i="1"/>
  <c r="E23" i="1"/>
  <c r="H42" i="1"/>
  <c r="I42" i="1" s="1"/>
  <c r="J42" i="1"/>
  <c r="K42" i="1" s="1"/>
  <c r="H22" i="1"/>
  <c r="I22" i="1" s="1"/>
  <c r="J22" i="1"/>
  <c r="K22" i="1" s="1"/>
  <c r="E31" i="1"/>
  <c r="F31" i="1"/>
  <c r="H30" i="1"/>
  <c r="I30" i="1" s="1"/>
  <c r="J30" i="1"/>
  <c r="K30" i="1" s="1"/>
  <c r="E32" i="1"/>
  <c r="F32" i="1"/>
  <c r="F39" i="1"/>
  <c r="E39" i="1"/>
  <c r="O7" i="94"/>
  <c r="O8" i="94" s="1"/>
  <c r="O9" i="94" s="1"/>
  <c r="O10" i="94" s="1"/>
  <c r="O11" i="94" s="1"/>
  <c r="O12" i="94" s="1"/>
  <c r="O13" i="94" s="1"/>
  <c r="O14" i="94" s="1"/>
  <c r="O15" i="94" s="1"/>
  <c r="O16" i="94" s="1"/>
  <c r="O17" i="94" s="1"/>
  <c r="O18" i="94" s="1"/>
  <c r="O19" i="94" s="1"/>
  <c r="D25" i="1" s="1"/>
  <c r="O27" i="117"/>
  <c r="O28" i="117" s="1"/>
  <c r="O29" i="117" s="1"/>
  <c r="O30" i="117" s="1"/>
  <c r="O31" i="117" s="1"/>
  <c r="O32" i="117" s="1"/>
  <c r="O33" i="117" s="1"/>
  <c r="O34" i="117" s="1"/>
  <c r="O35" i="117" s="1"/>
  <c r="O36" i="117" s="1"/>
  <c r="O37" i="117" s="1"/>
  <c r="O38" i="117" s="1"/>
  <c r="G48" i="1" s="1"/>
  <c r="H46" i="1"/>
  <c r="I46" i="1" s="1"/>
  <c r="J46" i="1"/>
  <c r="K46" i="1" s="1"/>
  <c r="E43" i="1"/>
  <c r="F43" i="1"/>
  <c r="H33" i="1"/>
  <c r="I33" i="1" s="1"/>
  <c r="J33" i="1"/>
  <c r="K33" i="1" s="1"/>
  <c r="E37" i="1"/>
  <c r="F37" i="1"/>
  <c r="J26" i="1"/>
  <c r="K26" i="1" s="1"/>
  <c r="H26" i="1"/>
  <c r="I26" i="1" s="1"/>
  <c r="B96" i="1"/>
  <c r="A97" i="1"/>
  <c r="O4" i="118"/>
  <c r="J21" i="1"/>
  <c r="K21" i="1" s="1"/>
  <c r="H21" i="1"/>
  <c r="I21" i="1" s="1"/>
  <c r="O8" i="99"/>
  <c r="O9" i="99" s="1"/>
  <c r="O10" i="99" s="1"/>
  <c r="O11" i="99" s="1"/>
  <c r="O12" i="99" s="1"/>
  <c r="O13" i="99" s="1"/>
  <c r="O14" i="99" s="1"/>
  <c r="O15" i="99" s="1"/>
  <c r="O16" i="99" s="1"/>
  <c r="O17" i="99" s="1"/>
  <c r="O18" i="99" s="1"/>
  <c r="O19" i="99" s="1"/>
  <c r="D30" i="1" s="1"/>
  <c r="J47" i="1"/>
  <c r="K47" i="1" s="1"/>
  <c r="H47" i="1"/>
  <c r="I47" i="1" s="1"/>
  <c r="J27" i="1"/>
  <c r="K27" i="1" s="1"/>
  <c r="H27" i="1"/>
  <c r="I27" i="1" s="1"/>
  <c r="F42" i="1"/>
  <c r="E42" i="1"/>
  <c r="F55" i="1"/>
  <c r="E55" i="1"/>
  <c r="F53" i="1"/>
  <c r="E53" i="1"/>
  <c r="E52" i="1"/>
  <c r="F52" i="1"/>
  <c r="E54" i="1"/>
  <c r="F54" i="1"/>
  <c r="F56" i="1"/>
  <c r="E56" i="1"/>
  <c r="F47" i="1" l="1"/>
  <c r="E47" i="1"/>
  <c r="H37" i="1"/>
  <c r="I37" i="1" s="1"/>
  <c r="J37" i="1"/>
  <c r="K37" i="1" s="1"/>
  <c r="H44" i="1"/>
  <c r="I44" i="1" s="1"/>
  <c r="J44" i="1"/>
  <c r="K44" i="1" s="1"/>
  <c r="E30" i="1"/>
  <c r="F30" i="1"/>
  <c r="H48" i="1"/>
  <c r="I48" i="1" s="1"/>
  <c r="J48" i="1"/>
  <c r="K48" i="1" s="1"/>
  <c r="F25" i="1"/>
  <c r="E25" i="1"/>
  <c r="D96" i="1"/>
  <c r="C96" i="1"/>
  <c r="G96" i="1"/>
  <c r="E49" i="1"/>
  <c r="F49" i="1"/>
  <c r="F50" i="1"/>
  <c r="E50" i="1"/>
  <c r="E95" i="1"/>
  <c r="F95" i="1"/>
  <c r="A98" i="1"/>
  <c r="B97" i="1"/>
  <c r="F44" i="1"/>
  <c r="E44" i="1"/>
  <c r="H95" i="1"/>
  <c r="I95" i="1" s="1"/>
  <c r="J95" i="1"/>
  <c r="K95" i="1" s="1"/>
  <c r="J96" i="1" l="1"/>
  <c r="K96" i="1" s="1"/>
  <c r="H96" i="1"/>
  <c r="I96" i="1" s="1"/>
  <c r="A99" i="1"/>
  <c r="B98" i="1"/>
  <c r="F96" i="1"/>
  <c r="E96" i="1"/>
  <c r="G97" i="1"/>
  <c r="D97" i="1"/>
  <c r="C97" i="1"/>
  <c r="J97" i="1" l="1"/>
  <c r="K97" i="1" s="1"/>
  <c r="H97" i="1"/>
  <c r="I97" i="1" s="1"/>
  <c r="D98" i="1"/>
  <c r="G98" i="1"/>
  <c r="C98" i="1"/>
  <c r="E97" i="1"/>
  <c r="F97" i="1"/>
  <c r="A100" i="1"/>
  <c r="B99" i="1"/>
  <c r="F98" i="1" l="1"/>
  <c r="E98" i="1"/>
  <c r="B100" i="1"/>
  <c r="A101" i="1"/>
  <c r="H98" i="1"/>
  <c r="I98" i="1" s="1"/>
  <c r="J98" i="1"/>
  <c r="K98" i="1" s="1"/>
  <c r="D99" i="1"/>
  <c r="G99" i="1"/>
  <c r="C99" i="1"/>
  <c r="F99" i="1" l="1"/>
  <c r="E99" i="1"/>
  <c r="G100" i="1"/>
  <c r="C100" i="1"/>
  <c r="D100" i="1"/>
  <c r="B101" i="1"/>
  <c r="A102" i="1"/>
  <c r="H99" i="1"/>
  <c r="I99" i="1" s="1"/>
  <c r="J99" i="1"/>
  <c r="K99" i="1" s="1"/>
  <c r="E100" i="1" l="1"/>
  <c r="F100" i="1"/>
  <c r="J100" i="1"/>
  <c r="K100" i="1" s="1"/>
  <c r="H100" i="1"/>
  <c r="I100" i="1" s="1"/>
  <c r="D101" i="1"/>
  <c r="G101" i="1"/>
  <c r="C101" i="1"/>
  <c r="A103" i="1"/>
  <c r="B102" i="1"/>
  <c r="E101" i="1" l="1"/>
  <c r="F101" i="1"/>
  <c r="J101" i="1"/>
  <c r="K101" i="1" s="1"/>
  <c r="H101" i="1"/>
  <c r="I101" i="1" s="1"/>
  <c r="D102" i="1"/>
  <c r="C102" i="1"/>
  <c r="G102" i="1"/>
  <c r="B103" i="1"/>
  <c r="A104" i="1"/>
  <c r="F102" i="1" l="1"/>
  <c r="E102" i="1"/>
  <c r="B104" i="1"/>
  <c r="A105" i="1"/>
  <c r="D103" i="1"/>
  <c r="G103" i="1"/>
  <c r="C103" i="1"/>
  <c r="H102" i="1"/>
  <c r="I102" i="1" s="1"/>
  <c r="J102" i="1"/>
  <c r="K102" i="1" s="1"/>
  <c r="B105" i="1" l="1"/>
  <c r="A106" i="1"/>
  <c r="D104" i="1"/>
  <c r="G104" i="1"/>
  <c r="C104" i="1"/>
  <c r="F103" i="1"/>
  <c r="E103" i="1"/>
  <c r="J103" i="1"/>
  <c r="K103" i="1" s="1"/>
  <c r="H103" i="1"/>
  <c r="I103" i="1" s="1"/>
  <c r="E104" i="1" l="1"/>
  <c r="F104" i="1"/>
  <c r="B106" i="1"/>
  <c r="A107" i="1"/>
  <c r="H104" i="1"/>
  <c r="I104" i="1" s="1"/>
  <c r="J104" i="1"/>
  <c r="K104" i="1" s="1"/>
  <c r="C105" i="1"/>
  <c r="G105" i="1"/>
  <c r="D105" i="1"/>
  <c r="F105" i="1" l="1"/>
  <c r="E105" i="1"/>
  <c r="H105" i="1"/>
  <c r="I105" i="1" s="1"/>
  <c r="J105" i="1"/>
  <c r="K105" i="1" s="1"/>
  <c r="B107" i="1"/>
  <c r="A108" i="1"/>
  <c r="D106" i="1"/>
  <c r="C106" i="1"/>
  <c r="G106" i="1"/>
  <c r="D107" i="1" l="1"/>
  <c r="G107" i="1"/>
  <c r="C107" i="1"/>
  <c r="E106" i="1"/>
  <c r="F106" i="1"/>
  <c r="A109" i="1"/>
  <c r="B108" i="1"/>
  <c r="H106" i="1"/>
  <c r="I106" i="1" s="1"/>
  <c r="J106" i="1"/>
  <c r="K106" i="1" s="1"/>
  <c r="H107" i="1" l="1"/>
  <c r="I107" i="1" s="1"/>
  <c r="J107" i="1"/>
  <c r="K107" i="1" s="1"/>
  <c r="B109" i="1"/>
  <c r="A110" i="1"/>
  <c r="G108" i="1"/>
  <c r="C108" i="1"/>
  <c r="D108" i="1"/>
  <c r="E107" i="1"/>
  <c r="F107" i="1"/>
  <c r="G109" i="1" l="1"/>
  <c r="D109" i="1"/>
  <c r="C109" i="1"/>
  <c r="A111" i="1"/>
  <c r="B110" i="1"/>
  <c r="H108" i="1"/>
  <c r="I108" i="1" s="1"/>
  <c r="J108" i="1"/>
  <c r="K108" i="1" s="1"/>
  <c r="E108" i="1"/>
  <c r="F108" i="1"/>
  <c r="D110" i="1" l="1"/>
  <c r="G110" i="1"/>
  <c r="C110" i="1"/>
  <c r="B111" i="1"/>
  <c r="A112" i="1"/>
  <c r="F109" i="1"/>
  <c r="E109" i="1"/>
  <c r="H109" i="1"/>
  <c r="I109" i="1" s="1"/>
  <c r="J109" i="1"/>
  <c r="K109" i="1" s="1"/>
  <c r="C111" i="1" l="1"/>
  <c r="G111" i="1"/>
  <c r="D111" i="1"/>
  <c r="H110" i="1"/>
  <c r="I110" i="1" s="1"/>
  <c r="J110" i="1"/>
  <c r="K110" i="1" s="1"/>
  <c r="B112" i="1"/>
  <c r="A113" i="1"/>
  <c r="E110" i="1"/>
  <c r="F110" i="1"/>
  <c r="G112" i="1" l="1"/>
  <c r="D112" i="1"/>
  <c r="C112" i="1"/>
  <c r="F111" i="1"/>
  <c r="E111" i="1"/>
  <c r="J111" i="1"/>
  <c r="K111" i="1" s="1"/>
  <c r="H111" i="1"/>
  <c r="I111" i="1" s="1"/>
  <c r="A114" i="1"/>
  <c r="B113" i="1"/>
  <c r="G113" i="1" l="1"/>
  <c r="C113" i="1"/>
  <c r="D113" i="1"/>
  <c r="E112" i="1"/>
  <c r="F112" i="1"/>
  <c r="B114" i="1"/>
  <c r="A115" i="1"/>
  <c r="B115" i="1" s="1"/>
  <c r="H112" i="1"/>
  <c r="I112" i="1" s="1"/>
  <c r="J112" i="1"/>
  <c r="K112" i="1" s="1"/>
  <c r="D114" i="1" l="1"/>
  <c r="G114" i="1"/>
  <c r="C114" i="1"/>
  <c r="F113" i="1"/>
  <c r="E113" i="1"/>
  <c r="D115" i="1"/>
  <c r="C115" i="1"/>
  <c r="G115" i="1"/>
  <c r="J113" i="1"/>
  <c r="K113" i="1" s="1"/>
  <c r="H113" i="1"/>
  <c r="I113" i="1" s="1"/>
  <c r="E114" i="1" l="1"/>
  <c r="F114" i="1"/>
  <c r="H115" i="1"/>
  <c r="I115" i="1" s="1"/>
  <c r="J115" i="1"/>
  <c r="K115" i="1" s="1"/>
  <c r="E115" i="1"/>
  <c r="F115" i="1"/>
  <c r="H114" i="1"/>
  <c r="I114" i="1" s="1"/>
  <c r="J114" i="1"/>
  <c r="K114" i="1" s="1"/>
</calcChain>
</file>

<file path=xl/sharedStrings.xml><?xml version="1.0" encoding="utf-8"?>
<sst xmlns="http://schemas.openxmlformats.org/spreadsheetml/2006/main" count="2563" uniqueCount="105">
  <si>
    <t>HL = S X L</t>
  </si>
  <si>
    <t>S = [Q/.285CD^2.63]^1/0.54</t>
  </si>
  <si>
    <t>Q</t>
  </si>
  <si>
    <t>MGD</t>
  </si>
  <si>
    <t>GPM</t>
  </si>
  <si>
    <t>Headloss (Dynamic)</t>
  </si>
  <si>
    <t>C Value</t>
  </si>
  <si>
    <t>Feet</t>
  </si>
  <si>
    <t>Length of Main (ft.)</t>
  </si>
  <si>
    <t>Velocity</t>
  </si>
  <si>
    <t>ft/s</t>
  </si>
  <si>
    <t>Inside Pipe Diameter (in.)</t>
  </si>
  <si>
    <t>Subject:  Head Loss Calculation</t>
  </si>
  <si>
    <t>High Level Static Head (ft.)</t>
  </si>
  <si>
    <t>Static Head Pump Start (ft.)</t>
  </si>
  <si>
    <t>Total Head - Start Up</t>
  </si>
  <si>
    <t>Total Head - High Level</t>
  </si>
  <si>
    <t>Option B - Powerline Route</t>
  </si>
  <si>
    <t>BHP</t>
  </si>
  <si>
    <t>Pump Efficiency</t>
  </si>
  <si>
    <t xml:space="preserve">Plant Elevation </t>
  </si>
  <si>
    <t>Pump Call</t>
  </si>
  <si>
    <t>Pump Alarm</t>
  </si>
  <si>
    <t>Pipe</t>
  </si>
  <si>
    <t>Length of Pipe</t>
  </si>
  <si>
    <t>Diameter (in)</t>
  </si>
  <si>
    <t>Item</t>
  </si>
  <si>
    <t>Flow (MGD)</t>
  </si>
  <si>
    <t>Flow
(cfs)</t>
  </si>
  <si>
    <t>C
(Headloss
Coefficient)</t>
  </si>
  <si>
    <r>
      <t>Pipe
Cross sectional
Area
(ft</t>
    </r>
    <r>
      <rPr>
        <vertAlign val="superscript"/>
        <sz val="10"/>
        <rFont val="Arial"/>
        <family val="2"/>
      </rPr>
      <t>2</t>
    </r>
    <r>
      <rPr>
        <sz val="10"/>
        <rFont val="Arial"/>
      </rPr>
      <t>)</t>
    </r>
  </si>
  <si>
    <t>Pipe
Perimeter
(ft)</t>
  </si>
  <si>
    <t>Hydraulic
Radius
(ft)</t>
  </si>
  <si>
    <t>Velocity
(ft/s)</t>
  </si>
  <si>
    <t>Head
Loss
(ft)</t>
  </si>
  <si>
    <t>Minor Loss
K Coefficient</t>
  </si>
  <si>
    <t>Minor
Loss</t>
  </si>
  <si>
    <t>Total Head Loss</t>
  </si>
  <si>
    <t>Cumm. Head Loss
(ft)</t>
  </si>
  <si>
    <t>45 Deg Bend</t>
  </si>
  <si>
    <t>Total</t>
  </si>
  <si>
    <t>Job No.:  8521-47382</t>
  </si>
  <si>
    <t>Total Head - Low Level</t>
  </si>
  <si>
    <t>(Force Main)</t>
  </si>
  <si>
    <t>Exit to Headworks</t>
  </si>
  <si>
    <t>90 Deg Bend</t>
  </si>
  <si>
    <t>36" X 20" Reducer</t>
  </si>
  <si>
    <t>30" X 36" Increaser</t>
  </si>
  <si>
    <t xml:space="preserve">45 Deg Bend </t>
  </si>
  <si>
    <t>.</t>
  </si>
  <si>
    <t>Flow</t>
  </si>
  <si>
    <t>Modified curve</t>
  </si>
  <si>
    <t>Project Name:  Seattle Public Utilties Example</t>
  </si>
  <si>
    <t>Force Main Sizing</t>
  </si>
  <si>
    <t>Velocity in Force Main at Design Points</t>
  </si>
  <si>
    <t>Comment</t>
  </si>
  <si>
    <t>Low</t>
  </si>
  <si>
    <t>Acceptable</t>
  </si>
  <si>
    <t>Discharge Piping</t>
  </si>
  <si>
    <t>Note: Velocity should selected based on 6 to 10 fps.</t>
  </si>
  <si>
    <t>CFS</t>
  </si>
  <si>
    <t>Trial #1</t>
  </si>
  <si>
    <t>Larger Submersible</t>
  </si>
  <si>
    <t>High</t>
  </si>
  <si>
    <t>Station Losses Calculations</t>
  </si>
  <si>
    <t>Pump</t>
  </si>
  <si>
    <t>14" X 18" Increaser</t>
  </si>
  <si>
    <t>Check Valve</t>
  </si>
  <si>
    <t>Plug Valve</t>
  </si>
  <si>
    <t>Branch Tee</t>
  </si>
  <si>
    <t>Flow thru Tee</t>
  </si>
  <si>
    <t>Head Loss</t>
  </si>
  <si>
    <t>Pipe Length</t>
  </si>
  <si>
    <t>Trial #2</t>
  </si>
  <si>
    <t>Note:  A values in red are system parameters to be changed.</t>
  </si>
  <si>
    <t>Station Losses (Discharge Piping)</t>
  </si>
  <si>
    <t>Total Station losses for large pump</t>
  </si>
  <si>
    <t>Total Station losses for small pump</t>
  </si>
  <si>
    <t>Force Main Layout Losses</t>
  </si>
  <si>
    <t>36" X 30" Reducer</t>
  </si>
  <si>
    <t>HW Discharge</t>
  </si>
  <si>
    <t>Force Main Piping Losses</t>
  </si>
  <si>
    <t>Misc Fittings Losses</t>
  </si>
  <si>
    <t>Total Force Main Losses</t>
  </si>
  <si>
    <t>Small Pump</t>
  </si>
  <si>
    <t>Head (ft)</t>
  </si>
  <si>
    <t>Three Pumps Operating</t>
  </si>
  <si>
    <t>Four Pumps Operating</t>
  </si>
  <si>
    <t>Two Pumps Operating</t>
  </si>
  <si>
    <t>Note:  Head numbers are provided by manufacturer's pump data.</t>
  </si>
  <si>
    <t>Station Losses</t>
  </si>
  <si>
    <t>Headloss</t>
  </si>
  <si>
    <t>One Pumps Operating</t>
  </si>
  <si>
    <t>Note: Increaser is necessary since velocity is excessive for 14" diameter.</t>
  </si>
  <si>
    <t>Static Head (ft.) - Low Level (Suction + Discharge)</t>
  </si>
  <si>
    <t>Static Head (ft.) - High Level (Suction + Discharge)</t>
  </si>
  <si>
    <t>Headworks elevation</t>
  </si>
  <si>
    <t>Static Head - Low Level (Suction)</t>
  </si>
  <si>
    <t>Static Head - High Level (Suction)</t>
  </si>
  <si>
    <t>Static Head - Low Level (Discharge)</t>
  </si>
  <si>
    <t>Pump Centerline Elevation</t>
  </si>
  <si>
    <t>PS Maximum WSEL</t>
  </si>
  <si>
    <t>PS Minimum WSEL</t>
  </si>
  <si>
    <t>PS Floor Slab Elevation</t>
  </si>
  <si>
    <t>This example calculation spreadsheet has not been reviewed or approved for wide use. It is provided as informational only.  The engineer may use this information, but it should be thoroughly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</si>
</sst>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4" x14ac:knownFonts="1">
    <font>
      <sz val="10"/>
      <name val="Arial"/>
    </font>
    <font>
      <sz val="10"/>
      <name val="Arial"/>
    </font>
    <font>
      <sz val="8"/>
      <name val="Arial"/>
    </font>
    <font>
      <b/>
      <sz val="10"/>
      <name val="Arial"/>
      <family val="2"/>
    </font>
    <font>
      <b/>
      <sz val="12"/>
      <name val="Arial"/>
      <family val="2"/>
    </font>
    <font>
      <b/>
      <sz val="10"/>
      <color indexed="10"/>
      <name val="Arial"/>
    </font>
    <font>
      <b/>
      <sz val="10"/>
      <color indexed="10"/>
      <name val="Arial"/>
      <family val="2"/>
    </font>
    <font>
      <vertAlign val="superscript"/>
      <sz val="10"/>
      <name val="Arial"/>
      <family val="2"/>
    </font>
    <font>
      <sz val="10"/>
      <color indexed="10"/>
      <name val="Arial"/>
      <family val="2"/>
    </font>
    <font>
      <sz val="10"/>
      <color indexed="10"/>
      <name val="Arial"/>
    </font>
    <font>
      <b/>
      <sz val="14"/>
      <name val="Arial"/>
      <family val="2"/>
    </font>
    <font>
      <sz val="14"/>
      <name val="Arial"/>
      <family val="2"/>
    </font>
    <font>
      <b/>
      <i/>
      <sz val="10"/>
      <color indexed="10"/>
      <name val="Arial"/>
      <family val="2"/>
    </font>
    <font>
      <b/>
      <i/>
      <sz val="12"/>
      <color indexed="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35">
    <border>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double">
        <color indexed="64"/>
      </left>
      <right/>
      <top style="double">
        <color indexed="64"/>
      </top>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0" borderId="0" xfId="0" applyAlignment="1">
      <alignment horizontal="center"/>
    </xf>
    <xf numFmtId="2" fontId="0" fillId="0" borderId="0" xfId="0" applyNumberFormat="1"/>
    <xf numFmtId="0" fontId="4" fillId="0" borderId="0" xfId="0" applyFont="1"/>
    <xf numFmtId="0" fontId="4" fillId="0" borderId="0" xfId="0" applyFont="1" applyAlignment="1">
      <alignment horizontal="right"/>
    </xf>
    <xf numFmtId="0" fontId="4" fillId="0" borderId="0" xfId="0" applyFont="1" applyAlignment="1">
      <alignment horizontal="center"/>
    </xf>
    <xf numFmtId="2" fontId="0" fillId="0" borderId="1" xfId="0" applyNumberFormat="1" applyBorder="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1" fontId="0" fillId="0" borderId="0" xfId="0" applyNumberFormat="1" applyBorder="1" applyAlignment="1">
      <alignment horizontal="center"/>
    </xf>
    <xf numFmtId="1" fontId="0" fillId="0" borderId="4" xfId="0" applyNumberFormat="1" applyBorder="1" applyAlignment="1">
      <alignment horizontal="center"/>
    </xf>
    <xf numFmtId="0" fontId="0" fillId="0" borderId="9" xfId="0" applyBorder="1"/>
    <xf numFmtId="0" fontId="5" fillId="2" borderId="10" xfId="0" applyFont="1" applyFill="1" applyBorder="1" applyAlignment="1">
      <alignment horizontal="center"/>
    </xf>
    <xf numFmtId="3" fontId="6" fillId="2" borderId="11" xfId="0" applyNumberFormat="1"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0" fillId="0" borderId="8" xfId="0" applyBorder="1"/>
    <xf numFmtId="9" fontId="6" fillId="2" borderId="12" xfId="1" applyFont="1" applyFill="1" applyBorder="1" applyAlignment="1">
      <alignment horizontal="center"/>
    </xf>
    <xf numFmtId="0" fontId="5" fillId="0" borderId="8" xfId="0" applyFont="1" applyFill="1" applyBorder="1" applyAlignment="1">
      <alignment horizontal="center"/>
    </xf>
    <xf numFmtId="0" fontId="0" fillId="0" borderId="8" xfId="0" applyBorder="1" applyAlignment="1">
      <alignment horizontal="center"/>
    </xf>
    <xf numFmtId="3" fontId="6" fillId="2" borderId="12" xfId="0" applyNumberFormat="1" applyFont="1" applyFill="1" applyBorder="1" applyAlignment="1">
      <alignment horizontal="center"/>
    </xf>
    <xf numFmtId="0" fontId="3" fillId="0" borderId="0" xfId="0" applyFont="1"/>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8" fillId="0" borderId="17" xfId="0" applyFont="1" applyBorder="1" applyAlignment="1">
      <alignment horizontal="center"/>
    </xf>
    <xf numFmtId="0" fontId="8" fillId="0" borderId="12"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0" fillId="0" borderId="19" xfId="0" applyBorder="1"/>
    <xf numFmtId="0" fontId="0" fillId="0" borderId="19" xfId="0" applyBorder="1" applyAlignment="1">
      <alignment horizontal="center"/>
    </xf>
    <xf numFmtId="0" fontId="0" fillId="0" borderId="0" xfId="0" applyBorder="1" applyAlignment="1">
      <alignment horizontal="center" wrapText="1"/>
    </xf>
    <xf numFmtId="0" fontId="8" fillId="0" borderId="0" xfId="0" applyFont="1" applyBorder="1" applyAlignment="1">
      <alignment horizontal="center"/>
    </xf>
    <xf numFmtId="0" fontId="0" fillId="0" borderId="0" xfId="0" applyBorder="1"/>
    <xf numFmtId="0" fontId="0" fillId="0" borderId="0" xfId="0" applyBorder="1" applyAlignment="1">
      <alignment horizontal="center"/>
    </xf>
    <xf numFmtId="0" fontId="8" fillId="0" borderId="0" xfId="0" applyFont="1" applyBorder="1"/>
    <xf numFmtId="0" fontId="3" fillId="0" borderId="0" xfId="0" applyFont="1" applyBorder="1"/>
    <xf numFmtId="0" fontId="5" fillId="0" borderId="9"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0" fontId="0" fillId="3" borderId="12" xfId="0" applyFill="1" applyBorder="1" applyAlignment="1">
      <alignment horizontal="center"/>
    </xf>
    <xf numFmtId="2" fontId="0" fillId="0" borderId="12" xfId="0" applyNumberFormat="1" applyBorder="1" applyAlignment="1">
      <alignment horizontal="center"/>
    </xf>
    <xf numFmtId="2" fontId="0" fillId="0" borderId="19" xfId="0" applyNumberFormat="1" applyBorder="1" applyAlignment="1">
      <alignment horizontal="center"/>
    </xf>
    <xf numFmtId="0" fontId="8" fillId="0" borderId="12" xfId="0" applyFont="1" applyFill="1" applyBorder="1" applyAlignment="1">
      <alignment horizontal="center"/>
    </xf>
    <xf numFmtId="0" fontId="0" fillId="0" borderId="12" xfId="0" applyFill="1" applyBorder="1"/>
    <xf numFmtId="2" fontId="8" fillId="0" borderId="12" xfId="0" applyNumberFormat="1" applyFont="1" applyFill="1" applyBorder="1" applyAlignment="1">
      <alignment horizontal="center"/>
    </xf>
    <xf numFmtId="165" fontId="0" fillId="0" borderId="12" xfId="0" applyNumberFormat="1" applyBorder="1" applyAlignment="1">
      <alignment horizontal="center"/>
    </xf>
    <xf numFmtId="165" fontId="0" fillId="0" borderId="20" xfId="0" applyNumberFormat="1" applyBorder="1" applyAlignment="1">
      <alignment horizontal="center"/>
    </xf>
    <xf numFmtId="165" fontId="0" fillId="0" borderId="19" xfId="0" applyNumberFormat="1" applyBorder="1" applyAlignment="1">
      <alignment horizontal="center"/>
    </xf>
    <xf numFmtId="165" fontId="3" fillId="0" borderId="21" xfId="0" applyNumberFormat="1" applyFont="1" applyBorder="1" applyAlignment="1">
      <alignment horizontal="center"/>
    </xf>
    <xf numFmtId="0" fontId="8" fillId="0" borderId="0" xfId="0" applyFont="1" applyFill="1" applyBorder="1" applyAlignment="1">
      <alignment horizontal="center"/>
    </xf>
    <xf numFmtId="0" fontId="0" fillId="0" borderId="0" xfId="0" applyFill="1" applyBorder="1"/>
    <xf numFmtId="2" fontId="8" fillId="0" borderId="0" xfId="0" applyNumberFormat="1" applyFont="1" applyFill="1" applyBorder="1" applyAlignment="1">
      <alignment horizontal="center"/>
    </xf>
    <xf numFmtId="2" fontId="8" fillId="0" borderId="0" xfId="0" applyNumberFormat="1" applyFont="1" applyBorder="1"/>
    <xf numFmtId="2" fontId="3" fillId="0" borderId="0" xfId="0" applyNumberFormat="1" applyFont="1" applyBorder="1" applyAlignment="1">
      <alignment horizontal="center"/>
    </xf>
    <xf numFmtId="165" fontId="0" fillId="0" borderId="0" xfId="0" applyNumberFormat="1" applyBorder="1" applyAlignment="1">
      <alignment horizontal="center"/>
    </xf>
    <xf numFmtId="165" fontId="3" fillId="0" borderId="0" xfId="0" applyNumberFormat="1" applyFont="1" applyBorder="1" applyAlignment="1">
      <alignment horizontal="center"/>
    </xf>
    <xf numFmtId="0" fontId="0" fillId="0" borderId="22" xfId="0" applyFill="1" applyBorder="1"/>
    <xf numFmtId="2" fontId="0" fillId="0" borderId="23" xfId="0" applyNumberFormat="1" applyBorder="1" applyAlignment="1">
      <alignment horizontal="center"/>
    </xf>
    <xf numFmtId="0" fontId="3" fillId="0" borderId="0" xfId="0" applyFont="1" applyFill="1" applyBorder="1"/>
    <xf numFmtId="9" fontId="6" fillId="0" borderId="0" xfId="1" applyFont="1" applyFill="1" applyBorder="1" applyAlignment="1">
      <alignment horizontal="center"/>
    </xf>
    <xf numFmtId="165" fontId="0" fillId="0" borderId="0" xfId="0" applyNumberFormat="1"/>
    <xf numFmtId="164" fontId="0" fillId="0" borderId="12" xfId="0" applyNumberFormat="1" applyBorder="1" applyAlignment="1">
      <alignment horizontal="center"/>
    </xf>
    <xf numFmtId="2" fontId="9" fillId="0" borderId="12" xfId="0" applyNumberFormat="1" applyFont="1" applyBorder="1" applyAlignment="1">
      <alignment horizontal="center"/>
    </xf>
    <xf numFmtId="0" fontId="0" fillId="0" borderId="2" xfId="0" applyBorder="1"/>
    <xf numFmtId="0" fontId="0" fillId="0" borderId="5" xfId="0" applyBorder="1"/>
    <xf numFmtId="0" fontId="0" fillId="0" borderId="24" xfId="0" applyBorder="1"/>
    <xf numFmtId="0" fontId="0" fillId="0" borderId="25" xfId="0" applyBorder="1"/>
    <xf numFmtId="2" fontId="0" fillId="0" borderId="24" xfId="0" applyNumberFormat="1" applyBorder="1" applyAlignment="1">
      <alignment horizontal="center"/>
    </xf>
    <xf numFmtId="0" fontId="0" fillId="0" borderId="26" xfId="0" applyBorder="1"/>
    <xf numFmtId="0" fontId="0" fillId="0" borderId="27" xfId="0" applyBorder="1"/>
    <xf numFmtId="0" fontId="0" fillId="0" borderId="28" xfId="0" applyBorder="1"/>
    <xf numFmtId="0" fontId="9" fillId="0" borderId="0" xfId="0" applyFont="1" applyAlignment="1">
      <alignment horizontal="center"/>
    </xf>
    <xf numFmtId="0" fontId="6" fillId="0" borderId="0" xfId="0" applyFont="1"/>
    <xf numFmtId="0" fontId="10" fillId="0" borderId="0" xfId="0" applyFont="1"/>
    <xf numFmtId="0" fontId="10" fillId="0" borderId="0" xfId="0" applyFont="1" applyAlignment="1">
      <alignment horizontal="centerContinuous"/>
    </xf>
    <xf numFmtId="0" fontId="10" fillId="0" borderId="29" xfId="0" applyFont="1" applyBorder="1" applyAlignment="1">
      <alignment horizontal="centerContinuous"/>
    </xf>
    <xf numFmtId="0" fontId="10" fillId="0" borderId="30" xfId="0" applyFont="1" applyBorder="1" applyAlignment="1">
      <alignment horizontal="centerContinuous"/>
    </xf>
    <xf numFmtId="0" fontId="11" fillId="0" borderId="30" xfId="0" applyFont="1" applyBorder="1" applyAlignment="1">
      <alignment horizontal="centerContinuous"/>
    </xf>
    <xf numFmtId="0" fontId="11" fillId="0" borderId="31" xfId="0" applyFont="1" applyBorder="1" applyAlignment="1">
      <alignment horizontal="centerContinuous"/>
    </xf>
    <xf numFmtId="0" fontId="3" fillId="0" borderId="0" xfId="0" applyFont="1" applyAlignment="1">
      <alignment horizontal="center"/>
    </xf>
    <xf numFmtId="165" fontId="3" fillId="0" borderId="0" xfId="0" applyNumberFormat="1" applyFont="1"/>
    <xf numFmtId="165" fontId="3" fillId="0" borderId="0" xfId="0" applyNumberFormat="1" applyFont="1" applyAlignment="1">
      <alignment horizontal="center"/>
    </xf>
    <xf numFmtId="1" fontId="9" fillId="0" borderId="12" xfId="0" applyNumberFormat="1" applyFont="1" applyBorder="1" applyAlignment="1">
      <alignment horizontal="center"/>
    </xf>
    <xf numFmtId="0" fontId="0" fillId="0" borderId="0" xfId="0" applyAlignment="1">
      <alignment horizontal="centerContinuous"/>
    </xf>
    <xf numFmtId="0" fontId="0" fillId="0" borderId="24" xfId="0" applyBorder="1" applyAlignment="1">
      <alignment horizontal="center" wrapText="1"/>
    </xf>
    <xf numFmtId="165" fontId="0" fillId="0" borderId="24" xfId="0" applyNumberFormat="1" applyBorder="1" applyAlignment="1">
      <alignment horizontal="center"/>
    </xf>
    <xf numFmtId="1" fontId="3" fillId="0" borderId="0" xfId="0" applyNumberFormat="1" applyFont="1" applyBorder="1" applyAlignment="1">
      <alignment horizontal="center"/>
    </xf>
    <xf numFmtId="2" fontId="3" fillId="0" borderId="0" xfId="0" applyNumberFormat="1" applyFont="1" applyAlignment="1">
      <alignment horizontal="center"/>
    </xf>
    <xf numFmtId="0" fontId="3" fillId="0" borderId="0" xfId="0" applyFont="1" applyAlignment="1">
      <alignment horizontal="centerContinuous"/>
    </xf>
    <xf numFmtId="0" fontId="0" fillId="0" borderId="32" xfId="0" applyBorder="1" applyAlignment="1">
      <alignment horizontal="center"/>
    </xf>
    <xf numFmtId="0" fontId="3" fillId="0" borderId="0" xfId="0" applyFont="1" applyBorder="1" applyAlignment="1">
      <alignment horizontal="center"/>
    </xf>
    <xf numFmtId="0" fontId="0" fillId="0" borderId="33" xfId="0" applyBorder="1" applyAlignment="1">
      <alignment horizontal="center"/>
    </xf>
    <xf numFmtId="0" fontId="9" fillId="0" borderId="32" xfId="0" applyFont="1" applyBorder="1" applyAlignment="1">
      <alignment horizontal="center"/>
    </xf>
    <xf numFmtId="2" fontId="0" fillId="0" borderId="32" xfId="0" applyNumberFormat="1" applyBorder="1" applyAlignment="1">
      <alignment horizontal="center"/>
    </xf>
    <xf numFmtId="2" fontId="1" fillId="0" borderId="32" xfId="0" applyNumberFormat="1" applyFont="1" applyBorder="1" applyAlignment="1">
      <alignment horizontal="center"/>
    </xf>
    <xf numFmtId="0" fontId="3" fillId="0" borderId="0" xfId="0" applyFont="1" applyFill="1" applyBorder="1" applyAlignment="1">
      <alignment horizontal="center"/>
    </xf>
    <xf numFmtId="2" fontId="0" fillId="0" borderId="0" xfId="0" applyNumberFormat="1" applyFill="1" applyBorder="1" applyAlignment="1">
      <alignment horizontal="center"/>
    </xf>
    <xf numFmtId="2" fontId="0" fillId="3" borderId="12" xfId="0" applyNumberFormat="1" applyFill="1" applyBorder="1" applyAlignment="1">
      <alignment horizontal="center"/>
    </xf>
    <xf numFmtId="0" fontId="0" fillId="3" borderId="0" xfId="0" applyFill="1"/>
    <xf numFmtId="0" fontId="1" fillId="0" borderId="0" xfId="0" applyFont="1" applyAlignment="1">
      <alignment horizontal="center"/>
    </xf>
    <xf numFmtId="0" fontId="1" fillId="0" borderId="0" xfId="0" applyFont="1" applyFill="1" applyAlignment="1">
      <alignment horizontal="center"/>
    </xf>
    <xf numFmtId="0" fontId="12" fillId="0" borderId="0" xfId="0" applyFont="1" applyAlignment="1">
      <alignment wrapText="1"/>
    </xf>
    <xf numFmtId="0" fontId="3" fillId="0" borderId="3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xf>
    <xf numFmtId="0" fontId="3" fillId="0" borderId="6" xfId="0"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23" xfId="0" applyFont="1" applyBorder="1" applyAlignment="1">
      <alignment vertical="center" wrapText="1"/>
    </xf>
    <xf numFmtId="0" fontId="0" fillId="0" borderId="5" xfId="0"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0" fillId="0" borderId="2" xfId="0" applyBorder="1" applyAlignment="1">
      <alignment vertical="center" wrapText="1"/>
    </xf>
    <xf numFmtId="0" fontId="13" fillId="0" borderId="0" xfId="0" applyFont="1" applyAlignment="1">
      <alignment wrapText="1"/>
    </xf>
    <xf numFmtId="0" fontId="0" fillId="0" borderId="0" xfId="0"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worksheet" Target="worksheets/sheet37.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32.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worksheet" Target="worksheets/sheet36.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worksheet" Target="worksheets/sheet27.xml"/><Relationship Id="rId41" Type="http://schemas.openxmlformats.org/officeDocument/2006/relationships/worksheet" Target="worksheets/sheet39.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5.xml"/><Relationship Id="rId40" Type="http://schemas.openxmlformats.org/officeDocument/2006/relationships/worksheet" Target="worksheets/sheet38.xml"/><Relationship Id="rId45" Type="http://schemas.openxmlformats.org/officeDocument/2006/relationships/calcChain" Target="calcChain.xml"/><Relationship Id="rId5" Type="http://schemas.openxmlformats.org/officeDocument/2006/relationships/chartsheet" Target="chartsheets/sheet2.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worksheet" Target="worksheets/sheet34.xml"/><Relationship Id="rId49" Type="http://schemas.openxmlformats.org/officeDocument/2006/relationships/customXml" Target="../customXml/item4.xml"/><Relationship Id="rId10" Type="http://schemas.openxmlformats.org/officeDocument/2006/relationships/worksheet" Target="worksheets/sheet8.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3.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Pump Curves</a:t>
            </a:r>
          </a:p>
        </c:rich>
      </c:tx>
      <c:layout>
        <c:manualLayout>
          <c:xMode val="edge"/>
          <c:yMode val="edge"/>
          <c:x val="0.4384017758046615"/>
          <c:y val="1.9575856443719411E-2"/>
        </c:manualLayout>
      </c:layout>
      <c:overlay val="0"/>
      <c:spPr>
        <a:noFill/>
        <a:ln w="25400">
          <a:noFill/>
        </a:ln>
      </c:spPr>
    </c:title>
    <c:autoTitleDeleted val="0"/>
    <c:plotArea>
      <c:layout>
        <c:manualLayout>
          <c:layoutTarget val="inner"/>
          <c:xMode val="edge"/>
          <c:yMode val="edge"/>
          <c:x val="9.3229744728079905E-2"/>
          <c:y val="0.12071778140293637"/>
          <c:w val="0.85904550499445065"/>
          <c:h val="0.72756933115823819"/>
        </c:manualLayout>
      </c:layout>
      <c:scatterChart>
        <c:scatterStyle val="smoothMarker"/>
        <c:varyColors val="0"/>
        <c:ser>
          <c:idx val="1"/>
          <c:order val="0"/>
          <c:tx>
            <c:v>System Curve C=140</c:v>
          </c:tx>
          <c:spPr>
            <a:ln w="25400">
              <a:solidFill>
                <a:srgbClr val="FF0000"/>
              </a:solidFill>
              <a:prstDash val="solid"/>
            </a:ln>
          </c:spPr>
          <c:marker>
            <c:symbol val="none"/>
          </c:marker>
          <c:xVal>
            <c:numRef>
              <c:f>'Headloss Calcs'!$A$21:$A$49</c:f>
              <c:numCache>
                <c:formatCode>0.00</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xVal>
          <c:yVal>
            <c:numRef>
              <c:f>'Headloss Calcs'!$E$21:$E$56</c:f>
              <c:numCache>
                <c:formatCode>0.00</c:formatCode>
                <c:ptCount val="33"/>
                <c:pt idx="0">
                  <c:v>45.652558520034901</c:v>
                </c:pt>
                <c:pt idx="1">
                  <c:v>45.790502240675934</c:v>
                </c:pt>
                <c:pt idx="2">
                  <c:v>46.004720824239918</c:v>
                </c:pt>
                <c:pt idx="3">
                  <c:v>46.290875644924711</c:v>
                </c:pt>
                <c:pt idx="4">
                  <c:v>46.646102063069307</c:v>
                </c:pt>
                <c:pt idx="5">
                  <c:v>47.068277428540284</c:v>
                </c:pt>
                <c:pt idx="6">
                  <c:v>47.555725416077934</c:v>
                </c:pt>
                <c:pt idx="7">
                  <c:v>48.107066837477525</c:v>
                </c:pt>
                <c:pt idx="8">
                  <c:v>48.721133958380207</c:v>
                </c:pt>
                <c:pt idx="9">
                  <c:v>49.396916840457642</c:v>
                </c:pt>
                <c:pt idx="10">
                  <c:v>50.133527574123306</c:v>
                </c:pt>
                <c:pt idx="11">
                  <c:v>50.930175279821803</c:v>
                </c:pt>
                <c:pt idx="12">
                  <c:v>51.786147972109347</c:v>
                </c:pt>
                <c:pt idx="13">
                  <c:v>52.700798999906837</c:v>
                </c:pt>
                <c:pt idx="14">
                  <c:v>53.673536652649069</c:v>
                </c:pt>
                <c:pt idx="15">
                  <c:v>54.703816024682581</c:v>
                </c:pt>
                <c:pt idx="16">
                  <c:v>55.791132532617411</c:v>
                </c:pt>
                <c:pt idx="17">
                  <c:v>56.935016669624531</c:v>
                </c:pt>
                <c:pt idx="18">
                  <c:v>58.135029703264372</c:v>
                </c:pt>
                <c:pt idx="19">
                  <c:v>59.390760105190211</c:v>
                </c:pt>
                <c:pt idx="20">
                  <c:v>60.701820557004169</c:v>
                </c:pt>
                <c:pt idx="21">
                  <c:v>62.067845415677162</c:v>
                </c:pt>
                <c:pt idx="22">
                  <c:v>63.488488549875044</c:v>
                </c:pt>
                <c:pt idx="23">
                  <c:v>64.963421478824671</c:v>
                </c:pt>
                <c:pt idx="24">
                  <c:v>66.492331760332988</c:v>
                </c:pt>
                <c:pt idx="25">
                  <c:v>68.07492158579052</c:v>
                </c:pt>
                <c:pt idx="26">
                  <c:v>69.710906548503829</c:v>
                </c:pt>
                <c:pt idx="27">
                  <c:v>71.400014558237842</c:v>
                </c:pt>
                <c:pt idx="28">
                  <c:v>73.141984879925872</c:v>
                </c:pt>
                <c:pt idx="29">
                  <c:v>74.936567278484176</c:v>
                </c:pt>
                <c:pt idx="30">
                  <c:v>76.783521254820499</c:v>
                </c:pt>
                <c:pt idx="31">
                  <c:v>78.682615360640511</c:v>
                </c:pt>
                <c:pt idx="32">
                  <c:v>80.633626581682677</c:v>
                </c:pt>
              </c:numCache>
            </c:numRef>
          </c:yVal>
          <c:smooth val="1"/>
          <c:extLst>
            <c:ext xmlns:c16="http://schemas.microsoft.com/office/drawing/2014/chart" uri="{C3380CC4-5D6E-409C-BE32-E72D297353CC}">
              <c16:uniqueId val="{00000000-CD70-4246-B3AC-9BA58CB4998A}"/>
            </c:ext>
          </c:extLst>
        </c:ser>
        <c:ser>
          <c:idx val="0"/>
          <c:order val="1"/>
          <c:tx>
            <c:v>System Curve C=100</c:v>
          </c:tx>
          <c:spPr>
            <a:ln w="25400">
              <a:solidFill>
                <a:srgbClr val="FF0000"/>
              </a:solidFill>
              <a:prstDash val="solid"/>
            </a:ln>
          </c:spPr>
          <c:marker>
            <c:symbol val="none"/>
          </c:marker>
          <c:xVal>
            <c:numRef>
              <c:f>'Headloss Calcs'!$A$21:$A$56</c:f>
              <c:numCache>
                <c:formatCode>0.00</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xVal>
          <c:yVal>
            <c:numRef>
              <c:f>'Headloss Calcs'!$J$21:$J$56</c:f>
              <c:numCache>
                <c:formatCode>0.00</c:formatCode>
                <c:ptCount val="33"/>
                <c:pt idx="0">
                  <c:v>53.69569562275246</c:v>
                </c:pt>
                <c:pt idx="1">
                  <c:v>53.946011575795509</c:v>
                </c:pt>
                <c:pt idx="2">
                  <c:v>54.333970452884785</c:v>
                </c:pt>
                <c:pt idx="3">
                  <c:v>54.851487085792002</c:v>
                </c:pt>
                <c:pt idx="4">
                  <c:v>55.493223126701736</c:v>
                </c:pt>
                <c:pt idx="5">
                  <c:v>56.255222949062819</c:v>
                </c:pt>
                <c:pt idx="6">
                  <c:v>57.134362667030267</c:v>
                </c:pt>
                <c:pt idx="7">
                  <c:v>58.128072119183784</c:v>
                </c:pt>
                <c:pt idx="8">
                  <c:v>59.234175195121637</c:v>
                </c:pt>
                <c:pt idx="9">
                  <c:v>60.450789842402045</c:v>
                </c:pt>
                <c:pt idx="10">
                  <c:v>61.776261413054456</c:v>
                </c:pt>
                <c:pt idx="11">
                  <c:v>63.20911607768096</c:v>
                </c:pt>
                <c:pt idx="12">
                  <c:v>64.748027028589092</c:v>
                </c:pt>
                <c:pt idx="13">
                  <c:v>66.391789210768763</c:v>
                </c:pt>
                <c:pt idx="14">
                  <c:v>68.139299952618401</c:v>
                </c:pt>
                <c:pt idx="15">
                  <c:v>69.989543804989381</c:v>
                </c:pt>
                <c:pt idx="16">
                  <c:v>71.941580460563443</c:v>
                </c:pt>
                <c:pt idx="17">
                  <c:v>73.994534978317745</c:v>
                </c:pt>
                <c:pt idx="18">
                  <c:v>76.147589766290466</c:v>
                </c:pt>
                <c:pt idx="19">
                  <c:v>78.399977928218703</c:v>
                </c:pt>
                <c:pt idx="20">
                  <c:v>80.750977683855027</c:v>
                </c:pt>
                <c:pt idx="21">
                  <c:v>83.19990764569647</c:v>
                </c:pt>
                <c:pt idx="22">
                  <c:v>85.746122786908913</c:v>
                </c:pt>
                <c:pt idx="23">
                  <c:v>88.38901097304435</c:v>
                </c:pt>
                <c:pt idx="24">
                  <c:v>91.127989958062685</c:v>
                </c:pt>
                <c:pt idx="25">
                  <c:v>93.962504766075909</c:v>
                </c:pt>
                <c:pt idx="26">
                  <c:v>96.892025396096045</c:v>
                </c:pt>
                <c:pt idx="27">
                  <c:v>99.916044799249931</c:v>
                </c:pt>
                <c:pt idx="28">
                  <c:v>103.03407708738467</c:v>
                </c:pt>
                <c:pt idx="29">
                  <c:v>106.24565593940213</c:v>
                </c:pt>
                <c:pt idx="30">
                  <c:v>109.55033317753616</c:v>
                </c:pt>
                <c:pt idx="31">
                  <c:v>112.94767749047284</c:v>
                </c:pt>
                <c:pt idx="32">
                  <c:v>116.4372732839885</c:v>
                </c:pt>
              </c:numCache>
            </c:numRef>
          </c:yVal>
          <c:smooth val="1"/>
          <c:extLst>
            <c:ext xmlns:c16="http://schemas.microsoft.com/office/drawing/2014/chart" uri="{C3380CC4-5D6E-409C-BE32-E72D297353CC}">
              <c16:uniqueId val="{00000001-CD70-4246-B3AC-9BA58CB4998A}"/>
            </c:ext>
          </c:extLst>
        </c:ser>
        <c:ser>
          <c:idx val="3"/>
          <c:order val="2"/>
          <c:tx>
            <c:v>One Pump Modified</c:v>
          </c:tx>
          <c:spPr>
            <a:ln w="25400">
              <a:solidFill>
                <a:srgbClr val="0000FF"/>
              </a:solidFill>
              <a:prstDash val="solid"/>
            </a:ln>
          </c:spPr>
          <c:marker>
            <c:symbol val="none"/>
          </c:marker>
          <c:xVal>
            <c:numRef>
              <c:f>'Pump Characterstics'!$A$7:$A$14</c:f>
              <c:numCache>
                <c:formatCode>General</c:formatCode>
                <c:ptCount val="8"/>
                <c:pt idx="0">
                  <c:v>0</c:v>
                </c:pt>
                <c:pt idx="1">
                  <c:v>4.95</c:v>
                </c:pt>
                <c:pt idx="2">
                  <c:v>6.6</c:v>
                </c:pt>
                <c:pt idx="3">
                  <c:v>8.25</c:v>
                </c:pt>
                <c:pt idx="4">
                  <c:v>9.9</c:v>
                </c:pt>
                <c:pt idx="5">
                  <c:v>11.5</c:v>
                </c:pt>
                <c:pt idx="6">
                  <c:v>13.3</c:v>
                </c:pt>
                <c:pt idx="7">
                  <c:v>14.5</c:v>
                </c:pt>
              </c:numCache>
            </c:numRef>
          </c:xVal>
          <c:yVal>
            <c:numRef>
              <c:f>'Pump Characterstics'!$E$7:$E$14</c:f>
              <c:numCache>
                <c:formatCode>0.00</c:formatCode>
                <c:ptCount val="8"/>
                <c:pt idx="0">
                  <c:v>105</c:v>
                </c:pt>
                <c:pt idx="1">
                  <c:v>85.720263625671762</c:v>
                </c:pt>
                <c:pt idx="2">
                  <c:v>79.424913112305333</c:v>
                </c:pt>
                <c:pt idx="3">
                  <c:v>72.645176737977096</c:v>
                </c:pt>
                <c:pt idx="4">
                  <c:v>65.681054502687005</c:v>
                </c:pt>
                <c:pt idx="5">
                  <c:v>54.335072523011483</c:v>
                </c:pt>
                <c:pt idx="6">
                  <c:v>39.363909100911172</c:v>
                </c:pt>
                <c:pt idx="7">
                  <c:v>28.096211704825453</c:v>
                </c:pt>
              </c:numCache>
            </c:numRef>
          </c:yVal>
          <c:smooth val="1"/>
          <c:extLst>
            <c:ext xmlns:c16="http://schemas.microsoft.com/office/drawing/2014/chart" uri="{C3380CC4-5D6E-409C-BE32-E72D297353CC}">
              <c16:uniqueId val="{00000002-CD70-4246-B3AC-9BA58CB4998A}"/>
            </c:ext>
          </c:extLst>
        </c:ser>
        <c:ser>
          <c:idx val="2"/>
          <c:order val="3"/>
          <c:tx>
            <c:v>One Pump</c:v>
          </c:tx>
          <c:spPr>
            <a:ln w="38100">
              <a:solidFill>
                <a:srgbClr val="008000"/>
              </a:solidFill>
              <a:prstDash val="solid"/>
            </a:ln>
          </c:spPr>
          <c:marker>
            <c:symbol val="none"/>
          </c:marker>
          <c:xVal>
            <c:numRef>
              <c:f>'Pump Characterstics'!$A$7:$A$14</c:f>
              <c:numCache>
                <c:formatCode>General</c:formatCode>
                <c:ptCount val="8"/>
                <c:pt idx="0">
                  <c:v>0</c:v>
                </c:pt>
                <c:pt idx="1">
                  <c:v>4.95</c:v>
                </c:pt>
                <c:pt idx="2">
                  <c:v>6.6</c:v>
                </c:pt>
                <c:pt idx="3">
                  <c:v>8.25</c:v>
                </c:pt>
                <c:pt idx="4">
                  <c:v>9.9</c:v>
                </c:pt>
                <c:pt idx="5">
                  <c:v>11.5</c:v>
                </c:pt>
                <c:pt idx="6">
                  <c:v>13.3</c:v>
                </c:pt>
                <c:pt idx="7">
                  <c:v>14.5</c:v>
                </c:pt>
              </c:numCache>
            </c:numRef>
          </c:xVal>
          <c:yVal>
            <c:numRef>
              <c:f>'Pump Characterstics'!$B$7:$B$14</c:f>
              <c:numCache>
                <c:formatCode>General</c:formatCode>
                <c:ptCount val="8"/>
                <c:pt idx="0">
                  <c:v>105</c:v>
                </c:pt>
                <c:pt idx="1">
                  <c:v>87.9</c:v>
                </c:pt>
                <c:pt idx="2">
                  <c:v>83.3</c:v>
                </c:pt>
                <c:pt idx="3">
                  <c:v>78.7</c:v>
                </c:pt>
                <c:pt idx="4">
                  <c:v>74.400000000000006</c:v>
                </c:pt>
                <c:pt idx="5">
                  <c:v>66.099999999999994</c:v>
                </c:pt>
                <c:pt idx="6">
                  <c:v>55.1</c:v>
                </c:pt>
                <c:pt idx="7">
                  <c:v>46.8</c:v>
                </c:pt>
              </c:numCache>
            </c:numRef>
          </c:yVal>
          <c:smooth val="1"/>
          <c:extLst>
            <c:ext xmlns:c16="http://schemas.microsoft.com/office/drawing/2014/chart" uri="{C3380CC4-5D6E-409C-BE32-E72D297353CC}">
              <c16:uniqueId val="{00000003-CD70-4246-B3AC-9BA58CB4998A}"/>
            </c:ext>
          </c:extLst>
        </c:ser>
        <c:dLbls>
          <c:showLegendKey val="0"/>
          <c:showVal val="0"/>
          <c:showCatName val="0"/>
          <c:showSerName val="0"/>
          <c:showPercent val="0"/>
          <c:showBubbleSize val="0"/>
        </c:dLbls>
        <c:axId val="132764032"/>
        <c:axId val="132766336"/>
      </c:scatterChart>
      <c:valAx>
        <c:axId val="132764032"/>
        <c:scaling>
          <c:orientation val="minMax"/>
          <c:max val="18"/>
          <c:min val="1"/>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Flow (MGD)</a:t>
                </a:r>
              </a:p>
            </c:rich>
          </c:tx>
          <c:layout>
            <c:manualLayout>
              <c:xMode val="edge"/>
              <c:yMode val="edge"/>
              <c:x val="0.48057713651498335"/>
              <c:y val="0.898858075040783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766336"/>
        <c:crosses val="autoZero"/>
        <c:crossBetween val="midCat"/>
        <c:majorUnit val="1"/>
        <c:minorUnit val="1"/>
      </c:valAx>
      <c:valAx>
        <c:axId val="132766336"/>
        <c:scaling>
          <c:orientation val="minMax"/>
          <c:max val="11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Headloss (ft)</a:t>
                </a:r>
              </a:p>
            </c:rich>
          </c:tx>
          <c:layout>
            <c:manualLayout>
              <c:xMode val="edge"/>
              <c:yMode val="edge"/>
              <c:x val="1.1098779134295227E-2"/>
              <c:y val="0.419249592169657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2764032"/>
        <c:crosses val="autoZero"/>
        <c:crossBetween val="midCat"/>
        <c:majorUnit val="10"/>
        <c:minorUnit val="5"/>
      </c:valAx>
      <c:spPr>
        <a:solidFill>
          <a:srgbClr val="FFFFFF"/>
        </a:solidFill>
        <a:ln w="12700">
          <a:solidFill>
            <a:srgbClr val="808080"/>
          </a:solidFill>
          <a:prstDash val="solid"/>
        </a:ln>
      </c:spPr>
    </c:plotArea>
    <c:legend>
      <c:legendPos val="r"/>
      <c:layout>
        <c:manualLayout>
          <c:xMode val="edge"/>
          <c:yMode val="edge"/>
          <c:wMode val="edge"/>
          <c:hMode val="edge"/>
          <c:x val="6.2153163152053277E-2"/>
          <c:y val="0.92495921696574224"/>
          <c:w val="1"/>
          <c:h val="0.9836867862969004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Pump Curves</a:t>
            </a:r>
          </a:p>
        </c:rich>
      </c:tx>
      <c:layout>
        <c:manualLayout>
          <c:xMode val="edge"/>
          <c:yMode val="edge"/>
          <c:x val="0.4384017758046615"/>
          <c:y val="1.9575856443719411E-2"/>
        </c:manualLayout>
      </c:layout>
      <c:overlay val="0"/>
      <c:spPr>
        <a:noFill/>
        <a:ln w="25400">
          <a:noFill/>
        </a:ln>
      </c:spPr>
    </c:title>
    <c:autoTitleDeleted val="0"/>
    <c:plotArea>
      <c:layout>
        <c:manualLayout>
          <c:layoutTarget val="inner"/>
          <c:xMode val="edge"/>
          <c:yMode val="edge"/>
          <c:x val="9.3229744728079905E-2"/>
          <c:y val="0.12071778140293637"/>
          <c:w val="0.85904550499445065"/>
          <c:h val="0.72756933115823819"/>
        </c:manualLayout>
      </c:layout>
      <c:scatterChart>
        <c:scatterStyle val="smoothMarker"/>
        <c:varyColors val="0"/>
        <c:ser>
          <c:idx val="1"/>
          <c:order val="0"/>
          <c:tx>
            <c:v>System Curve C=140</c:v>
          </c:tx>
          <c:spPr>
            <a:ln w="25400">
              <a:solidFill>
                <a:srgbClr val="FF0000"/>
              </a:solidFill>
              <a:prstDash val="solid"/>
            </a:ln>
          </c:spPr>
          <c:marker>
            <c:symbol val="none"/>
          </c:marker>
          <c:xVal>
            <c:numRef>
              <c:f>'Headloss Calcs'!$A$21:$A$49</c:f>
              <c:numCache>
                <c:formatCode>0.00</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xVal>
          <c:yVal>
            <c:numRef>
              <c:f>'Headloss Calcs'!$E$21:$E$56</c:f>
              <c:numCache>
                <c:formatCode>0.00</c:formatCode>
                <c:ptCount val="33"/>
                <c:pt idx="0">
                  <c:v>45.652558520034901</c:v>
                </c:pt>
                <c:pt idx="1">
                  <c:v>45.790502240675934</c:v>
                </c:pt>
                <c:pt idx="2">
                  <c:v>46.004720824239918</c:v>
                </c:pt>
                <c:pt idx="3">
                  <c:v>46.290875644924711</c:v>
                </c:pt>
                <c:pt idx="4">
                  <c:v>46.646102063069307</c:v>
                </c:pt>
                <c:pt idx="5">
                  <c:v>47.068277428540284</c:v>
                </c:pt>
                <c:pt idx="6">
                  <c:v>47.555725416077934</c:v>
                </c:pt>
                <c:pt idx="7">
                  <c:v>48.107066837477525</c:v>
                </c:pt>
                <c:pt idx="8">
                  <c:v>48.721133958380207</c:v>
                </c:pt>
                <c:pt idx="9">
                  <c:v>49.396916840457642</c:v>
                </c:pt>
                <c:pt idx="10">
                  <c:v>50.133527574123306</c:v>
                </c:pt>
                <c:pt idx="11">
                  <c:v>50.930175279821803</c:v>
                </c:pt>
                <c:pt idx="12">
                  <c:v>51.786147972109347</c:v>
                </c:pt>
                <c:pt idx="13">
                  <c:v>52.700798999906837</c:v>
                </c:pt>
                <c:pt idx="14">
                  <c:v>53.673536652649069</c:v>
                </c:pt>
                <c:pt idx="15">
                  <c:v>54.703816024682581</c:v>
                </c:pt>
                <c:pt idx="16">
                  <c:v>55.791132532617411</c:v>
                </c:pt>
                <c:pt idx="17">
                  <c:v>56.935016669624531</c:v>
                </c:pt>
                <c:pt idx="18">
                  <c:v>58.135029703264372</c:v>
                </c:pt>
                <c:pt idx="19">
                  <c:v>59.390760105190211</c:v>
                </c:pt>
                <c:pt idx="20">
                  <c:v>60.701820557004169</c:v>
                </c:pt>
                <c:pt idx="21">
                  <c:v>62.067845415677162</c:v>
                </c:pt>
                <c:pt idx="22">
                  <c:v>63.488488549875044</c:v>
                </c:pt>
                <c:pt idx="23">
                  <c:v>64.963421478824671</c:v>
                </c:pt>
                <c:pt idx="24">
                  <c:v>66.492331760332988</c:v>
                </c:pt>
                <c:pt idx="25">
                  <c:v>68.07492158579052</c:v>
                </c:pt>
                <c:pt idx="26">
                  <c:v>69.710906548503829</c:v>
                </c:pt>
                <c:pt idx="27">
                  <c:v>71.400014558237842</c:v>
                </c:pt>
                <c:pt idx="28">
                  <c:v>73.141984879925872</c:v>
                </c:pt>
                <c:pt idx="29">
                  <c:v>74.936567278484176</c:v>
                </c:pt>
                <c:pt idx="30">
                  <c:v>76.783521254820499</c:v>
                </c:pt>
                <c:pt idx="31">
                  <c:v>78.682615360640511</c:v>
                </c:pt>
                <c:pt idx="32">
                  <c:v>80.633626581682677</c:v>
                </c:pt>
              </c:numCache>
            </c:numRef>
          </c:yVal>
          <c:smooth val="1"/>
          <c:extLst>
            <c:ext xmlns:c16="http://schemas.microsoft.com/office/drawing/2014/chart" uri="{C3380CC4-5D6E-409C-BE32-E72D297353CC}">
              <c16:uniqueId val="{00000000-9206-4EF1-9497-03F9980603FA}"/>
            </c:ext>
          </c:extLst>
        </c:ser>
        <c:ser>
          <c:idx val="0"/>
          <c:order val="1"/>
          <c:tx>
            <c:v>System Curve C=100</c:v>
          </c:tx>
          <c:spPr>
            <a:ln w="25400">
              <a:solidFill>
                <a:srgbClr val="FF0000"/>
              </a:solidFill>
              <a:prstDash val="solid"/>
            </a:ln>
          </c:spPr>
          <c:marker>
            <c:symbol val="none"/>
          </c:marker>
          <c:xVal>
            <c:numRef>
              <c:f>'Headloss Calcs'!$A$21:$A$56</c:f>
              <c:numCache>
                <c:formatCode>0.00</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xVal>
          <c:yVal>
            <c:numRef>
              <c:f>'Headloss Calcs'!$J$21:$J$56</c:f>
              <c:numCache>
                <c:formatCode>0.00</c:formatCode>
                <c:ptCount val="33"/>
                <c:pt idx="0">
                  <c:v>53.69569562275246</c:v>
                </c:pt>
                <c:pt idx="1">
                  <c:v>53.946011575795509</c:v>
                </c:pt>
                <c:pt idx="2">
                  <c:v>54.333970452884785</c:v>
                </c:pt>
                <c:pt idx="3">
                  <c:v>54.851487085792002</c:v>
                </c:pt>
                <c:pt idx="4">
                  <c:v>55.493223126701736</c:v>
                </c:pt>
                <c:pt idx="5">
                  <c:v>56.255222949062819</c:v>
                </c:pt>
                <c:pt idx="6">
                  <c:v>57.134362667030267</c:v>
                </c:pt>
                <c:pt idx="7">
                  <c:v>58.128072119183784</c:v>
                </c:pt>
                <c:pt idx="8">
                  <c:v>59.234175195121637</c:v>
                </c:pt>
                <c:pt idx="9">
                  <c:v>60.450789842402045</c:v>
                </c:pt>
                <c:pt idx="10">
                  <c:v>61.776261413054456</c:v>
                </c:pt>
                <c:pt idx="11">
                  <c:v>63.20911607768096</c:v>
                </c:pt>
                <c:pt idx="12">
                  <c:v>64.748027028589092</c:v>
                </c:pt>
                <c:pt idx="13">
                  <c:v>66.391789210768763</c:v>
                </c:pt>
                <c:pt idx="14">
                  <c:v>68.139299952618401</c:v>
                </c:pt>
                <c:pt idx="15">
                  <c:v>69.989543804989381</c:v>
                </c:pt>
                <c:pt idx="16">
                  <c:v>71.941580460563443</c:v>
                </c:pt>
                <c:pt idx="17">
                  <c:v>73.994534978317745</c:v>
                </c:pt>
                <c:pt idx="18">
                  <c:v>76.147589766290466</c:v>
                </c:pt>
                <c:pt idx="19">
                  <c:v>78.399977928218703</c:v>
                </c:pt>
                <c:pt idx="20">
                  <c:v>80.750977683855027</c:v>
                </c:pt>
                <c:pt idx="21">
                  <c:v>83.19990764569647</c:v>
                </c:pt>
                <c:pt idx="22">
                  <c:v>85.746122786908913</c:v>
                </c:pt>
                <c:pt idx="23">
                  <c:v>88.38901097304435</c:v>
                </c:pt>
                <c:pt idx="24">
                  <c:v>91.127989958062685</c:v>
                </c:pt>
                <c:pt idx="25">
                  <c:v>93.962504766075909</c:v>
                </c:pt>
                <c:pt idx="26">
                  <c:v>96.892025396096045</c:v>
                </c:pt>
                <c:pt idx="27">
                  <c:v>99.916044799249931</c:v>
                </c:pt>
                <c:pt idx="28">
                  <c:v>103.03407708738467</c:v>
                </c:pt>
                <c:pt idx="29">
                  <c:v>106.24565593940213</c:v>
                </c:pt>
                <c:pt idx="30">
                  <c:v>109.55033317753616</c:v>
                </c:pt>
                <c:pt idx="31">
                  <c:v>112.94767749047284</c:v>
                </c:pt>
                <c:pt idx="32">
                  <c:v>116.4372732839885</c:v>
                </c:pt>
              </c:numCache>
            </c:numRef>
          </c:yVal>
          <c:smooth val="1"/>
          <c:extLst>
            <c:ext xmlns:c16="http://schemas.microsoft.com/office/drawing/2014/chart" uri="{C3380CC4-5D6E-409C-BE32-E72D297353CC}">
              <c16:uniqueId val="{00000001-9206-4EF1-9497-03F9980603FA}"/>
            </c:ext>
          </c:extLst>
        </c:ser>
        <c:ser>
          <c:idx val="3"/>
          <c:order val="2"/>
          <c:tx>
            <c:v>One Pump Modified</c:v>
          </c:tx>
          <c:spPr>
            <a:ln w="25400">
              <a:solidFill>
                <a:srgbClr val="0000FF"/>
              </a:solidFill>
              <a:prstDash val="solid"/>
            </a:ln>
          </c:spPr>
          <c:marker>
            <c:symbol val="none"/>
          </c:marker>
          <c:xVal>
            <c:numRef>
              <c:f>'Pump Characterstics'!$A$7:$A$14</c:f>
              <c:numCache>
                <c:formatCode>General</c:formatCode>
                <c:ptCount val="8"/>
                <c:pt idx="0">
                  <c:v>0</c:v>
                </c:pt>
                <c:pt idx="1">
                  <c:v>4.95</c:v>
                </c:pt>
                <c:pt idx="2">
                  <c:v>6.6</c:v>
                </c:pt>
                <c:pt idx="3">
                  <c:v>8.25</c:v>
                </c:pt>
                <c:pt idx="4">
                  <c:v>9.9</c:v>
                </c:pt>
                <c:pt idx="5">
                  <c:v>11.5</c:v>
                </c:pt>
                <c:pt idx="6">
                  <c:v>13.3</c:v>
                </c:pt>
                <c:pt idx="7">
                  <c:v>14.5</c:v>
                </c:pt>
              </c:numCache>
            </c:numRef>
          </c:xVal>
          <c:yVal>
            <c:numRef>
              <c:f>'Pump Characterstics'!$E$7:$E$14</c:f>
              <c:numCache>
                <c:formatCode>0.00</c:formatCode>
                <c:ptCount val="8"/>
                <c:pt idx="0">
                  <c:v>105</c:v>
                </c:pt>
                <c:pt idx="1">
                  <c:v>85.720263625671762</c:v>
                </c:pt>
                <c:pt idx="2">
                  <c:v>79.424913112305333</c:v>
                </c:pt>
                <c:pt idx="3">
                  <c:v>72.645176737977096</c:v>
                </c:pt>
                <c:pt idx="4">
                  <c:v>65.681054502687005</c:v>
                </c:pt>
                <c:pt idx="5">
                  <c:v>54.335072523011483</c:v>
                </c:pt>
                <c:pt idx="6">
                  <c:v>39.363909100911172</c:v>
                </c:pt>
                <c:pt idx="7">
                  <c:v>28.096211704825453</c:v>
                </c:pt>
              </c:numCache>
            </c:numRef>
          </c:yVal>
          <c:smooth val="1"/>
          <c:extLst>
            <c:ext xmlns:c16="http://schemas.microsoft.com/office/drawing/2014/chart" uri="{C3380CC4-5D6E-409C-BE32-E72D297353CC}">
              <c16:uniqueId val="{00000002-9206-4EF1-9497-03F9980603FA}"/>
            </c:ext>
          </c:extLst>
        </c:ser>
        <c:ser>
          <c:idx val="4"/>
          <c:order val="3"/>
          <c:tx>
            <c:v>Two Pumps Modified</c:v>
          </c:tx>
          <c:spPr>
            <a:ln w="25400">
              <a:solidFill>
                <a:srgbClr val="0000FF"/>
              </a:solidFill>
              <a:prstDash val="solid"/>
            </a:ln>
          </c:spPr>
          <c:marker>
            <c:symbol val="none"/>
          </c:marker>
          <c:xVal>
            <c:numRef>
              <c:f>'Pump Characterstics'!$G$7:$G$14</c:f>
              <c:numCache>
                <c:formatCode>General</c:formatCode>
                <c:ptCount val="8"/>
                <c:pt idx="0">
                  <c:v>0</c:v>
                </c:pt>
                <c:pt idx="1">
                  <c:v>9.9</c:v>
                </c:pt>
                <c:pt idx="2">
                  <c:v>13.2</c:v>
                </c:pt>
                <c:pt idx="3">
                  <c:v>16.5</c:v>
                </c:pt>
                <c:pt idx="4">
                  <c:v>19.8</c:v>
                </c:pt>
                <c:pt idx="5">
                  <c:v>23</c:v>
                </c:pt>
                <c:pt idx="6">
                  <c:v>26.6</c:v>
                </c:pt>
                <c:pt idx="7">
                  <c:v>29</c:v>
                </c:pt>
              </c:numCache>
            </c:numRef>
          </c:xVal>
          <c:yVal>
            <c:numRef>
              <c:f>'Pump Characterstics'!$K$7:$K$14</c:f>
              <c:numCache>
                <c:formatCode>0.00</c:formatCode>
                <c:ptCount val="8"/>
                <c:pt idx="0">
                  <c:v>105</c:v>
                </c:pt>
                <c:pt idx="1">
                  <c:v>85.720263625671762</c:v>
                </c:pt>
                <c:pt idx="2">
                  <c:v>79.424913112305333</c:v>
                </c:pt>
                <c:pt idx="3">
                  <c:v>72.645176737977096</c:v>
                </c:pt>
                <c:pt idx="4">
                  <c:v>65.681054502687005</c:v>
                </c:pt>
                <c:pt idx="5">
                  <c:v>54.335072523011483</c:v>
                </c:pt>
                <c:pt idx="6">
                  <c:v>39.363909100911172</c:v>
                </c:pt>
                <c:pt idx="7">
                  <c:v>28.096211704825453</c:v>
                </c:pt>
              </c:numCache>
            </c:numRef>
          </c:yVal>
          <c:smooth val="1"/>
          <c:extLst>
            <c:ext xmlns:c16="http://schemas.microsoft.com/office/drawing/2014/chart" uri="{C3380CC4-5D6E-409C-BE32-E72D297353CC}">
              <c16:uniqueId val="{00000003-9206-4EF1-9497-03F9980603FA}"/>
            </c:ext>
          </c:extLst>
        </c:ser>
        <c:ser>
          <c:idx val="5"/>
          <c:order val="4"/>
          <c:tx>
            <c:v>Three Pumps Modified</c:v>
          </c:tx>
          <c:spPr>
            <a:ln w="25400">
              <a:solidFill>
                <a:srgbClr val="0000FF"/>
              </a:solidFill>
              <a:prstDash val="solid"/>
            </a:ln>
          </c:spPr>
          <c:marker>
            <c:symbol val="none"/>
          </c:marker>
          <c:xVal>
            <c:numRef>
              <c:f>'Pump Characterstics'!$A$20:$A$27</c:f>
              <c:numCache>
                <c:formatCode>General</c:formatCode>
                <c:ptCount val="8"/>
                <c:pt idx="0">
                  <c:v>0</c:v>
                </c:pt>
                <c:pt idx="1">
                  <c:v>14.850000000000001</c:v>
                </c:pt>
                <c:pt idx="2">
                  <c:v>19.799999999999997</c:v>
                </c:pt>
                <c:pt idx="3">
                  <c:v>24.75</c:v>
                </c:pt>
                <c:pt idx="4">
                  <c:v>29.700000000000003</c:v>
                </c:pt>
                <c:pt idx="5">
                  <c:v>34.5</c:v>
                </c:pt>
                <c:pt idx="6">
                  <c:v>39.900000000000006</c:v>
                </c:pt>
                <c:pt idx="7">
                  <c:v>43.5</c:v>
                </c:pt>
              </c:numCache>
            </c:numRef>
          </c:xVal>
          <c:yVal>
            <c:numRef>
              <c:f>'Pump Characterstics'!$E$20:$E$27</c:f>
              <c:numCache>
                <c:formatCode>0.00</c:formatCode>
                <c:ptCount val="8"/>
                <c:pt idx="0">
                  <c:v>105</c:v>
                </c:pt>
                <c:pt idx="1">
                  <c:v>85.720263625671762</c:v>
                </c:pt>
                <c:pt idx="2">
                  <c:v>79.424913112305333</c:v>
                </c:pt>
                <c:pt idx="3">
                  <c:v>72.645176737977096</c:v>
                </c:pt>
                <c:pt idx="4">
                  <c:v>65.681054502687005</c:v>
                </c:pt>
                <c:pt idx="5">
                  <c:v>54.335072523011483</c:v>
                </c:pt>
                <c:pt idx="6">
                  <c:v>39.363909100911172</c:v>
                </c:pt>
                <c:pt idx="7">
                  <c:v>28.096211704825453</c:v>
                </c:pt>
              </c:numCache>
            </c:numRef>
          </c:yVal>
          <c:smooth val="1"/>
          <c:extLst>
            <c:ext xmlns:c16="http://schemas.microsoft.com/office/drawing/2014/chart" uri="{C3380CC4-5D6E-409C-BE32-E72D297353CC}">
              <c16:uniqueId val="{00000004-9206-4EF1-9497-03F9980603FA}"/>
            </c:ext>
          </c:extLst>
        </c:ser>
        <c:ser>
          <c:idx val="6"/>
          <c:order val="5"/>
          <c:tx>
            <c:v>Four Pumps Modified</c:v>
          </c:tx>
          <c:spPr>
            <a:ln w="25400">
              <a:solidFill>
                <a:srgbClr val="0000FF"/>
              </a:solidFill>
              <a:prstDash val="solid"/>
            </a:ln>
          </c:spPr>
          <c:marker>
            <c:symbol val="none"/>
          </c:marker>
          <c:xVal>
            <c:numRef>
              <c:f>'Pump Characterstics'!$G$20:$G$27</c:f>
              <c:numCache>
                <c:formatCode>General</c:formatCode>
                <c:ptCount val="8"/>
                <c:pt idx="0">
                  <c:v>0</c:v>
                </c:pt>
                <c:pt idx="1">
                  <c:v>19.8</c:v>
                </c:pt>
                <c:pt idx="2">
                  <c:v>26.4</c:v>
                </c:pt>
                <c:pt idx="3">
                  <c:v>33</c:v>
                </c:pt>
                <c:pt idx="4">
                  <c:v>39.6</c:v>
                </c:pt>
                <c:pt idx="5">
                  <c:v>46</c:v>
                </c:pt>
                <c:pt idx="6">
                  <c:v>53.2</c:v>
                </c:pt>
                <c:pt idx="7">
                  <c:v>58</c:v>
                </c:pt>
              </c:numCache>
            </c:numRef>
          </c:xVal>
          <c:yVal>
            <c:numRef>
              <c:f>'Pump Characterstics'!$K$20:$K$27</c:f>
              <c:numCache>
                <c:formatCode>0.00</c:formatCode>
                <c:ptCount val="8"/>
                <c:pt idx="0">
                  <c:v>105</c:v>
                </c:pt>
                <c:pt idx="1">
                  <c:v>85.720263625671762</c:v>
                </c:pt>
                <c:pt idx="2">
                  <c:v>79.424913112305333</c:v>
                </c:pt>
                <c:pt idx="3">
                  <c:v>72.645176737977096</c:v>
                </c:pt>
                <c:pt idx="4">
                  <c:v>65.681054502687005</c:v>
                </c:pt>
                <c:pt idx="5">
                  <c:v>54.335072523011483</c:v>
                </c:pt>
                <c:pt idx="6">
                  <c:v>39.363909100911172</c:v>
                </c:pt>
                <c:pt idx="7">
                  <c:v>28.096211704825453</c:v>
                </c:pt>
              </c:numCache>
            </c:numRef>
          </c:yVal>
          <c:smooth val="1"/>
          <c:extLst>
            <c:ext xmlns:c16="http://schemas.microsoft.com/office/drawing/2014/chart" uri="{C3380CC4-5D6E-409C-BE32-E72D297353CC}">
              <c16:uniqueId val="{00000005-9206-4EF1-9497-03F9980603FA}"/>
            </c:ext>
          </c:extLst>
        </c:ser>
        <c:dLbls>
          <c:showLegendKey val="0"/>
          <c:showVal val="0"/>
          <c:showCatName val="0"/>
          <c:showSerName val="0"/>
          <c:showPercent val="0"/>
          <c:showBubbleSize val="0"/>
        </c:dLbls>
        <c:axId val="117936128"/>
        <c:axId val="117938048"/>
      </c:scatterChart>
      <c:valAx>
        <c:axId val="117936128"/>
        <c:scaling>
          <c:orientation val="minMax"/>
          <c:max val="33"/>
          <c:min val="1"/>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Flow (MGD)</a:t>
                </a:r>
              </a:p>
            </c:rich>
          </c:tx>
          <c:layout>
            <c:manualLayout>
              <c:xMode val="edge"/>
              <c:yMode val="edge"/>
              <c:x val="0.48057713651498335"/>
              <c:y val="0.898858075040783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938048"/>
        <c:crosses val="autoZero"/>
        <c:crossBetween val="midCat"/>
        <c:majorUnit val="1"/>
        <c:minorUnit val="1"/>
      </c:valAx>
      <c:valAx>
        <c:axId val="117938048"/>
        <c:scaling>
          <c:orientation val="minMax"/>
          <c:max val="11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Headloss (ft)</a:t>
                </a:r>
              </a:p>
            </c:rich>
          </c:tx>
          <c:layout>
            <c:manualLayout>
              <c:xMode val="edge"/>
              <c:yMode val="edge"/>
              <c:x val="1.1098779134295227E-2"/>
              <c:y val="0.419249592169657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936128"/>
        <c:crosses val="autoZero"/>
        <c:crossBetween val="midCat"/>
        <c:majorUnit val="10"/>
        <c:minorUnit val="5"/>
      </c:valAx>
      <c:spPr>
        <a:solidFill>
          <a:srgbClr val="FFFFFF"/>
        </a:solidFill>
        <a:ln w="12700">
          <a:solidFill>
            <a:srgbClr val="808080"/>
          </a:solidFill>
          <a:prstDash val="solid"/>
        </a:ln>
      </c:spPr>
    </c:plotArea>
    <c:legend>
      <c:legendPos val="r"/>
      <c:layout>
        <c:manualLayout>
          <c:xMode val="edge"/>
          <c:yMode val="edge"/>
          <c:wMode val="edge"/>
          <c:hMode val="edge"/>
          <c:x val="6.2153163152053277E-2"/>
          <c:y val="0.92495921696574224"/>
          <c:w val="1"/>
          <c:h val="0.9836867862969004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3"/>
  <sheetViews>
    <sheetView zoomScale="89" workbookViewId="0"/>
  </sheetViews>
  <pageMargins left="0.75" right="0.75" top="1" bottom="1" header="0.5" footer="0.5"/>
  <pageSetup orientation="landscape" r:id="rId1"/>
  <headerFooter alignWithMargins="0">
    <oddHeader>&amp;A</oddHeader>
    <oddFooter>Page &amp;P</oddFooter>
  </headerFooter>
  <drawing r:id="rId2"/>
</chartsheet>
</file>

<file path=xl/chartsheets/sheet2.xml><?xml version="1.0" encoding="utf-8"?>
<chartsheet xmlns="http://schemas.openxmlformats.org/spreadsheetml/2006/main" xmlns:r="http://schemas.openxmlformats.org/officeDocument/2006/relationships">
  <sheetPr codeName="Chart2"/>
  <sheetViews>
    <sheetView zoomScale="89" workbookViewId="0"/>
  </sheetViews>
  <pageMargins left="0.75" right="0.75" top="1" bottom="1" header="0.5" footer="0.5"/>
  <pageSetup orientation="landscape" r:id="rId1"/>
  <headerFooter alignWithMargins="0">
    <oddHeader>&amp;A</oddHeader>
    <oddFooter>Page &amp;P</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0.26925</cdr:x>
      <cdr:y>0.4255</cdr:y>
    </cdr:from>
    <cdr:to>
      <cdr:x>0.36375</cdr:x>
      <cdr:y>0.48375</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710" y="2484420"/>
          <a:ext cx="811002" cy="34011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One Pump </a:t>
          </a:r>
        </a:p>
        <a:p xmlns:a="http://schemas.openxmlformats.org/drawingml/2006/main">
          <a:pPr algn="ctr" rtl="0">
            <a:defRPr sz="1000"/>
          </a:pPr>
          <a:r>
            <a:rPr lang="en-US" sz="1000" b="0" i="0" u="none" strike="noStrike" baseline="0">
              <a:solidFill>
                <a:srgbClr val="000000"/>
              </a:solidFill>
              <a:latin typeface="Arial"/>
              <a:cs typeface="Arial"/>
            </a:rPr>
            <a:t>Modified</a:t>
          </a:r>
        </a:p>
      </cdr:txBody>
    </cdr:sp>
  </cdr:relSizeAnchor>
  <cdr:relSizeAnchor xmlns:cdr="http://schemas.openxmlformats.org/drawingml/2006/chartDrawing">
    <cdr:from>
      <cdr:x>0.49875</cdr:x>
      <cdr:y>0.25525</cdr:y>
    </cdr:from>
    <cdr:to>
      <cdr:x>0.54</cdr:x>
      <cdr:y>0.3375</cdr:y>
    </cdr:to>
    <cdr:sp macro="" textlink="">
      <cdr:nvSpPr>
        <cdr:cNvPr id="4098" name="Line 2"/>
        <cdr:cNvSpPr>
          <a:spLocks xmlns:a="http://schemas.openxmlformats.org/drawingml/2006/main" noChangeShapeType="1"/>
        </cdr:cNvSpPr>
      </cdr:nvSpPr>
      <cdr:spPr bwMode="auto">
        <a:xfrm xmlns:a="http://schemas.openxmlformats.org/drawingml/2006/main" flipH="1">
          <a:off x="4280285" y="1490360"/>
          <a:ext cx="354009" cy="4802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0.36375</cdr:x>
      <cdr:y>0.3885</cdr:y>
    </cdr:from>
    <cdr:to>
      <cdr:x>0.47025</cdr:x>
      <cdr:y>0.4495</cdr:y>
    </cdr:to>
    <cdr:sp macro="" textlink="">
      <cdr:nvSpPr>
        <cdr:cNvPr id="4099" name="Line 3"/>
        <cdr:cNvSpPr>
          <a:spLocks xmlns:a="http://schemas.openxmlformats.org/drawingml/2006/main" noChangeShapeType="1"/>
        </cdr:cNvSpPr>
      </cdr:nvSpPr>
      <cdr:spPr bwMode="auto">
        <a:xfrm xmlns:a="http://schemas.openxmlformats.org/drawingml/2006/main" flipV="1">
          <a:off x="3121712" y="2268384"/>
          <a:ext cx="913985" cy="35616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0.551</cdr:x>
      <cdr:y>0.46625</cdr:y>
    </cdr:from>
    <cdr:to>
      <cdr:x>0.58025</cdr:x>
      <cdr:y>0.483</cdr:y>
    </cdr:to>
    <cdr:sp macro="" textlink="">
      <cdr:nvSpPr>
        <cdr:cNvPr id="4103" name="Text Box 7"/>
        <cdr:cNvSpPr txBox="1">
          <a:spLocks xmlns:a="http://schemas.openxmlformats.org/drawingml/2006/main" noChangeArrowheads="1"/>
        </cdr:cNvSpPr>
      </cdr:nvSpPr>
      <cdr:spPr bwMode="auto">
        <a:xfrm xmlns:a="http://schemas.openxmlformats.org/drawingml/2006/main">
          <a:off x="4728696" y="2722352"/>
          <a:ext cx="251024" cy="978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0.24525</cdr:x>
      <cdr:y>0.1015</cdr:y>
    </cdr:from>
    <cdr:to>
      <cdr:x>0.24525</cdr:x>
      <cdr:y>0.91625</cdr:y>
    </cdr:to>
    <cdr:sp macro="" textlink="">
      <cdr:nvSpPr>
        <cdr:cNvPr id="4110" name="Line 14"/>
        <cdr:cNvSpPr>
          <a:spLocks xmlns:a="http://schemas.openxmlformats.org/drawingml/2006/main" noChangeShapeType="1"/>
        </cdr:cNvSpPr>
      </cdr:nvSpPr>
      <cdr:spPr bwMode="auto">
        <a:xfrm xmlns:a="http://schemas.openxmlformats.org/drawingml/2006/main" flipH="1">
          <a:off x="2104742" y="592641"/>
          <a:ext cx="0" cy="4757182"/>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cdr:x>
      <cdr:y>0.073</cdr:y>
    </cdr:from>
    <cdr:to>
      <cdr:x>0.2935</cdr:x>
      <cdr:y>0.1015</cdr:y>
    </cdr:to>
    <cdr:sp macro="" textlink="">
      <cdr:nvSpPr>
        <cdr:cNvPr id="4111" name="Text Box 15"/>
        <cdr:cNvSpPr txBox="1">
          <a:spLocks xmlns:a="http://schemas.openxmlformats.org/drawingml/2006/main" noChangeArrowheads="1"/>
        </cdr:cNvSpPr>
      </cdr:nvSpPr>
      <cdr:spPr bwMode="auto">
        <a:xfrm xmlns:a="http://schemas.openxmlformats.org/drawingml/2006/main">
          <a:off x="1699241" y="426234"/>
          <a:ext cx="819583" cy="16640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Min. Flow</a:t>
          </a:r>
        </a:p>
      </cdr:txBody>
    </cdr:sp>
  </cdr:relSizeAnchor>
  <cdr:relSizeAnchor xmlns:cdr="http://schemas.openxmlformats.org/drawingml/2006/chartDrawing">
    <cdr:from>
      <cdr:x>0.13975</cdr:x>
      <cdr:y>0.56375</cdr:y>
    </cdr:from>
    <cdr:to>
      <cdr:x>0.235</cdr:x>
      <cdr:y>0.5935</cdr:y>
    </cdr:to>
    <cdr:sp macro="" textlink="">
      <cdr:nvSpPr>
        <cdr:cNvPr id="4112" name="Text Box 16"/>
        <cdr:cNvSpPr txBox="1">
          <a:spLocks xmlns:a="http://schemas.openxmlformats.org/drawingml/2006/main" noChangeArrowheads="1"/>
        </cdr:cNvSpPr>
      </cdr:nvSpPr>
      <cdr:spPr bwMode="auto">
        <a:xfrm xmlns:a="http://schemas.openxmlformats.org/drawingml/2006/main">
          <a:off x="1199338" y="3291638"/>
          <a:ext cx="817438" cy="17370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C = 100</a:t>
          </a:r>
        </a:p>
      </cdr:txBody>
    </cdr:sp>
  </cdr:relSizeAnchor>
  <cdr:relSizeAnchor xmlns:cdr="http://schemas.openxmlformats.org/drawingml/2006/chartDrawing">
    <cdr:from>
      <cdr:x>0.277</cdr:x>
      <cdr:y>0.683</cdr:y>
    </cdr:from>
    <cdr:to>
      <cdr:x>0.3725</cdr:x>
      <cdr:y>0.713</cdr:y>
    </cdr:to>
    <cdr:sp macro="" textlink="">
      <cdr:nvSpPr>
        <cdr:cNvPr id="4113" name="Text Box 17"/>
        <cdr:cNvSpPr txBox="1">
          <a:spLocks xmlns:a="http://schemas.openxmlformats.org/drawingml/2006/main" noChangeArrowheads="1"/>
        </cdr:cNvSpPr>
      </cdr:nvSpPr>
      <cdr:spPr bwMode="auto">
        <a:xfrm xmlns:a="http://schemas.openxmlformats.org/drawingml/2006/main">
          <a:off x="2377221" y="3987917"/>
          <a:ext cx="819583" cy="17516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C = 140</a:t>
          </a:r>
        </a:p>
      </cdr:txBody>
    </cdr:sp>
  </cdr:relSizeAnchor>
  <cdr:relSizeAnchor xmlns:cdr="http://schemas.openxmlformats.org/drawingml/2006/chartDrawing">
    <cdr:from>
      <cdr:x>0.5305</cdr:x>
      <cdr:y>0.19775</cdr:y>
    </cdr:from>
    <cdr:to>
      <cdr:x>0.6645</cdr:x>
      <cdr:y>0.256</cdr:y>
    </cdr:to>
    <cdr:sp macro="" textlink="">
      <cdr:nvSpPr>
        <cdr:cNvPr id="4114" name="Text Box 18"/>
        <cdr:cNvSpPr txBox="1">
          <a:spLocks xmlns:a="http://schemas.openxmlformats.org/drawingml/2006/main" noChangeArrowheads="1"/>
        </cdr:cNvSpPr>
      </cdr:nvSpPr>
      <cdr:spPr bwMode="auto">
        <a:xfrm xmlns:a="http://schemas.openxmlformats.org/drawingml/2006/main">
          <a:off x="4552764" y="1154628"/>
          <a:ext cx="1149992" cy="34011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One Pump </a:t>
          </a:r>
        </a:p>
        <a:p xmlns:a="http://schemas.openxmlformats.org/drawingml/2006/main">
          <a:pPr algn="ctr" rtl="0">
            <a:defRPr sz="1000"/>
          </a:pPr>
          <a:r>
            <a:rPr lang="en-US" sz="1000" b="0" i="0" u="none" strike="noStrike" baseline="0">
              <a:solidFill>
                <a:srgbClr val="000000"/>
              </a:solidFill>
              <a:latin typeface="Arial"/>
              <a:cs typeface="Arial"/>
            </a:rPr>
            <a:t>Manufacturer's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0.20225</cdr:x>
      <cdr:y>0.4365</cdr:y>
    </cdr:from>
    <cdr:to>
      <cdr:x>0.2995</cdr:x>
      <cdr:y>0.49475</cdr:y>
    </cdr:to>
    <cdr:sp macro="" textlink="">
      <cdr:nvSpPr>
        <cdr:cNvPr id="1025" name="Text Box 1"/>
        <cdr:cNvSpPr txBox="1">
          <a:spLocks xmlns:a="http://schemas.openxmlformats.org/drawingml/2006/main" noChangeArrowheads="1"/>
        </cdr:cNvSpPr>
      </cdr:nvSpPr>
      <cdr:spPr bwMode="auto">
        <a:xfrm xmlns:a="http://schemas.openxmlformats.org/drawingml/2006/main">
          <a:off x="1735715" y="2548647"/>
          <a:ext cx="834601" cy="34011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One Pump </a:t>
          </a:r>
        </a:p>
        <a:p xmlns:a="http://schemas.openxmlformats.org/drawingml/2006/main">
          <a:pPr algn="ctr" rtl="0">
            <a:defRPr sz="1000"/>
          </a:pPr>
          <a:r>
            <a:rPr lang="en-US" sz="1000" b="0" i="0" u="none" strike="noStrike" baseline="0">
              <a:solidFill>
                <a:srgbClr val="000000"/>
              </a:solidFill>
              <a:latin typeface="Arial"/>
              <a:cs typeface="Arial"/>
            </a:rPr>
            <a:t>Modified</a:t>
          </a:r>
        </a:p>
      </cdr:txBody>
    </cdr:sp>
  </cdr:relSizeAnchor>
  <cdr:relSizeAnchor xmlns:cdr="http://schemas.openxmlformats.org/drawingml/2006/chartDrawing">
    <cdr:from>
      <cdr:x>0.26775</cdr:x>
      <cdr:y>0.37675</cdr:y>
    </cdr:from>
    <cdr:to>
      <cdr:x>0.2935</cdr:x>
      <cdr:y>0.4365</cdr:y>
    </cdr:to>
    <cdr:sp macro="" textlink="">
      <cdr:nvSpPr>
        <cdr:cNvPr id="1027" name="Line 3"/>
        <cdr:cNvSpPr>
          <a:spLocks xmlns:a="http://schemas.openxmlformats.org/drawingml/2006/main" noChangeShapeType="1"/>
        </cdr:cNvSpPr>
      </cdr:nvSpPr>
      <cdr:spPr bwMode="auto">
        <a:xfrm xmlns:a="http://schemas.openxmlformats.org/drawingml/2006/main" flipV="1">
          <a:off x="2297837" y="2199777"/>
          <a:ext cx="220987" cy="34887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0.3775</cdr:x>
      <cdr:y>0.4365</cdr:y>
    </cdr:from>
    <cdr:to>
      <cdr:x>0.485</cdr:x>
      <cdr:y>0.49475</cdr:y>
    </cdr:to>
    <cdr:sp macro="" textlink="">
      <cdr:nvSpPr>
        <cdr:cNvPr id="1028" name="Text Box 4"/>
        <cdr:cNvSpPr txBox="1">
          <a:spLocks xmlns:a="http://schemas.openxmlformats.org/drawingml/2006/main" noChangeArrowheads="1"/>
        </cdr:cNvSpPr>
      </cdr:nvSpPr>
      <cdr:spPr bwMode="auto">
        <a:xfrm xmlns:a="http://schemas.openxmlformats.org/drawingml/2006/main">
          <a:off x="3239714" y="2548647"/>
          <a:ext cx="922568" cy="34011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Two Pumps</a:t>
          </a:r>
        </a:p>
        <a:p xmlns:a="http://schemas.openxmlformats.org/drawingml/2006/main">
          <a:pPr algn="ctr" rtl="0">
            <a:defRPr sz="1000"/>
          </a:pPr>
          <a:r>
            <a:rPr lang="en-US" sz="1000" b="0" i="0" u="none" strike="noStrike" baseline="0">
              <a:solidFill>
                <a:srgbClr val="000000"/>
              </a:solidFill>
              <a:latin typeface="Arial"/>
              <a:cs typeface="Arial"/>
            </a:rPr>
            <a:t>Modified</a:t>
          </a:r>
        </a:p>
      </cdr:txBody>
    </cdr:sp>
  </cdr:relSizeAnchor>
  <cdr:relSizeAnchor xmlns:cdr="http://schemas.openxmlformats.org/drawingml/2006/chartDrawing">
    <cdr:from>
      <cdr:x>0.48575</cdr:x>
      <cdr:y>0.4015</cdr:y>
    </cdr:from>
    <cdr:to>
      <cdr:x>0.53575</cdr:x>
      <cdr:y>0.46625</cdr:y>
    </cdr:to>
    <cdr:sp macro="" textlink="">
      <cdr:nvSpPr>
        <cdr:cNvPr id="1030" name="Line 6"/>
        <cdr:cNvSpPr>
          <a:spLocks xmlns:a="http://schemas.openxmlformats.org/drawingml/2006/main" noChangeShapeType="1"/>
        </cdr:cNvSpPr>
      </cdr:nvSpPr>
      <cdr:spPr bwMode="auto">
        <a:xfrm xmlns:a="http://schemas.openxmlformats.org/drawingml/2006/main" flipV="1">
          <a:off x="4168719" y="2344288"/>
          <a:ext cx="429101" cy="3780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0.551</cdr:x>
      <cdr:y>0.46625</cdr:y>
    </cdr:from>
    <cdr:to>
      <cdr:x>0.58025</cdr:x>
      <cdr:y>0.483</cdr:y>
    </cdr:to>
    <cdr:sp macro="" textlink="">
      <cdr:nvSpPr>
        <cdr:cNvPr id="1033" name="Text Box 9"/>
        <cdr:cNvSpPr txBox="1">
          <a:spLocks xmlns:a="http://schemas.openxmlformats.org/drawingml/2006/main" noChangeArrowheads="1"/>
        </cdr:cNvSpPr>
      </cdr:nvSpPr>
      <cdr:spPr bwMode="auto">
        <a:xfrm xmlns:a="http://schemas.openxmlformats.org/drawingml/2006/main">
          <a:off x="4728696" y="2722352"/>
          <a:ext cx="251024" cy="978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0.692</cdr:x>
      <cdr:y>0.14775</cdr:y>
    </cdr:from>
    <cdr:to>
      <cdr:x>0.79775</cdr:x>
      <cdr:y>0.20575</cdr:y>
    </cdr:to>
    <cdr:sp macro="" textlink="">
      <cdr:nvSpPr>
        <cdr:cNvPr id="1034" name="Text Box 10"/>
        <cdr:cNvSpPr txBox="1">
          <a:spLocks xmlns:a="http://schemas.openxmlformats.org/drawingml/2006/main" noChangeArrowheads="1"/>
        </cdr:cNvSpPr>
      </cdr:nvSpPr>
      <cdr:spPr bwMode="auto">
        <a:xfrm xmlns:a="http://schemas.openxmlformats.org/drawingml/2006/main">
          <a:off x="5938761" y="862686"/>
          <a:ext cx="907549" cy="33865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Four Pumps</a:t>
          </a:r>
        </a:p>
        <a:p xmlns:a="http://schemas.openxmlformats.org/drawingml/2006/main">
          <a:pPr algn="ctr" rtl="0">
            <a:defRPr sz="1000"/>
          </a:pPr>
          <a:r>
            <a:rPr lang="en-US" sz="1000" b="0" i="0" u="none" strike="noStrike" baseline="0">
              <a:solidFill>
                <a:srgbClr val="000000"/>
              </a:solidFill>
              <a:latin typeface="Arial"/>
              <a:cs typeface="Arial"/>
            </a:rPr>
            <a:t>Modified</a:t>
          </a:r>
        </a:p>
      </cdr:txBody>
    </cdr:sp>
  </cdr:relSizeAnchor>
  <cdr:relSizeAnchor xmlns:cdr="http://schemas.openxmlformats.org/drawingml/2006/chartDrawing">
    <cdr:from>
      <cdr:x>0.692</cdr:x>
      <cdr:y>0.4255</cdr:y>
    </cdr:from>
    <cdr:to>
      <cdr:x>0.8045</cdr:x>
      <cdr:y>0.48375</cdr:y>
    </cdr:to>
    <cdr:sp macro="" textlink="">
      <cdr:nvSpPr>
        <cdr:cNvPr id="1035" name="Text Box 11"/>
        <cdr:cNvSpPr txBox="1">
          <a:spLocks xmlns:a="http://schemas.openxmlformats.org/drawingml/2006/main" noChangeArrowheads="1"/>
        </cdr:cNvSpPr>
      </cdr:nvSpPr>
      <cdr:spPr bwMode="auto">
        <a:xfrm xmlns:a="http://schemas.openxmlformats.org/drawingml/2006/main">
          <a:off x="5938761" y="2484420"/>
          <a:ext cx="965478" cy="340112"/>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Three Pumps</a:t>
          </a:r>
        </a:p>
        <a:p xmlns:a="http://schemas.openxmlformats.org/drawingml/2006/main">
          <a:pPr algn="ctr" rtl="0">
            <a:defRPr sz="1000"/>
          </a:pPr>
          <a:r>
            <a:rPr lang="en-US" sz="1000" b="0" i="0" u="none" strike="noStrike" baseline="0">
              <a:solidFill>
                <a:srgbClr val="000000"/>
              </a:solidFill>
              <a:latin typeface="Arial"/>
              <a:cs typeface="Arial"/>
            </a:rPr>
            <a:t>Modified</a:t>
          </a:r>
        </a:p>
      </cdr:txBody>
    </cdr:sp>
  </cdr:relSizeAnchor>
  <cdr:relSizeAnchor xmlns:cdr="http://schemas.openxmlformats.org/drawingml/2006/chartDrawing">
    <cdr:from>
      <cdr:x>0.7195</cdr:x>
      <cdr:y>0.20525</cdr:y>
    </cdr:from>
    <cdr:to>
      <cdr:x>0.7195</cdr:x>
      <cdr:y>0.299</cdr:y>
    </cdr:to>
    <cdr:sp macro="" textlink="">
      <cdr:nvSpPr>
        <cdr:cNvPr id="1037" name="Line 13"/>
        <cdr:cNvSpPr>
          <a:spLocks xmlns:a="http://schemas.openxmlformats.org/drawingml/2006/main" noChangeShapeType="1"/>
        </cdr:cNvSpPr>
      </cdr:nvSpPr>
      <cdr:spPr bwMode="auto">
        <a:xfrm xmlns:a="http://schemas.openxmlformats.org/drawingml/2006/main">
          <a:off x="6174767" y="1198419"/>
          <a:ext cx="0" cy="54739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0.8045</cdr:x>
      <cdr:y>0.40675</cdr:y>
    </cdr:from>
    <cdr:to>
      <cdr:x>0.838</cdr:x>
      <cdr:y>0.4365</cdr:y>
    </cdr:to>
    <cdr:sp macro="" textlink="">
      <cdr:nvSpPr>
        <cdr:cNvPr id="1039" name="Line 15"/>
        <cdr:cNvSpPr>
          <a:spLocks xmlns:a="http://schemas.openxmlformats.org/drawingml/2006/main" noChangeShapeType="1"/>
        </cdr:cNvSpPr>
      </cdr:nvSpPr>
      <cdr:spPr bwMode="auto">
        <a:xfrm xmlns:a="http://schemas.openxmlformats.org/drawingml/2006/main" flipV="1">
          <a:off x="6904239" y="2374942"/>
          <a:ext cx="287498" cy="1737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0.17225</cdr:x>
      <cdr:y>0.1015</cdr:y>
    </cdr:from>
    <cdr:to>
      <cdr:x>0.17225</cdr:x>
      <cdr:y>0.91625</cdr:y>
    </cdr:to>
    <cdr:sp macro="" textlink="">
      <cdr:nvSpPr>
        <cdr:cNvPr id="1040" name="Line 16"/>
        <cdr:cNvSpPr>
          <a:spLocks xmlns:a="http://schemas.openxmlformats.org/drawingml/2006/main" noChangeShapeType="1"/>
        </cdr:cNvSpPr>
      </cdr:nvSpPr>
      <cdr:spPr bwMode="auto">
        <a:xfrm xmlns:a="http://schemas.openxmlformats.org/drawingml/2006/main" flipH="1">
          <a:off x="1478254" y="592641"/>
          <a:ext cx="0" cy="4757182"/>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0.12925</cdr:x>
      <cdr:y>0.073</cdr:y>
    </cdr:from>
    <cdr:to>
      <cdr:x>0.22475</cdr:x>
      <cdr:y>0.1015</cdr:y>
    </cdr:to>
    <cdr:sp macro="" textlink="">
      <cdr:nvSpPr>
        <cdr:cNvPr id="1041" name="Text Box 17"/>
        <cdr:cNvSpPr txBox="1">
          <a:spLocks xmlns:a="http://schemas.openxmlformats.org/drawingml/2006/main" noChangeArrowheads="1"/>
        </cdr:cNvSpPr>
      </cdr:nvSpPr>
      <cdr:spPr bwMode="auto">
        <a:xfrm xmlns:a="http://schemas.openxmlformats.org/drawingml/2006/main">
          <a:off x="1109227" y="426234"/>
          <a:ext cx="819583" cy="166407"/>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Min. Flow</a:t>
          </a:r>
        </a:p>
      </cdr:txBody>
    </cdr:sp>
  </cdr:relSizeAnchor>
  <cdr:relSizeAnchor xmlns:cdr="http://schemas.openxmlformats.org/drawingml/2006/chartDrawing">
    <cdr:from>
      <cdr:x>0.17225</cdr:x>
      <cdr:y>0.5485</cdr:y>
    </cdr:from>
    <cdr:to>
      <cdr:x>0.26775</cdr:x>
      <cdr:y>0.57825</cdr:y>
    </cdr:to>
    <cdr:sp macro="" textlink="">
      <cdr:nvSpPr>
        <cdr:cNvPr id="1043" name="Text Box 19"/>
        <cdr:cNvSpPr txBox="1">
          <a:spLocks xmlns:a="http://schemas.openxmlformats.org/drawingml/2006/main" noChangeArrowheads="1"/>
        </cdr:cNvSpPr>
      </cdr:nvSpPr>
      <cdr:spPr bwMode="auto">
        <a:xfrm xmlns:a="http://schemas.openxmlformats.org/drawingml/2006/main">
          <a:off x="1478254" y="3202596"/>
          <a:ext cx="819583" cy="17370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C = 100</a:t>
          </a:r>
        </a:p>
      </cdr:txBody>
    </cdr:sp>
  </cdr:relSizeAnchor>
  <cdr:relSizeAnchor xmlns:cdr="http://schemas.openxmlformats.org/drawingml/2006/chartDrawing">
    <cdr:from>
      <cdr:x>0.20225</cdr:x>
      <cdr:y>0.68675</cdr:y>
    </cdr:from>
    <cdr:to>
      <cdr:x>0.29775</cdr:x>
      <cdr:y>0.7165</cdr:y>
    </cdr:to>
    <cdr:sp macro="" textlink="">
      <cdr:nvSpPr>
        <cdr:cNvPr id="1044" name="Text Box 20"/>
        <cdr:cNvSpPr txBox="1">
          <a:spLocks xmlns:a="http://schemas.openxmlformats.org/drawingml/2006/main" noChangeArrowheads="1"/>
        </cdr:cNvSpPr>
      </cdr:nvSpPr>
      <cdr:spPr bwMode="auto">
        <a:xfrm xmlns:a="http://schemas.openxmlformats.org/drawingml/2006/main">
          <a:off x="1735715" y="4009813"/>
          <a:ext cx="819583" cy="173705"/>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C = 140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116"/>
  <sheetViews>
    <sheetView view="pageBreakPreview" zoomScaleNormal="100" workbookViewId="0">
      <selection activeCell="E3" sqref="E3"/>
    </sheetView>
  </sheetViews>
  <sheetFormatPr defaultRowHeight="12.75" x14ac:dyDescent="0.2"/>
  <cols>
    <col min="2" max="2" width="15" customWidth="1"/>
    <col min="3" max="3" width="11.140625" customWidth="1"/>
    <col min="4" max="4" width="15" customWidth="1"/>
    <col min="5" max="5" width="43.5703125" bestFit="1" customWidth="1"/>
    <col min="6" max="6" width="14.42578125" customWidth="1"/>
    <col min="7" max="7" width="13.140625" customWidth="1"/>
    <col min="8" max="8" width="11.7109375" style="1" customWidth="1"/>
    <col min="9" max="9" width="11.7109375" style="1" hidden="1" customWidth="1"/>
    <col min="10" max="10" width="18.42578125" style="1" customWidth="1"/>
    <col min="11" max="11" width="14.42578125" hidden="1" customWidth="1"/>
    <col min="15" max="15" width="25.85546875" bestFit="1" customWidth="1"/>
    <col min="18" max="18" width="11.140625" customWidth="1"/>
    <col min="19" max="19" width="12" customWidth="1"/>
    <col min="24" max="24" width="12.85546875" customWidth="1"/>
  </cols>
  <sheetData>
    <row r="1" spans="1:11" s="3" customFormat="1" ht="15.75" x14ac:dyDescent="0.25">
      <c r="A1" s="3" t="s">
        <v>52</v>
      </c>
      <c r="H1" s="5"/>
      <c r="I1" s="5"/>
      <c r="K1" s="4" t="s">
        <v>41</v>
      </c>
    </row>
    <row r="2" spans="1:11" s="3" customFormat="1" ht="15.75" x14ac:dyDescent="0.25">
      <c r="A2" s="121" t="s">
        <v>12</v>
      </c>
      <c r="B2" s="121"/>
      <c r="C2" s="121"/>
      <c r="D2" s="121"/>
      <c r="E2" s="121"/>
      <c r="F2" s="121"/>
      <c r="G2" s="121"/>
      <c r="H2" s="5"/>
      <c r="I2" s="5"/>
      <c r="J2" s="5"/>
      <c r="K2" s="5"/>
    </row>
    <row r="3" spans="1:11" x14ac:dyDescent="0.2">
      <c r="A3" s="33"/>
    </row>
    <row r="4" spans="1:11" x14ac:dyDescent="0.2">
      <c r="F4" s="50"/>
    </row>
    <row r="5" spans="1:11" x14ac:dyDescent="0.2">
      <c r="F5" s="51"/>
      <c r="I5" t="s">
        <v>0</v>
      </c>
    </row>
    <row r="6" spans="1:11" x14ac:dyDescent="0.2">
      <c r="A6" t="s">
        <v>11</v>
      </c>
      <c r="C6" s="26">
        <v>36</v>
      </c>
      <c r="D6" s="33" t="s">
        <v>43</v>
      </c>
      <c r="E6" t="s">
        <v>96</v>
      </c>
      <c r="F6" s="84">
        <v>266</v>
      </c>
      <c r="I6"/>
    </row>
    <row r="7" spans="1:11" x14ac:dyDescent="0.2">
      <c r="A7" s="63"/>
      <c r="B7" s="63"/>
      <c r="C7" s="51"/>
      <c r="D7" s="71"/>
      <c r="E7" t="s">
        <v>101</v>
      </c>
      <c r="F7" s="84">
        <v>240</v>
      </c>
      <c r="I7"/>
    </row>
    <row r="8" spans="1:11" x14ac:dyDescent="0.2">
      <c r="A8" s="63"/>
      <c r="B8" s="63"/>
      <c r="C8" s="72"/>
      <c r="D8" s="63"/>
      <c r="E8" t="s">
        <v>102</v>
      </c>
      <c r="F8" s="84">
        <v>232</v>
      </c>
    </row>
    <row r="9" spans="1:11" x14ac:dyDescent="0.2">
      <c r="A9" s="63"/>
      <c r="B9" s="63"/>
      <c r="C9" s="72"/>
      <c r="D9" s="63"/>
      <c r="E9" t="s">
        <v>103</v>
      </c>
      <c r="F9" s="84">
        <v>224</v>
      </c>
    </row>
    <row r="10" spans="1:11" x14ac:dyDescent="0.2">
      <c r="A10" s="63"/>
      <c r="B10" s="63"/>
      <c r="C10" s="72"/>
      <c r="D10" s="63"/>
      <c r="E10" t="s">
        <v>100</v>
      </c>
      <c r="F10" s="112">
        <v>226.2</v>
      </c>
    </row>
    <row r="11" spans="1:11" x14ac:dyDescent="0.2">
      <c r="A11" s="63"/>
      <c r="B11" s="63"/>
      <c r="C11" s="72"/>
      <c r="D11" s="63"/>
      <c r="E11" t="s">
        <v>97</v>
      </c>
      <c r="F11" s="113">
        <f>F8-F10</f>
        <v>5.8000000000000114</v>
      </c>
    </row>
    <row r="12" spans="1:11" x14ac:dyDescent="0.2">
      <c r="A12" s="63"/>
      <c r="B12" s="63"/>
      <c r="C12" s="72"/>
      <c r="D12" s="63"/>
      <c r="E12" t="s">
        <v>98</v>
      </c>
      <c r="F12" s="113">
        <f>F7-F10</f>
        <v>13.800000000000011</v>
      </c>
    </row>
    <row r="13" spans="1:11" x14ac:dyDescent="0.2">
      <c r="A13" s="63"/>
      <c r="B13" s="63"/>
      <c r="C13" s="72"/>
      <c r="D13" s="63"/>
      <c r="E13" t="s">
        <v>99</v>
      </c>
      <c r="F13" s="113">
        <f>F6-F10</f>
        <v>39.800000000000011</v>
      </c>
    </row>
    <row r="14" spans="1:11" x14ac:dyDescent="0.2">
      <c r="A14" s="63"/>
      <c r="B14" s="63"/>
      <c r="C14" s="72"/>
      <c r="D14" s="63"/>
      <c r="E14" t="s">
        <v>99</v>
      </c>
      <c r="F14" s="113">
        <f>F6-F10</f>
        <v>39.800000000000011</v>
      </c>
    </row>
    <row r="15" spans="1:11" x14ac:dyDescent="0.2">
      <c r="E15" t="s">
        <v>94</v>
      </c>
      <c r="F15" s="52">
        <f>F11+F13</f>
        <v>45.600000000000023</v>
      </c>
    </row>
    <row r="16" spans="1:11" x14ac:dyDescent="0.2">
      <c r="E16" t="s">
        <v>95</v>
      </c>
      <c r="F16" s="52">
        <f>F14+F12</f>
        <v>53.600000000000023</v>
      </c>
    </row>
    <row r="17" spans="1:27" ht="13.5" thickBot="1" x14ac:dyDescent="0.25"/>
    <row r="18" spans="1:27" ht="14.25" thickTop="1" thickBot="1" x14ac:dyDescent="0.25">
      <c r="A18" s="115" t="s">
        <v>2</v>
      </c>
      <c r="B18" s="117" t="s">
        <v>2</v>
      </c>
      <c r="C18" s="119" t="s">
        <v>9</v>
      </c>
      <c r="D18" s="16" t="s">
        <v>6</v>
      </c>
      <c r="E18" s="24">
        <v>140</v>
      </c>
      <c r="F18" s="28"/>
      <c r="G18" s="16" t="s">
        <v>6</v>
      </c>
      <c r="H18" s="24">
        <v>100</v>
      </c>
      <c r="I18" s="49"/>
      <c r="J18" s="31"/>
      <c r="K18" s="23"/>
      <c r="M18" s="43"/>
      <c r="N18" s="43"/>
      <c r="O18" s="43"/>
      <c r="P18" s="43"/>
      <c r="Q18" s="43"/>
      <c r="R18" s="43"/>
      <c r="S18" s="43"/>
      <c r="T18" s="43"/>
      <c r="U18" s="43"/>
      <c r="V18" s="43"/>
      <c r="W18" s="43"/>
      <c r="X18" s="43"/>
      <c r="Y18" s="43"/>
      <c r="Z18" s="43"/>
      <c r="AA18" s="43"/>
    </row>
    <row r="19" spans="1:27" ht="27" thickTop="1" thickBot="1" x14ac:dyDescent="0.25">
      <c r="A19" s="116"/>
      <c r="B19" s="118"/>
      <c r="C19" s="120"/>
      <c r="D19" s="13" t="s">
        <v>5</v>
      </c>
      <c r="E19" s="14" t="s">
        <v>42</v>
      </c>
      <c r="F19" s="14" t="s">
        <v>16</v>
      </c>
      <c r="G19" s="17" t="s">
        <v>5</v>
      </c>
      <c r="H19" s="14" t="s">
        <v>42</v>
      </c>
      <c r="I19" s="15" t="s">
        <v>18</v>
      </c>
      <c r="J19" s="18" t="s">
        <v>16</v>
      </c>
      <c r="K19" s="15" t="s">
        <v>18</v>
      </c>
      <c r="M19" s="44"/>
      <c r="N19" s="44"/>
      <c r="O19" s="45"/>
      <c r="P19" s="44"/>
      <c r="Q19" s="46"/>
      <c r="R19" s="47"/>
      <c r="S19" s="45"/>
      <c r="T19" s="45"/>
      <c r="U19" s="45"/>
      <c r="V19" s="45"/>
      <c r="W19" s="45"/>
      <c r="X19" s="45"/>
      <c r="Y19" s="45"/>
      <c r="Z19" s="45"/>
      <c r="AA19" s="45"/>
    </row>
    <row r="20" spans="1:27" ht="14.25" thickTop="1" thickBot="1" x14ac:dyDescent="0.25">
      <c r="A20" s="16" t="s">
        <v>3</v>
      </c>
      <c r="B20" s="19" t="s">
        <v>4</v>
      </c>
      <c r="C20" s="20" t="s">
        <v>10</v>
      </c>
      <c r="D20" s="16" t="s">
        <v>7</v>
      </c>
      <c r="E20" s="19" t="s">
        <v>7</v>
      </c>
      <c r="F20" s="19" t="s">
        <v>7</v>
      </c>
      <c r="G20" s="16" t="s">
        <v>7</v>
      </c>
      <c r="H20" s="19" t="s">
        <v>7</v>
      </c>
      <c r="I20" s="20"/>
      <c r="J20" s="19" t="s">
        <v>7</v>
      </c>
      <c r="K20" s="20"/>
      <c r="M20" s="44"/>
      <c r="N20" s="44"/>
      <c r="O20" s="45"/>
      <c r="P20" s="44"/>
      <c r="Q20" s="46"/>
      <c r="R20" s="47"/>
      <c r="S20" s="45"/>
      <c r="T20" s="45"/>
      <c r="U20" s="45"/>
      <c r="V20" s="45"/>
      <c r="W20" s="45"/>
      <c r="X20" s="45"/>
      <c r="Y20" s="45"/>
      <c r="Z20" s="45"/>
      <c r="AA20" s="45"/>
    </row>
    <row r="21" spans="1:27" ht="13.5" thickTop="1" x14ac:dyDescent="0.2">
      <c r="A21" s="6">
        <v>1</v>
      </c>
      <c r="B21" s="21">
        <f t="shared" ref="B21:B56" si="0">(A21*1000000)/1440</f>
        <v>694.44444444444446</v>
      </c>
      <c r="C21" s="8">
        <f t="shared" ref="C21:C56" si="1">(B21*0.002228)/((PI()*(($C$6/12)^2)/4))</f>
        <v>0.21888716864737212</v>
      </c>
      <c r="D21" s="6">
        <f>'HL 1.0'!$O$19</f>
        <v>5.2558520034878035E-2</v>
      </c>
      <c r="E21" s="12">
        <f>D21+$F$15</f>
        <v>45.652558520034901</v>
      </c>
      <c r="F21" s="70">
        <f>D21+$F$16</f>
        <v>53.652558520034901</v>
      </c>
      <c r="G21" s="6">
        <f>'HL 1.0'!$O$38</f>
        <v>9.5695622752440604E-2</v>
      </c>
      <c r="H21" s="7">
        <f>G21+$F$15</f>
        <v>45.69569562275246</v>
      </c>
      <c r="I21" s="8" t="e">
        <f t="shared" ref="I21:I56" si="2">((B21)*(H21))/((3961)*($C$8))</f>
        <v>#DIV/0!</v>
      </c>
      <c r="J21" s="7">
        <f>$F$16+G21</f>
        <v>53.69569562275246</v>
      </c>
      <c r="K21" s="8" t="e">
        <f t="shared" ref="K21:K56" si="3">((B21)*(J21))/((3961)*($C$8))</f>
        <v>#DIV/0!</v>
      </c>
      <c r="M21" s="44"/>
      <c r="N21" s="44"/>
      <c r="O21" s="45"/>
      <c r="P21" s="44"/>
      <c r="Q21" s="46"/>
      <c r="R21" s="47"/>
      <c r="S21" s="45"/>
      <c r="T21" s="45"/>
      <c r="U21" s="45"/>
      <c r="V21" s="45"/>
      <c r="W21" s="45"/>
      <c r="X21" s="45"/>
      <c r="Y21" s="45"/>
      <c r="Z21" s="45"/>
      <c r="AA21" s="45"/>
    </row>
    <row r="22" spans="1:27" x14ac:dyDescent="0.2">
      <c r="A22" s="6">
        <v>2</v>
      </c>
      <c r="B22" s="21">
        <f t="shared" si="0"/>
        <v>1388.8888888888889</v>
      </c>
      <c r="C22" s="8">
        <f t="shared" si="1"/>
        <v>0.43777433729474424</v>
      </c>
      <c r="D22" s="6">
        <f>'HL 2.0'!$O$19</f>
        <v>0.19050224067590807</v>
      </c>
      <c r="E22" s="7">
        <f t="shared" ref="E22:E56" si="4">D22+$F$15</f>
        <v>45.790502240675934</v>
      </c>
      <c r="F22" s="8">
        <f t="shared" ref="F22:F56" si="5">D22+$F$16</f>
        <v>53.790502240675934</v>
      </c>
      <c r="G22" s="6">
        <f>'HL 2.0'!$O$38</f>
        <v>0.34601157579548519</v>
      </c>
      <c r="H22" s="7">
        <f t="shared" ref="H22:H56" si="6">G22+$F$15</f>
        <v>45.946011575795509</v>
      </c>
      <c r="I22" s="8" t="e">
        <f t="shared" si="2"/>
        <v>#DIV/0!</v>
      </c>
      <c r="J22" s="7">
        <f t="shared" ref="J22:J56" si="7">$F$16+G22</f>
        <v>53.946011575795509</v>
      </c>
      <c r="K22" s="8" t="e">
        <f t="shared" si="3"/>
        <v>#DIV/0!</v>
      </c>
      <c r="M22" s="44"/>
      <c r="N22" s="44"/>
      <c r="O22" s="45"/>
      <c r="P22" s="44"/>
      <c r="Q22" s="46"/>
      <c r="R22" s="47"/>
      <c r="S22" s="45"/>
      <c r="T22" s="45"/>
      <c r="U22" s="45"/>
      <c r="V22" s="45"/>
      <c r="W22" s="45"/>
      <c r="X22" s="45"/>
      <c r="Y22" s="45"/>
      <c r="Z22" s="45"/>
      <c r="AA22" s="45"/>
    </row>
    <row r="23" spans="1:27" x14ac:dyDescent="0.2">
      <c r="A23" s="6">
        <v>3</v>
      </c>
      <c r="B23" s="21">
        <f t="shared" si="0"/>
        <v>2083.3333333333335</v>
      </c>
      <c r="C23" s="8">
        <f t="shared" si="1"/>
        <v>0.65666150594211636</v>
      </c>
      <c r="D23" s="6">
        <f>'HL 3.0'!$O$19</f>
        <v>0.40472082423989408</v>
      </c>
      <c r="E23" s="7">
        <f t="shared" si="4"/>
        <v>46.004720824239918</v>
      </c>
      <c r="F23" s="8">
        <f t="shared" si="5"/>
        <v>54.004720824239918</v>
      </c>
      <c r="G23" s="6">
        <f>'HL 3.0'!$O$38</f>
        <v>0.7339704528847647</v>
      </c>
      <c r="H23" s="7">
        <f t="shared" si="6"/>
        <v>46.333970452884785</v>
      </c>
      <c r="I23" s="8" t="e">
        <f t="shared" si="2"/>
        <v>#DIV/0!</v>
      </c>
      <c r="J23" s="7">
        <f t="shared" si="7"/>
        <v>54.333970452884785</v>
      </c>
      <c r="K23" s="8" t="e">
        <f t="shared" si="3"/>
        <v>#DIV/0!</v>
      </c>
      <c r="M23" s="44"/>
      <c r="N23" s="44"/>
      <c r="O23" s="45"/>
      <c r="P23" s="44"/>
      <c r="Q23" s="46"/>
      <c r="R23" s="47"/>
      <c r="S23" s="45"/>
      <c r="T23" s="45"/>
      <c r="U23" s="45"/>
      <c r="V23" s="45"/>
      <c r="W23" s="45"/>
      <c r="X23" s="45"/>
      <c r="Y23" s="45"/>
      <c r="Z23" s="45"/>
      <c r="AA23" s="45"/>
    </row>
    <row r="24" spans="1:27" x14ac:dyDescent="0.2">
      <c r="A24" s="6">
        <v>4</v>
      </c>
      <c r="B24" s="21">
        <f t="shared" si="0"/>
        <v>2777.7777777777778</v>
      </c>
      <c r="C24" s="8">
        <f t="shared" si="1"/>
        <v>0.87554867458948848</v>
      </c>
      <c r="D24" s="6">
        <f>'HL 4.0'!$O$19</f>
        <v>0.69087564492469022</v>
      </c>
      <c r="E24" s="7">
        <f t="shared" si="4"/>
        <v>46.290875644924711</v>
      </c>
      <c r="F24" s="8">
        <f t="shared" si="5"/>
        <v>54.290875644924711</v>
      </c>
      <c r="G24" s="6">
        <f>'HL 4.0'!$O$38</f>
        <v>1.2514870857919764</v>
      </c>
      <c r="H24" s="7">
        <f t="shared" si="6"/>
        <v>46.851487085792002</v>
      </c>
      <c r="I24" s="8" t="e">
        <f t="shared" si="2"/>
        <v>#DIV/0!</v>
      </c>
      <c r="J24" s="7">
        <f t="shared" si="7"/>
        <v>54.851487085792002</v>
      </c>
      <c r="K24" s="8" t="e">
        <f t="shared" si="3"/>
        <v>#DIV/0!</v>
      </c>
      <c r="M24" s="44"/>
      <c r="N24" s="44"/>
      <c r="O24" s="45"/>
      <c r="P24" s="44"/>
      <c r="Q24" s="46"/>
      <c r="R24" s="47"/>
      <c r="S24" s="45"/>
      <c r="T24" s="45"/>
      <c r="U24" s="45"/>
      <c r="V24" s="45"/>
      <c r="W24" s="45"/>
      <c r="X24" s="45"/>
      <c r="Y24" s="45"/>
      <c r="Z24" s="45"/>
      <c r="AA24" s="45"/>
    </row>
    <row r="25" spans="1:27" x14ac:dyDescent="0.2">
      <c r="A25" s="6">
        <v>5</v>
      </c>
      <c r="B25" s="21">
        <f t="shared" si="0"/>
        <v>3472.2222222222222</v>
      </c>
      <c r="C25" s="8">
        <f t="shared" si="1"/>
        <v>1.0944358432368606</v>
      </c>
      <c r="D25" s="6">
        <f>'HL 5.0'!$O$19</f>
        <v>1.0461020630692865</v>
      </c>
      <c r="E25" s="7">
        <f t="shared" si="4"/>
        <v>46.646102063069307</v>
      </c>
      <c r="F25" s="8">
        <f t="shared" si="5"/>
        <v>54.646102063069307</v>
      </c>
      <c r="G25" s="6">
        <f>'HL 5.0'!$O$38</f>
        <v>1.8932231267017117</v>
      </c>
      <c r="H25" s="7">
        <f t="shared" si="6"/>
        <v>47.493223126701736</v>
      </c>
      <c r="I25" s="8" t="e">
        <f t="shared" si="2"/>
        <v>#DIV/0!</v>
      </c>
      <c r="J25" s="7">
        <f t="shared" si="7"/>
        <v>55.493223126701736</v>
      </c>
      <c r="K25" s="8" t="e">
        <f t="shared" si="3"/>
        <v>#DIV/0!</v>
      </c>
      <c r="M25" s="44"/>
      <c r="N25" s="44"/>
      <c r="O25" s="45"/>
      <c r="P25" s="44"/>
      <c r="Q25" s="46"/>
      <c r="R25" s="47"/>
      <c r="S25" s="45"/>
      <c r="T25" s="45"/>
      <c r="U25" s="45"/>
      <c r="V25" s="45"/>
      <c r="W25" s="45"/>
      <c r="X25" s="45"/>
      <c r="Y25" s="45"/>
      <c r="Z25" s="45"/>
      <c r="AA25" s="45"/>
    </row>
    <row r="26" spans="1:27" x14ac:dyDescent="0.2">
      <c r="A26" s="6">
        <v>6</v>
      </c>
      <c r="B26" s="21">
        <f t="shared" si="0"/>
        <v>4166.666666666667</v>
      </c>
      <c r="C26" s="8">
        <f t="shared" si="1"/>
        <v>1.3133230118842327</v>
      </c>
      <c r="D26" s="6">
        <f>'HL 6.0'!$O$19</f>
        <v>1.4682774285402602</v>
      </c>
      <c r="E26" s="7">
        <f t="shared" si="4"/>
        <v>47.068277428540284</v>
      </c>
      <c r="F26" s="8">
        <f t="shared" si="5"/>
        <v>55.068277428540284</v>
      </c>
      <c r="G26" s="6">
        <f>'HL 6.0'!$O$38</f>
        <v>2.6552229490627952</v>
      </c>
      <c r="H26" s="7">
        <f t="shared" si="6"/>
        <v>48.255222949062819</v>
      </c>
      <c r="I26" s="8" t="e">
        <f t="shared" si="2"/>
        <v>#DIV/0!</v>
      </c>
      <c r="J26" s="7">
        <f t="shared" si="7"/>
        <v>56.255222949062819</v>
      </c>
      <c r="K26" s="8" t="e">
        <f t="shared" si="3"/>
        <v>#DIV/0!</v>
      </c>
      <c r="M26" s="44"/>
      <c r="N26" s="44"/>
      <c r="O26" s="45"/>
      <c r="P26" s="44"/>
      <c r="Q26" s="46"/>
      <c r="R26" s="47"/>
      <c r="S26" s="45"/>
      <c r="T26" s="45"/>
      <c r="U26" s="45"/>
      <c r="V26" s="45"/>
      <c r="W26" s="45"/>
      <c r="X26" s="45"/>
      <c r="Y26" s="45"/>
      <c r="Z26" s="45"/>
      <c r="AA26" s="45"/>
    </row>
    <row r="27" spans="1:27" x14ac:dyDescent="0.2">
      <c r="A27" s="6">
        <v>7</v>
      </c>
      <c r="B27" s="21">
        <f t="shared" si="0"/>
        <v>4861.1111111111113</v>
      </c>
      <c r="C27" s="8">
        <f t="shared" si="1"/>
        <v>1.5322101805316048</v>
      </c>
      <c r="D27" s="6">
        <f>'HL 7.0'!$O$19</f>
        <v>1.9557254160779083</v>
      </c>
      <c r="E27" s="7">
        <f t="shared" si="4"/>
        <v>47.555725416077934</v>
      </c>
      <c r="F27" s="8">
        <f t="shared" si="5"/>
        <v>55.555725416077934</v>
      </c>
      <c r="G27" s="6">
        <f>'HL 7.0'!$O$38</f>
        <v>3.5343626670302455</v>
      </c>
      <c r="H27" s="7">
        <f t="shared" si="6"/>
        <v>49.134362667030267</v>
      </c>
      <c r="I27" s="8" t="e">
        <f t="shared" si="2"/>
        <v>#DIV/0!</v>
      </c>
      <c r="J27" s="7">
        <f t="shared" si="7"/>
        <v>57.134362667030267</v>
      </c>
      <c r="K27" s="8" t="e">
        <f t="shared" si="3"/>
        <v>#DIV/0!</v>
      </c>
      <c r="M27" s="44"/>
      <c r="N27" s="44"/>
      <c r="O27" s="45"/>
      <c r="P27" s="44"/>
      <c r="Q27" s="46"/>
      <c r="R27" s="47"/>
      <c r="S27" s="45"/>
      <c r="T27" s="45"/>
      <c r="U27" s="45"/>
      <c r="V27" s="45"/>
      <c r="W27" s="45"/>
      <c r="X27" s="45"/>
      <c r="Y27" s="45"/>
      <c r="Z27" s="45"/>
      <c r="AA27" s="45"/>
    </row>
    <row r="28" spans="1:27" x14ac:dyDescent="0.2">
      <c r="A28" s="6">
        <v>8</v>
      </c>
      <c r="B28" s="21">
        <f t="shared" si="0"/>
        <v>5555.5555555555557</v>
      </c>
      <c r="C28" s="8">
        <f t="shared" si="1"/>
        <v>1.751097349178977</v>
      </c>
      <c r="D28" s="6">
        <f>'HL 8.0'!$O$19</f>
        <v>2.5070668374775011</v>
      </c>
      <c r="E28" s="7">
        <f t="shared" si="4"/>
        <v>48.107066837477525</v>
      </c>
      <c r="F28" s="8">
        <f t="shared" si="5"/>
        <v>56.107066837477525</v>
      </c>
      <c r="G28" s="6">
        <f>'HL 8.0'!$O$38</f>
        <v>4.5280721191837632</v>
      </c>
      <c r="H28" s="7">
        <f t="shared" si="6"/>
        <v>50.128072119183784</v>
      </c>
      <c r="I28" s="8" t="e">
        <f t="shared" si="2"/>
        <v>#DIV/0!</v>
      </c>
      <c r="J28" s="7">
        <f t="shared" si="7"/>
        <v>58.128072119183784</v>
      </c>
      <c r="K28" s="8" t="e">
        <f t="shared" si="3"/>
        <v>#DIV/0!</v>
      </c>
      <c r="M28" s="44"/>
      <c r="N28" s="44"/>
      <c r="O28" s="45"/>
      <c r="P28" s="44"/>
      <c r="Q28" s="46"/>
      <c r="R28" s="47"/>
      <c r="S28" s="45"/>
      <c r="T28" s="45"/>
      <c r="U28" s="45"/>
      <c r="V28" s="45"/>
      <c r="W28" s="45"/>
      <c r="X28" s="45"/>
      <c r="Y28" s="45"/>
      <c r="Z28" s="45"/>
      <c r="AA28" s="45"/>
    </row>
    <row r="29" spans="1:27" x14ac:dyDescent="0.2">
      <c r="A29" s="6">
        <v>9</v>
      </c>
      <c r="B29" s="21">
        <f t="shared" si="0"/>
        <v>6250</v>
      </c>
      <c r="C29" s="8">
        <f t="shared" si="1"/>
        <v>1.9699845178263489</v>
      </c>
      <c r="D29" s="6">
        <f>'HL 9.0'!$O$19</f>
        <v>3.1211339583801871</v>
      </c>
      <c r="E29" s="7">
        <f t="shared" si="4"/>
        <v>48.721133958380207</v>
      </c>
      <c r="F29" s="8">
        <f t="shared" si="5"/>
        <v>56.721133958380207</v>
      </c>
      <c r="G29" s="6">
        <f>'HL 9.0'!$O$38</f>
        <v>5.6341751951216148</v>
      </c>
      <c r="H29" s="7">
        <f t="shared" si="6"/>
        <v>51.234175195121637</v>
      </c>
      <c r="I29" s="8" t="e">
        <f t="shared" si="2"/>
        <v>#DIV/0!</v>
      </c>
      <c r="J29" s="7">
        <f t="shared" si="7"/>
        <v>59.234175195121637</v>
      </c>
      <c r="K29" s="8" t="e">
        <f t="shared" si="3"/>
        <v>#DIV/0!</v>
      </c>
      <c r="M29" s="44"/>
      <c r="N29" s="44"/>
      <c r="O29" s="45"/>
      <c r="P29" s="44"/>
      <c r="Q29" s="46"/>
      <c r="R29" s="47"/>
      <c r="S29" s="45"/>
      <c r="T29" s="45"/>
      <c r="U29" s="45"/>
      <c r="V29" s="45"/>
      <c r="W29" s="45"/>
      <c r="X29" s="45"/>
      <c r="Y29" s="45"/>
      <c r="Z29" s="45"/>
      <c r="AA29" s="45"/>
    </row>
    <row r="30" spans="1:27" x14ac:dyDescent="0.2">
      <c r="A30" s="6">
        <v>10</v>
      </c>
      <c r="B30" s="21">
        <f t="shared" si="0"/>
        <v>6944.4444444444443</v>
      </c>
      <c r="C30" s="8">
        <f t="shared" si="1"/>
        <v>2.1888716864737212</v>
      </c>
      <c r="D30" s="6">
        <f>'HL 10.0'!$O$19</f>
        <v>3.7969168404576212</v>
      </c>
      <c r="E30" s="7">
        <f t="shared" si="4"/>
        <v>49.396916840457642</v>
      </c>
      <c r="F30" s="8">
        <f t="shared" si="5"/>
        <v>57.396916840457642</v>
      </c>
      <c r="G30" s="6">
        <f>'HL 10.0'!$O$38</f>
        <v>6.8507898424020235</v>
      </c>
      <c r="H30" s="7">
        <f t="shared" si="6"/>
        <v>52.450789842402045</v>
      </c>
      <c r="I30" s="8" t="e">
        <f t="shared" si="2"/>
        <v>#DIV/0!</v>
      </c>
      <c r="J30" s="7">
        <f t="shared" si="7"/>
        <v>60.450789842402045</v>
      </c>
      <c r="K30" s="8" t="e">
        <f t="shared" si="3"/>
        <v>#DIV/0!</v>
      </c>
      <c r="M30" s="44"/>
      <c r="N30" s="44"/>
      <c r="O30" s="45"/>
      <c r="P30" s="44"/>
      <c r="Q30" s="46"/>
      <c r="R30" s="47"/>
      <c r="S30" s="45"/>
      <c r="T30" s="45"/>
      <c r="U30" s="45"/>
      <c r="V30" s="45"/>
      <c r="W30" s="45"/>
      <c r="X30" s="45"/>
      <c r="Y30" s="45"/>
      <c r="Z30" s="45"/>
      <c r="AA30" s="45"/>
    </row>
    <row r="31" spans="1:27" x14ac:dyDescent="0.2">
      <c r="A31" s="6">
        <v>11</v>
      </c>
      <c r="B31" s="21">
        <f t="shared" si="0"/>
        <v>7638.8888888888887</v>
      </c>
      <c r="C31" s="8">
        <f t="shared" si="1"/>
        <v>2.4077588551210929</v>
      </c>
      <c r="D31" s="6">
        <f>'HL 11.0'!$O$19</f>
        <v>4.5335275741232852</v>
      </c>
      <c r="E31" s="7">
        <f t="shared" si="4"/>
        <v>50.133527574123306</v>
      </c>
      <c r="F31" s="8">
        <f t="shared" si="5"/>
        <v>58.133527574123306</v>
      </c>
      <c r="G31" s="6">
        <f>'HL 11.0'!$O$38</f>
        <v>8.1762614130544371</v>
      </c>
      <c r="H31" s="7">
        <f t="shared" si="6"/>
        <v>53.776261413054456</v>
      </c>
      <c r="I31" s="8" t="e">
        <f t="shared" si="2"/>
        <v>#DIV/0!</v>
      </c>
      <c r="J31" s="7">
        <f t="shared" si="7"/>
        <v>61.776261413054456</v>
      </c>
      <c r="K31" s="8" t="e">
        <f t="shared" si="3"/>
        <v>#DIV/0!</v>
      </c>
      <c r="M31" s="44"/>
      <c r="N31" s="44"/>
      <c r="O31" s="45"/>
      <c r="P31" s="44"/>
      <c r="Q31" s="46"/>
      <c r="R31" s="47"/>
      <c r="S31" s="45"/>
      <c r="T31" s="45"/>
      <c r="U31" s="45"/>
      <c r="V31" s="45"/>
      <c r="W31" s="45"/>
      <c r="X31" s="45"/>
      <c r="Y31" s="45"/>
      <c r="Z31" s="45"/>
      <c r="AA31" s="45"/>
    </row>
    <row r="32" spans="1:27" x14ac:dyDescent="0.2">
      <c r="A32" s="6">
        <v>12</v>
      </c>
      <c r="B32" s="21">
        <f t="shared" si="0"/>
        <v>8333.3333333333339</v>
      </c>
      <c r="C32" s="8">
        <f t="shared" si="1"/>
        <v>2.6266460237684655</v>
      </c>
      <c r="D32" s="6">
        <f>'HL 12.0'!$O$19</f>
        <v>5.3301752798217779</v>
      </c>
      <c r="E32" s="7">
        <f t="shared" si="4"/>
        <v>50.930175279821803</v>
      </c>
      <c r="F32" s="8">
        <f t="shared" si="5"/>
        <v>58.930175279821803</v>
      </c>
      <c r="G32" s="6">
        <f>'HL 12.0'!$O$38</f>
        <v>9.6091160776809357</v>
      </c>
      <c r="H32" s="7">
        <f t="shared" si="6"/>
        <v>55.20911607768096</v>
      </c>
      <c r="I32" s="8" t="e">
        <f t="shared" si="2"/>
        <v>#DIV/0!</v>
      </c>
      <c r="J32" s="7">
        <f t="shared" si="7"/>
        <v>63.20911607768096</v>
      </c>
      <c r="K32" s="8" t="e">
        <f t="shared" si="3"/>
        <v>#DIV/0!</v>
      </c>
      <c r="M32" s="44"/>
      <c r="N32" s="44"/>
      <c r="O32" s="45"/>
      <c r="P32" s="44"/>
      <c r="Q32" s="46"/>
      <c r="R32" s="47"/>
      <c r="S32" s="45"/>
      <c r="T32" s="45"/>
      <c r="U32" s="45"/>
      <c r="V32" s="45"/>
      <c r="W32" s="45"/>
      <c r="X32" s="45"/>
      <c r="Y32" s="45"/>
      <c r="Z32" s="45"/>
      <c r="AA32" s="45"/>
    </row>
    <row r="33" spans="1:27" x14ac:dyDescent="0.2">
      <c r="A33" s="6">
        <v>13</v>
      </c>
      <c r="B33" s="21">
        <f t="shared" si="0"/>
        <v>9027.7777777777774</v>
      </c>
      <c r="C33" s="8">
        <f t="shared" si="1"/>
        <v>2.8455331924158371</v>
      </c>
      <c r="D33" s="6">
        <f>'HL 13.0'!$O$19</f>
        <v>6.1861479721093238</v>
      </c>
      <c r="E33" s="7">
        <f t="shared" si="4"/>
        <v>51.786147972109347</v>
      </c>
      <c r="F33" s="8">
        <f t="shared" si="5"/>
        <v>59.786147972109347</v>
      </c>
      <c r="G33" s="6">
        <f>'HL 13.0'!$O$38</f>
        <v>11.148027028589068</v>
      </c>
      <c r="H33" s="7">
        <f t="shared" si="6"/>
        <v>56.748027028589092</v>
      </c>
      <c r="I33" s="8" t="e">
        <f t="shared" si="2"/>
        <v>#DIV/0!</v>
      </c>
      <c r="J33" s="7">
        <f t="shared" si="7"/>
        <v>64.748027028589092</v>
      </c>
      <c r="K33" s="8" t="e">
        <f t="shared" si="3"/>
        <v>#DIV/0!</v>
      </c>
      <c r="M33" s="44"/>
      <c r="N33" s="44"/>
      <c r="O33" s="45"/>
      <c r="P33" s="44"/>
      <c r="Q33" s="46"/>
      <c r="R33" s="47"/>
      <c r="S33" s="45"/>
      <c r="T33" s="45"/>
      <c r="U33" s="45"/>
      <c r="V33" s="45"/>
      <c r="W33" s="45"/>
      <c r="X33" s="45"/>
      <c r="Y33" s="45"/>
      <c r="Z33" s="45"/>
      <c r="AA33" s="45"/>
    </row>
    <row r="34" spans="1:27" x14ac:dyDescent="0.2">
      <c r="A34" s="6">
        <v>14</v>
      </c>
      <c r="B34" s="21">
        <f t="shared" si="0"/>
        <v>9722.2222222222226</v>
      </c>
      <c r="C34" s="8">
        <f t="shared" si="1"/>
        <v>3.0644203610632097</v>
      </c>
      <c r="D34" s="6">
        <f>'HL 14.0'!$O$19</f>
        <v>7.1007989999068108</v>
      </c>
      <c r="E34" s="7">
        <f t="shared" si="4"/>
        <v>52.700798999906837</v>
      </c>
      <c r="F34" s="8">
        <f t="shared" si="5"/>
        <v>60.700798999906837</v>
      </c>
      <c r="G34" s="6">
        <f>'HL 14.0'!$O$38</f>
        <v>12.791789210768739</v>
      </c>
      <c r="H34" s="7">
        <f t="shared" si="6"/>
        <v>58.391789210768763</v>
      </c>
      <c r="I34" s="8" t="e">
        <f t="shared" si="2"/>
        <v>#DIV/0!</v>
      </c>
      <c r="J34" s="7">
        <f t="shared" si="7"/>
        <v>66.391789210768763</v>
      </c>
      <c r="K34" s="8" t="e">
        <f t="shared" si="3"/>
        <v>#DIV/0!</v>
      </c>
      <c r="M34" s="44"/>
      <c r="N34" s="44"/>
      <c r="O34" s="45"/>
      <c r="P34" s="44"/>
      <c r="Q34" s="46"/>
      <c r="R34" s="47"/>
      <c r="S34" s="45"/>
      <c r="T34" s="45"/>
      <c r="U34" s="45"/>
      <c r="V34" s="45"/>
      <c r="W34" s="45"/>
      <c r="X34" s="45"/>
      <c r="Y34" s="45"/>
      <c r="Z34" s="45"/>
      <c r="AA34" s="45"/>
    </row>
    <row r="35" spans="1:27" x14ac:dyDescent="0.2">
      <c r="A35" s="6">
        <v>15</v>
      </c>
      <c r="B35" s="21">
        <f t="shared" si="0"/>
        <v>10416.666666666666</v>
      </c>
      <c r="C35" s="8">
        <f t="shared" si="1"/>
        <v>3.2833075297105814</v>
      </c>
      <c r="D35" s="6">
        <f>'HL 15.0'!$O$19</f>
        <v>8.0735366526490484</v>
      </c>
      <c r="E35" s="7">
        <f t="shared" si="4"/>
        <v>53.673536652649069</v>
      </c>
      <c r="F35" s="8">
        <f t="shared" si="5"/>
        <v>61.673536652649069</v>
      </c>
      <c r="G35" s="6">
        <f>'HL 15.0'!$O$38</f>
        <v>14.539299952618373</v>
      </c>
      <c r="H35" s="7">
        <f t="shared" si="6"/>
        <v>60.139299952618394</v>
      </c>
      <c r="I35" s="8" t="e">
        <f t="shared" si="2"/>
        <v>#DIV/0!</v>
      </c>
      <c r="J35" s="7">
        <f t="shared" si="7"/>
        <v>68.139299952618401</v>
      </c>
      <c r="K35" s="8" t="e">
        <f t="shared" si="3"/>
        <v>#DIV/0!</v>
      </c>
      <c r="M35" s="44"/>
      <c r="N35" s="44"/>
      <c r="O35" s="45"/>
      <c r="P35" s="44"/>
      <c r="Q35" s="46"/>
      <c r="R35" s="47"/>
      <c r="S35" s="45"/>
      <c r="T35" s="45"/>
      <c r="U35" s="45"/>
      <c r="V35" s="45"/>
      <c r="W35" s="45"/>
      <c r="X35" s="45"/>
      <c r="Y35" s="45"/>
      <c r="Z35" s="45"/>
      <c r="AA35" s="45"/>
    </row>
    <row r="36" spans="1:27" x14ac:dyDescent="0.2">
      <c r="A36" s="6">
        <v>16</v>
      </c>
      <c r="B36" s="21">
        <f t="shared" si="0"/>
        <v>11111.111111111111</v>
      </c>
      <c r="C36" s="8">
        <f t="shared" si="1"/>
        <v>3.5021946983579539</v>
      </c>
      <c r="D36" s="6">
        <f>'HL 16.0'!$O$19</f>
        <v>9.1038160246825583</v>
      </c>
      <c r="E36" s="7">
        <f t="shared" si="4"/>
        <v>54.703816024682581</v>
      </c>
      <c r="F36" s="8">
        <f t="shared" si="5"/>
        <v>62.703816024682581</v>
      </c>
      <c r="G36" s="6">
        <f>'HL 16.0'!$O$38</f>
        <v>16.389543804989358</v>
      </c>
      <c r="H36" s="7">
        <f t="shared" si="6"/>
        <v>61.989543804989381</v>
      </c>
      <c r="I36" s="8" t="e">
        <f t="shared" si="2"/>
        <v>#DIV/0!</v>
      </c>
      <c r="J36" s="7">
        <f t="shared" si="7"/>
        <v>69.989543804989381</v>
      </c>
      <c r="K36" s="8" t="e">
        <f t="shared" si="3"/>
        <v>#DIV/0!</v>
      </c>
      <c r="M36" s="44"/>
      <c r="N36" s="44"/>
      <c r="O36" s="45"/>
      <c r="P36" s="44"/>
      <c r="Q36" s="46"/>
      <c r="R36" s="47"/>
      <c r="S36" s="45"/>
      <c r="T36" s="45"/>
      <c r="U36" s="45"/>
      <c r="V36" s="45"/>
      <c r="W36" s="45"/>
      <c r="X36" s="45"/>
      <c r="Y36" s="45"/>
      <c r="Z36" s="45"/>
      <c r="AA36" s="45"/>
    </row>
    <row r="37" spans="1:27" x14ac:dyDescent="0.2">
      <c r="A37" s="6">
        <v>17</v>
      </c>
      <c r="B37" s="21">
        <f t="shared" si="0"/>
        <v>11805.555555555555</v>
      </c>
      <c r="C37" s="8">
        <f t="shared" si="1"/>
        <v>3.7210818670053252</v>
      </c>
      <c r="D37" s="6">
        <f>'HL 17.0'!$O$19</f>
        <v>10.191132532617388</v>
      </c>
      <c r="E37" s="7">
        <f t="shared" si="4"/>
        <v>55.791132532617411</v>
      </c>
      <c r="F37" s="8">
        <f t="shared" si="5"/>
        <v>63.791132532617411</v>
      </c>
      <c r="G37" s="6">
        <f>'HL 17.0'!$O$38</f>
        <v>18.341580460563414</v>
      </c>
      <c r="H37" s="7">
        <f t="shared" si="6"/>
        <v>63.941580460563436</v>
      </c>
      <c r="I37" s="8" t="e">
        <f t="shared" si="2"/>
        <v>#DIV/0!</v>
      </c>
      <c r="J37" s="7">
        <f t="shared" si="7"/>
        <v>71.941580460563443</v>
      </c>
      <c r="K37" s="8" t="e">
        <f t="shared" si="3"/>
        <v>#DIV/0!</v>
      </c>
      <c r="M37" s="44"/>
      <c r="N37" s="44"/>
      <c r="O37" s="45"/>
      <c r="P37" s="44"/>
      <c r="Q37" s="46"/>
      <c r="R37" s="47"/>
      <c r="S37" s="45"/>
      <c r="T37" s="45"/>
      <c r="U37" s="45"/>
      <c r="V37" s="45"/>
      <c r="W37" s="45"/>
      <c r="X37" s="45"/>
      <c r="Y37" s="45"/>
      <c r="Z37" s="45"/>
      <c r="AA37" s="45"/>
    </row>
    <row r="38" spans="1:27" x14ac:dyDescent="0.2">
      <c r="A38" s="6">
        <v>18</v>
      </c>
      <c r="B38" s="21">
        <f t="shared" si="0"/>
        <v>12500</v>
      </c>
      <c r="C38" s="8">
        <f t="shared" si="1"/>
        <v>3.9399690356526977</v>
      </c>
      <c r="D38" s="6">
        <f>'HL 18.0'!$O$19</f>
        <v>11.335016669624506</v>
      </c>
      <c r="E38" s="7">
        <f t="shared" si="4"/>
        <v>56.935016669624531</v>
      </c>
      <c r="F38" s="8">
        <f t="shared" si="5"/>
        <v>64.935016669624531</v>
      </c>
      <c r="G38" s="6">
        <f>'HL 18.0'!$O$38</f>
        <v>20.394534978317715</v>
      </c>
      <c r="H38" s="7">
        <f t="shared" si="6"/>
        <v>65.994534978317745</v>
      </c>
      <c r="I38" s="8" t="e">
        <f t="shared" si="2"/>
        <v>#DIV/0!</v>
      </c>
      <c r="J38" s="7">
        <f t="shared" si="7"/>
        <v>73.994534978317745</v>
      </c>
      <c r="K38" s="8" t="e">
        <f t="shared" si="3"/>
        <v>#DIV/0!</v>
      </c>
      <c r="M38" s="44"/>
      <c r="N38" s="44"/>
      <c r="O38" s="45"/>
      <c r="P38" s="44"/>
      <c r="Q38" s="46"/>
      <c r="R38" s="47"/>
      <c r="S38" s="45"/>
      <c r="T38" s="45"/>
      <c r="U38" s="45"/>
      <c r="V38" s="45"/>
      <c r="W38" s="45"/>
      <c r="X38" s="45"/>
      <c r="Y38" s="45"/>
      <c r="Z38" s="45"/>
      <c r="AA38" s="45"/>
    </row>
    <row r="39" spans="1:27" x14ac:dyDescent="0.2">
      <c r="A39" s="6">
        <v>19</v>
      </c>
      <c r="B39" s="21">
        <f t="shared" si="0"/>
        <v>13194.444444444445</v>
      </c>
      <c r="C39" s="8">
        <f t="shared" si="1"/>
        <v>4.1588562043000703</v>
      </c>
      <c r="D39" s="6">
        <f>'HL 19.0'!$O$19</f>
        <v>12.53502970326435</v>
      </c>
      <c r="E39" s="7">
        <f t="shared" si="4"/>
        <v>58.135029703264372</v>
      </c>
      <c r="F39" s="8">
        <f t="shared" si="5"/>
        <v>66.135029703264365</v>
      </c>
      <c r="G39" s="6">
        <f>'HL 19.0'!$O$38</f>
        <v>22.547589766290439</v>
      </c>
      <c r="H39" s="7">
        <f t="shared" si="6"/>
        <v>68.147589766290466</v>
      </c>
      <c r="I39" s="8" t="e">
        <f t="shared" si="2"/>
        <v>#DIV/0!</v>
      </c>
      <c r="J39" s="7">
        <f t="shared" si="7"/>
        <v>76.147589766290466</v>
      </c>
      <c r="K39" s="8" t="e">
        <f t="shared" si="3"/>
        <v>#DIV/0!</v>
      </c>
      <c r="M39" s="44"/>
      <c r="N39" s="44"/>
      <c r="O39" s="45"/>
      <c r="P39" s="44"/>
      <c r="Q39" s="46"/>
      <c r="R39" s="47"/>
      <c r="S39" s="45"/>
      <c r="T39" s="45"/>
      <c r="U39" s="45"/>
      <c r="V39" s="45"/>
      <c r="W39" s="45"/>
      <c r="X39" s="45"/>
      <c r="Y39" s="45"/>
      <c r="Z39" s="45"/>
      <c r="AA39" s="45"/>
    </row>
    <row r="40" spans="1:27" x14ac:dyDescent="0.2">
      <c r="A40" s="6">
        <v>20</v>
      </c>
      <c r="B40" s="21">
        <f t="shared" si="0"/>
        <v>13888.888888888889</v>
      </c>
      <c r="C40" s="8">
        <f t="shared" si="1"/>
        <v>4.3777433729474424</v>
      </c>
      <c r="D40" s="6">
        <f>'HL 20.0'!$O$19</f>
        <v>13.790760105190191</v>
      </c>
      <c r="E40" s="7">
        <f t="shared" si="4"/>
        <v>59.390760105190211</v>
      </c>
      <c r="F40" s="8">
        <f t="shared" si="5"/>
        <v>67.390760105190211</v>
      </c>
      <c r="G40" s="6">
        <f>'HL 20.0'!$O$38</f>
        <v>24.799977928218677</v>
      </c>
      <c r="H40" s="7">
        <f t="shared" si="6"/>
        <v>70.399977928218703</v>
      </c>
      <c r="I40" s="8" t="e">
        <f t="shared" si="2"/>
        <v>#DIV/0!</v>
      </c>
      <c r="J40" s="7">
        <f t="shared" si="7"/>
        <v>78.399977928218703</v>
      </c>
      <c r="K40" s="8" t="e">
        <f t="shared" si="3"/>
        <v>#DIV/0!</v>
      </c>
      <c r="M40" s="44"/>
      <c r="N40" s="44"/>
      <c r="O40" s="45"/>
      <c r="P40" s="44"/>
      <c r="Q40" s="46"/>
      <c r="R40" s="47"/>
      <c r="S40" s="45"/>
      <c r="T40" s="45"/>
      <c r="U40" s="45"/>
      <c r="V40" s="45"/>
      <c r="W40" s="45"/>
      <c r="X40" s="45"/>
      <c r="Y40" s="45"/>
      <c r="Z40" s="45"/>
      <c r="AA40" s="45"/>
    </row>
    <row r="41" spans="1:27" x14ac:dyDescent="0.2">
      <c r="A41" s="6">
        <v>21</v>
      </c>
      <c r="B41" s="21">
        <f t="shared" si="0"/>
        <v>14583.333333333334</v>
      </c>
      <c r="C41" s="8">
        <f t="shared" si="1"/>
        <v>4.5966305415948145</v>
      </c>
      <c r="D41" s="6">
        <f>'HL 21.0'!$O$19</f>
        <v>15.101820557004146</v>
      </c>
      <c r="E41" s="7">
        <f t="shared" si="4"/>
        <v>60.701820557004169</v>
      </c>
      <c r="F41" s="8">
        <f t="shared" si="5"/>
        <v>68.701820557004169</v>
      </c>
      <c r="G41" s="6">
        <f>'HL 21.0'!$O$38</f>
        <v>27.150977683855004</v>
      </c>
      <c r="H41" s="7">
        <f t="shared" si="6"/>
        <v>72.750977683855027</v>
      </c>
      <c r="I41" s="8" t="e">
        <f t="shared" si="2"/>
        <v>#DIV/0!</v>
      </c>
      <c r="J41" s="7">
        <f t="shared" si="7"/>
        <v>80.750977683855027</v>
      </c>
      <c r="K41" s="8" t="e">
        <f t="shared" si="3"/>
        <v>#DIV/0!</v>
      </c>
      <c r="M41" s="44"/>
      <c r="N41" s="44"/>
      <c r="O41" s="45"/>
      <c r="P41" s="44"/>
      <c r="Q41" s="46"/>
      <c r="R41" s="47"/>
      <c r="S41" s="45"/>
      <c r="T41" s="45"/>
      <c r="U41" s="45"/>
      <c r="V41" s="45"/>
      <c r="W41" s="45"/>
      <c r="X41" s="45"/>
      <c r="Y41" s="45"/>
      <c r="Z41" s="45"/>
      <c r="AA41" s="45"/>
    </row>
    <row r="42" spans="1:27" x14ac:dyDescent="0.2">
      <c r="A42" s="6">
        <v>22</v>
      </c>
      <c r="B42" s="21">
        <f t="shared" si="0"/>
        <v>15277.777777777777</v>
      </c>
      <c r="C42" s="8">
        <f t="shared" si="1"/>
        <v>4.8155177102421858</v>
      </c>
      <c r="D42" s="6">
        <f>'HL 22.0'!$O$19</f>
        <v>16.467845415677139</v>
      </c>
      <c r="E42" s="7">
        <f t="shared" si="4"/>
        <v>62.067845415677162</v>
      </c>
      <c r="F42" s="8">
        <f t="shared" si="5"/>
        <v>70.067845415677169</v>
      </c>
      <c r="G42" s="6">
        <f>'HL 22.0'!$O$38</f>
        <v>29.599907645696444</v>
      </c>
      <c r="H42" s="7">
        <f t="shared" si="6"/>
        <v>75.19990764569647</v>
      </c>
      <c r="I42" s="8" t="e">
        <f t="shared" si="2"/>
        <v>#DIV/0!</v>
      </c>
      <c r="J42" s="7">
        <f t="shared" si="7"/>
        <v>83.19990764569647</v>
      </c>
      <c r="K42" s="8" t="e">
        <f t="shared" si="3"/>
        <v>#DIV/0!</v>
      </c>
      <c r="M42" s="44"/>
      <c r="N42" s="44"/>
      <c r="O42" s="45"/>
      <c r="P42" s="44"/>
      <c r="Q42" s="46"/>
      <c r="R42" s="47"/>
      <c r="S42" s="45"/>
      <c r="T42" s="45"/>
      <c r="U42" s="45"/>
      <c r="V42" s="45"/>
      <c r="W42" s="45"/>
      <c r="X42" s="45"/>
      <c r="Y42" s="45"/>
      <c r="Z42" s="45"/>
      <c r="AA42" s="45"/>
    </row>
    <row r="43" spans="1:27" x14ac:dyDescent="0.2">
      <c r="A43" s="6">
        <v>23</v>
      </c>
      <c r="B43" s="21">
        <f t="shared" si="0"/>
        <v>15972.222222222223</v>
      </c>
      <c r="C43" s="8">
        <f t="shared" si="1"/>
        <v>5.0344048788895579</v>
      </c>
      <c r="D43" s="6">
        <f>'HL 23.0'!$O$19</f>
        <v>17.888488549875017</v>
      </c>
      <c r="E43" s="7">
        <f t="shared" si="4"/>
        <v>63.488488549875044</v>
      </c>
      <c r="F43" s="8">
        <f t="shared" si="5"/>
        <v>71.488488549875044</v>
      </c>
      <c r="G43" s="6">
        <f>'HL 23.0'!$O$38</f>
        <v>32.14612278690889</v>
      </c>
      <c r="H43" s="7">
        <f t="shared" si="6"/>
        <v>77.746122786908913</v>
      </c>
      <c r="I43" s="8" t="e">
        <f t="shared" si="2"/>
        <v>#DIV/0!</v>
      </c>
      <c r="J43" s="7">
        <f t="shared" si="7"/>
        <v>85.746122786908913</v>
      </c>
      <c r="K43" s="8" t="e">
        <f t="shared" si="3"/>
        <v>#DIV/0!</v>
      </c>
      <c r="M43" s="44"/>
      <c r="N43" s="44"/>
      <c r="O43" s="45"/>
      <c r="P43" s="44"/>
      <c r="Q43" s="46"/>
      <c r="R43" s="47"/>
      <c r="S43" s="45"/>
      <c r="T43" s="45"/>
      <c r="U43" s="45"/>
      <c r="V43" s="45"/>
      <c r="W43" s="45"/>
      <c r="X43" s="45"/>
      <c r="Y43" s="45"/>
      <c r="Z43" s="45"/>
      <c r="AA43" s="48"/>
    </row>
    <row r="44" spans="1:27" x14ac:dyDescent="0.2">
      <c r="A44" s="6">
        <v>24</v>
      </c>
      <c r="B44" s="21">
        <f t="shared" si="0"/>
        <v>16666.666666666668</v>
      </c>
      <c r="C44" s="8">
        <f t="shared" si="1"/>
        <v>5.2532920475369309</v>
      </c>
      <c r="D44" s="6">
        <f>'HL 24.0'!$O$19</f>
        <v>19.363421478824655</v>
      </c>
      <c r="E44" s="7">
        <f t="shared" si="4"/>
        <v>64.963421478824671</v>
      </c>
      <c r="F44" s="8">
        <f t="shared" si="5"/>
        <v>72.963421478824671</v>
      </c>
      <c r="G44" s="6">
        <f>'HL 24.0'!$O$38</f>
        <v>34.789010973044327</v>
      </c>
      <c r="H44" s="7">
        <f t="shared" si="6"/>
        <v>80.38901097304435</v>
      </c>
      <c r="I44" s="8" t="e">
        <f t="shared" si="2"/>
        <v>#DIV/0!</v>
      </c>
      <c r="J44" s="7">
        <f t="shared" si="7"/>
        <v>88.38901097304435</v>
      </c>
      <c r="K44" s="8" t="e">
        <f t="shared" si="3"/>
        <v>#DIV/0!</v>
      </c>
    </row>
    <row r="45" spans="1:27" x14ac:dyDescent="0.2">
      <c r="A45" s="6">
        <v>25</v>
      </c>
      <c r="B45" s="21">
        <f t="shared" si="0"/>
        <v>17361.111111111109</v>
      </c>
      <c r="C45" s="8">
        <f t="shared" si="1"/>
        <v>5.4721792161843021</v>
      </c>
      <c r="D45" s="6">
        <f>'HL 25.0'!$O$19</f>
        <v>20.892331760332965</v>
      </c>
      <c r="E45" s="7">
        <f t="shared" si="4"/>
        <v>66.492331760332988</v>
      </c>
      <c r="F45" s="8">
        <f t="shared" si="5"/>
        <v>74.492331760332988</v>
      </c>
      <c r="G45" s="6">
        <f>'HL 25.0'!$O$38</f>
        <v>37.527989958062662</v>
      </c>
      <c r="H45" s="7">
        <f t="shared" si="6"/>
        <v>83.127989958062685</v>
      </c>
      <c r="I45" s="8" t="e">
        <f t="shared" si="2"/>
        <v>#DIV/0!</v>
      </c>
      <c r="J45" s="7">
        <f t="shared" si="7"/>
        <v>91.127989958062685</v>
      </c>
      <c r="K45" s="8" t="e">
        <f t="shared" si="3"/>
        <v>#DIV/0!</v>
      </c>
    </row>
    <row r="46" spans="1:27" x14ac:dyDescent="0.2">
      <c r="A46" s="6">
        <v>26</v>
      </c>
      <c r="B46" s="21">
        <f t="shared" si="0"/>
        <v>18055.555555555555</v>
      </c>
      <c r="C46" s="8">
        <f t="shared" si="1"/>
        <v>5.6910663848316743</v>
      </c>
      <c r="D46" s="6">
        <f>'HL 26.0'!$O$19</f>
        <v>22.474921585790494</v>
      </c>
      <c r="E46" s="7">
        <f t="shared" si="4"/>
        <v>68.07492158579052</v>
      </c>
      <c r="F46" s="8">
        <f t="shared" si="5"/>
        <v>76.07492158579052</v>
      </c>
      <c r="G46" s="6">
        <f>'HL 26.0'!$O$38</f>
        <v>40.36250476607588</v>
      </c>
      <c r="H46" s="7">
        <f t="shared" si="6"/>
        <v>85.962504766075909</v>
      </c>
      <c r="I46" s="8" t="e">
        <f t="shared" si="2"/>
        <v>#DIV/0!</v>
      </c>
      <c r="J46" s="7">
        <f t="shared" si="7"/>
        <v>93.962504766075909</v>
      </c>
      <c r="K46" s="8" t="e">
        <f t="shared" si="3"/>
        <v>#DIV/0!</v>
      </c>
    </row>
    <row r="47" spans="1:27" x14ac:dyDescent="0.2">
      <c r="A47" s="6">
        <v>27</v>
      </c>
      <c r="B47" s="21">
        <f t="shared" si="0"/>
        <v>18750</v>
      </c>
      <c r="C47" s="8">
        <f t="shared" si="1"/>
        <v>5.9099535534790473</v>
      </c>
      <c r="D47" s="6">
        <f>'HL 27.0'!$O$19</f>
        <v>24.110906548503806</v>
      </c>
      <c r="E47" s="7">
        <f t="shared" si="4"/>
        <v>69.710906548503829</v>
      </c>
      <c r="F47" s="8">
        <f t="shared" si="5"/>
        <v>77.710906548503829</v>
      </c>
      <c r="G47" s="6">
        <f>'HL 27.0'!$O$38</f>
        <v>43.292025396096015</v>
      </c>
      <c r="H47" s="7">
        <f t="shared" si="6"/>
        <v>88.892025396096045</v>
      </c>
      <c r="I47" s="8" t="e">
        <f t="shared" si="2"/>
        <v>#DIV/0!</v>
      </c>
      <c r="J47" s="7">
        <f t="shared" si="7"/>
        <v>96.892025396096045</v>
      </c>
      <c r="K47" s="8" t="e">
        <f t="shared" si="3"/>
        <v>#DIV/0!</v>
      </c>
    </row>
    <row r="48" spans="1:27" x14ac:dyDescent="0.2">
      <c r="A48" s="6">
        <v>28</v>
      </c>
      <c r="B48" s="21">
        <f t="shared" si="0"/>
        <v>19444.444444444445</v>
      </c>
      <c r="C48" s="8">
        <f t="shared" si="1"/>
        <v>6.1288407221264194</v>
      </c>
      <c r="D48" s="6">
        <f>'HL 28.0'!$O$19</f>
        <v>25.800014558237823</v>
      </c>
      <c r="E48" s="7">
        <f t="shared" si="4"/>
        <v>71.400014558237842</v>
      </c>
      <c r="F48" s="8">
        <f t="shared" si="5"/>
        <v>79.400014558237842</v>
      </c>
      <c r="G48" s="6">
        <f>'HL 28.0'!$O$38</f>
        <v>46.316044799249916</v>
      </c>
      <c r="H48" s="7">
        <f t="shared" si="6"/>
        <v>91.916044799249931</v>
      </c>
      <c r="I48" s="8" t="e">
        <f t="shared" si="2"/>
        <v>#DIV/0!</v>
      </c>
      <c r="J48" s="7">
        <f t="shared" si="7"/>
        <v>99.916044799249931</v>
      </c>
      <c r="K48" s="8" t="e">
        <f t="shared" si="3"/>
        <v>#DIV/0!</v>
      </c>
    </row>
    <row r="49" spans="1:11" x14ac:dyDescent="0.2">
      <c r="A49" s="6">
        <v>29</v>
      </c>
      <c r="B49" s="21">
        <f t="shared" si="0"/>
        <v>20138.888888888891</v>
      </c>
      <c r="C49" s="8">
        <f t="shared" si="1"/>
        <v>6.3477278907737915</v>
      </c>
      <c r="D49" s="6">
        <f>'HL 29.0'!$O$19</f>
        <v>27.541984879925845</v>
      </c>
      <c r="E49" s="7">
        <f t="shared" si="4"/>
        <v>73.141984879925872</v>
      </c>
      <c r="F49" s="8">
        <f t="shared" si="5"/>
        <v>81.141984879925872</v>
      </c>
      <c r="G49" s="6">
        <f>'HL 29.0'!$O$38</f>
        <v>49.434077087384644</v>
      </c>
      <c r="H49" s="7">
        <f t="shared" si="6"/>
        <v>95.034077087384674</v>
      </c>
      <c r="I49" s="8" t="e">
        <f t="shared" si="2"/>
        <v>#DIV/0!</v>
      </c>
      <c r="J49" s="7">
        <f t="shared" si="7"/>
        <v>103.03407708738467</v>
      </c>
      <c r="K49" s="8" t="e">
        <f t="shared" si="3"/>
        <v>#DIV/0!</v>
      </c>
    </row>
    <row r="50" spans="1:11" x14ac:dyDescent="0.2">
      <c r="A50" s="6">
        <v>30</v>
      </c>
      <c r="B50" s="21">
        <f t="shared" si="0"/>
        <v>20833.333333333332</v>
      </c>
      <c r="C50" s="8">
        <f t="shared" si="1"/>
        <v>6.5666150594211627</v>
      </c>
      <c r="D50" s="6">
        <f>'HL 30.0'!$O$19</f>
        <v>29.336567278484157</v>
      </c>
      <c r="E50" s="7">
        <f t="shared" si="4"/>
        <v>74.936567278484176</v>
      </c>
      <c r="F50" s="8">
        <f t="shared" si="5"/>
        <v>82.936567278484176</v>
      </c>
      <c r="G50" s="6">
        <f>'HL 30.0'!$O$38</f>
        <v>52.645655939402104</v>
      </c>
      <c r="H50" s="7">
        <f t="shared" si="6"/>
        <v>98.245655939402127</v>
      </c>
      <c r="I50" s="8" t="e">
        <f t="shared" si="2"/>
        <v>#DIV/0!</v>
      </c>
      <c r="J50" s="7">
        <f t="shared" si="7"/>
        <v>106.24565593940213</v>
      </c>
      <c r="K50" s="8" t="e">
        <f t="shared" si="3"/>
        <v>#DIV/0!</v>
      </c>
    </row>
    <row r="51" spans="1:11" x14ac:dyDescent="0.2">
      <c r="A51" s="6">
        <v>31</v>
      </c>
      <c r="B51" s="21">
        <f t="shared" si="0"/>
        <v>21527.777777777777</v>
      </c>
      <c r="C51" s="8">
        <f t="shared" si="1"/>
        <v>6.7855022280685358</v>
      </c>
      <c r="D51" s="6">
        <f>'HL 31.0'!$O$19</f>
        <v>31.183521254820484</v>
      </c>
      <c r="E51" s="7">
        <f t="shared" si="4"/>
        <v>76.783521254820499</v>
      </c>
      <c r="F51" s="8">
        <f t="shared" si="5"/>
        <v>84.783521254820499</v>
      </c>
      <c r="G51" s="6">
        <f>'HL 31.0'!$O$38</f>
        <v>55.950333177536137</v>
      </c>
      <c r="H51" s="7">
        <f t="shared" si="6"/>
        <v>101.55033317753616</v>
      </c>
      <c r="I51" s="8" t="e">
        <f t="shared" si="2"/>
        <v>#DIV/0!</v>
      </c>
      <c r="J51" s="7">
        <f t="shared" si="7"/>
        <v>109.55033317753616</v>
      </c>
      <c r="K51" s="8" t="e">
        <f t="shared" si="3"/>
        <v>#DIV/0!</v>
      </c>
    </row>
    <row r="52" spans="1:11" x14ac:dyDescent="0.2">
      <c r="A52" s="6">
        <v>32</v>
      </c>
      <c r="B52" s="21">
        <f t="shared" si="0"/>
        <v>22222.222222222223</v>
      </c>
      <c r="C52" s="8">
        <f t="shared" si="1"/>
        <v>7.0043893967159079</v>
      </c>
      <c r="D52" s="6">
        <f>'HL 32.0'!$O$19</f>
        <v>33.082615360640482</v>
      </c>
      <c r="E52" s="7">
        <f t="shared" si="4"/>
        <v>78.682615360640511</v>
      </c>
      <c r="F52" s="8">
        <f t="shared" si="5"/>
        <v>86.682615360640511</v>
      </c>
      <c r="G52" s="6">
        <f>'HL 32.0'!$O$38</f>
        <v>59.347677490472812</v>
      </c>
      <c r="H52" s="7">
        <f t="shared" si="6"/>
        <v>104.94767749047284</v>
      </c>
      <c r="I52" s="8" t="e">
        <f t="shared" si="2"/>
        <v>#DIV/0!</v>
      </c>
      <c r="J52" s="7">
        <f t="shared" si="7"/>
        <v>112.94767749047284</v>
      </c>
      <c r="K52" s="8" t="e">
        <f t="shared" si="3"/>
        <v>#DIV/0!</v>
      </c>
    </row>
    <row r="53" spans="1:11" x14ac:dyDescent="0.2">
      <c r="A53" s="6">
        <v>33</v>
      </c>
      <c r="B53" s="21">
        <f t="shared" si="0"/>
        <v>22916.666666666668</v>
      </c>
      <c r="C53" s="8">
        <f t="shared" si="1"/>
        <v>7.22327656536328</v>
      </c>
      <c r="D53" s="6">
        <f>'HL 33.0'!$O$19</f>
        <v>35.033626581682654</v>
      </c>
      <c r="E53" s="7">
        <f t="shared" si="4"/>
        <v>80.633626581682677</v>
      </c>
      <c r="F53" s="8">
        <f t="shared" si="5"/>
        <v>88.633626581682677</v>
      </c>
      <c r="G53" s="6">
        <f>'HL 33.0'!$O$38</f>
        <v>62.837273283988488</v>
      </c>
      <c r="H53" s="7">
        <f t="shared" si="6"/>
        <v>108.4372732839885</v>
      </c>
      <c r="I53" s="8" t="e">
        <f t="shared" si="2"/>
        <v>#DIV/0!</v>
      </c>
      <c r="J53" s="7">
        <f t="shared" si="7"/>
        <v>116.4372732839885</v>
      </c>
      <c r="K53" s="8" t="e">
        <f t="shared" si="3"/>
        <v>#DIV/0!</v>
      </c>
    </row>
    <row r="54" spans="1:11" hidden="1" x14ac:dyDescent="0.2">
      <c r="A54" s="6">
        <v>34</v>
      </c>
      <c r="B54" s="21">
        <f t="shared" si="0"/>
        <v>23611.111111111109</v>
      </c>
      <c r="C54" s="8">
        <f t="shared" si="1"/>
        <v>7.4421637340106503</v>
      </c>
      <c r="D54" s="6">
        <f>'HL 34.0'!$O$19</f>
        <v>37.036339780652227</v>
      </c>
      <c r="E54" s="7">
        <f t="shared" si="4"/>
        <v>82.63633978065225</v>
      </c>
      <c r="F54" s="8">
        <f t="shared" si="5"/>
        <v>90.63633978065225</v>
      </c>
      <c r="G54" s="6">
        <f>'HL 34.0'!$O$38</f>
        <v>66.418719642839562</v>
      </c>
      <c r="H54" s="7">
        <f t="shared" si="6"/>
        <v>112.01871964283959</v>
      </c>
      <c r="I54" s="8" t="e">
        <f t="shared" si="2"/>
        <v>#DIV/0!</v>
      </c>
      <c r="J54" s="7">
        <f t="shared" si="7"/>
        <v>120.01871964283959</v>
      </c>
      <c r="K54" s="8" t="e">
        <f t="shared" si="3"/>
        <v>#DIV/0!</v>
      </c>
    </row>
    <row r="55" spans="1:11" hidden="1" x14ac:dyDescent="0.2">
      <c r="A55" s="6">
        <v>35</v>
      </c>
      <c r="B55" s="21">
        <f t="shared" si="0"/>
        <v>24305.555555555555</v>
      </c>
      <c r="C55" s="8">
        <f t="shared" si="1"/>
        <v>7.6610509026580234</v>
      </c>
      <c r="D55" s="6">
        <f>'HL 35.0'!$O$19</f>
        <v>39.090547192467568</v>
      </c>
      <c r="E55" s="7">
        <f t="shared" si="4"/>
        <v>84.690547192467591</v>
      </c>
      <c r="F55" s="8">
        <f t="shared" si="5"/>
        <v>92.690547192467591</v>
      </c>
      <c r="G55" s="6">
        <f>'HL 35.0'!$O$38</f>
        <v>70.091629390137967</v>
      </c>
      <c r="H55" s="7">
        <f t="shared" si="6"/>
        <v>115.69162939013799</v>
      </c>
      <c r="I55" s="8" t="e">
        <f t="shared" si="2"/>
        <v>#DIV/0!</v>
      </c>
      <c r="J55" s="7">
        <f t="shared" si="7"/>
        <v>123.69162939013799</v>
      </c>
      <c r="K55" s="8" t="e">
        <f t="shared" si="3"/>
        <v>#DIV/0!</v>
      </c>
    </row>
    <row r="56" spans="1:11" hidden="1" x14ac:dyDescent="0.2">
      <c r="A56" s="6">
        <v>36</v>
      </c>
      <c r="B56" s="21">
        <f t="shared" si="0"/>
        <v>25000</v>
      </c>
      <c r="C56" s="8">
        <f t="shared" si="1"/>
        <v>7.8799380713053955</v>
      </c>
      <c r="D56" s="6">
        <f>'HL 36.0'!$O$19</f>
        <v>41.196047965532081</v>
      </c>
      <c r="E56" s="7">
        <f t="shared" si="4"/>
        <v>86.796047965532097</v>
      </c>
      <c r="F56" s="8">
        <f t="shared" si="5"/>
        <v>94.796047965532097</v>
      </c>
      <c r="G56" s="6">
        <f>'HL 36.0'!$O$38</f>
        <v>73.855628232496258</v>
      </c>
      <c r="H56" s="7">
        <f t="shared" si="6"/>
        <v>119.45562823249628</v>
      </c>
      <c r="I56" s="8" t="e">
        <f t="shared" si="2"/>
        <v>#DIV/0!</v>
      </c>
      <c r="J56" s="7">
        <f t="shared" si="7"/>
        <v>127.45562823249628</v>
      </c>
      <c r="K56" s="8" t="e">
        <f t="shared" si="3"/>
        <v>#DIV/0!</v>
      </c>
    </row>
    <row r="57" spans="1:11" ht="12" customHeight="1" x14ac:dyDescent="0.2">
      <c r="A57" s="7"/>
      <c r="B57" s="21"/>
      <c r="C57" s="7"/>
      <c r="D57" s="7"/>
      <c r="E57" s="7"/>
      <c r="F57" s="7"/>
      <c r="G57" s="7"/>
      <c r="H57" s="7"/>
      <c r="I57" s="7"/>
      <c r="J57" s="7"/>
      <c r="K57" s="7"/>
    </row>
    <row r="58" spans="1:11" x14ac:dyDescent="0.2">
      <c r="A58" s="7"/>
      <c r="B58" s="21"/>
      <c r="C58" s="7"/>
      <c r="D58" s="7"/>
      <c r="E58" s="7"/>
      <c r="F58" s="7"/>
      <c r="G58" s="7"/>
      <c r="H58" s="7"/>
      <c r="I58" s="7"/>
      <c r="J58" s="7"/>
      <c r="K58" s="7"/>
    </row>
    <row r="59" spans="1:11" x14ac:dyDescent="0.2">
      <c r="A59" s="7"/>
      <c r="B59" s="21"/>
      <c r="C59" s="7"/>
      <c r="D59" s="7"/>
      <c r="E59" s="7"/>
      <c r="F59" s="7"/>
      <c r="G59" s="7"/>
      <c r="H59" s="7"/>
      <c r="I59" s="7"/>
      <c r="J59" s="7"/>
      <c r="K59" s="7"/>
    </row>
    <row r="60" spans="1:11" x14ac:dyDescent="0.2">
      <c r="A60" s="7"/>
      <c r="B60" s="21"/>
      <c r="C60" s="7"/>
      <c r="D60" s="7"/>
      <c r="E60" s="7"/>
      <c r="F60" s="7"/>
      <c r="G60" s="7"/>
      <c r="H60" s="7"/>
      <c r="I60" s="7"/>
      <c r="J60" s="7"/>
      <c r="K60" s="7"/>
    </row>
    <row r="61" spans="1:11" x14ac:dyDescent="0.2">
      <c r="A61" s="7"/>
      <c r="B61" s="21"/>
      <c r="C61" s="7"/>
      <c r="D61" s="7"/>
      <c r="E61" s="7"/>
      <c r="F61" s="7"/>
      <c r="G61" s="7"/>
      <c r="H61" s="7"/>
      <c r="I61" s="7"/>
      <c r="J61" s="7"/>
      <c r="K61" s="7"/>
    </row>
    <row r="62" spans="1:11" x14ac:dyDescent="0.2">
      <c r="A62" s="7"/>
      <c r="B62" s="21"/>
      <c r="C62" s="7"/>
      <c r="D62" s="7"/>
      <c r="E62" s="7"/>
      <c r="F62" s="7"/>
      <c r="G62" s="7"/>
      <c r="H62" s="7"/>
      <c r="I62" s="7"/>
      <c r="J62" s="7"/>
      <c r="K62" s="7"/>
    </row>
    <row r="63" spans="1:11" x14ac:dyDescent="0.2">
      <c r="A63" s="7"/>
      <c r="B63" s="21"/>
      <c r="C63" s="7"/>
      <c r="D63" s="7"/>
      <c r="E63" s="7"/>
      <c r="F63" s="7"/>
      <c r="G63" s="7"/>
      <c r="H63" s="7"/>
      <c r="I63" s="7"/>
      <c r="J63" s="7"/>
      <c r="K63" s="7"/>
    </row>
    <row r="64" spans="1:11" x14ac:dyDescent="0.2">
      <c r="A64" s="7"/>
      <c r="B64" s="21"/>
      <c r="C64" s="7"/>
      <c r="D64" s="7"/>
      <c r="E64" s="7"/>
      <c r="F64" s="7"/>
      <c r="G64" s="7"/>
      <c r="H64" s="7"/>
      <c r="I64" s="7"/>
      <c r="J64" s="7"/>
      <c r="K64" s="7"/>
    </row>
    <row r="65" spans="1:11" x14ac:dyDescent="0.2">
      <c r="A65" s="7"/>
      <c r="B65" s="21"/>
      <c r="C65" s="7"/>
      <c r="D65" s="7"/>
      <c r="E65" s="7"/>
      <c r="F65" s="7"/>
      <c r="G65" s="7"/>
      <c r="H65" s="7"/>
      <c r="I65" s="7"/>
      <c r="J65" s="7"/>
      <c r="K65" s="7"/>
    </row>
    <row r="66" spans="1:11" x14ac:dyDescent="0.2">
      <c r="A66" s="7"/>
      <c r="B66" s="21"/>
      <c r="C66" s="7"/>
      <c r="D66" s="7"/>
      <c r="E66" s="7"/>
      <c r="F66" s="7"/>
      <c r="G66" s="7"/>
      <c r="H66" s="7"/>
      <c r="I66" s="7"/>
      <c r="J66" s="7"/>
      <c r="K66" s="7"/>
    </row>
    <row r="67" spans="1:11" x14ac:dyDescent="0.2">
      <c r="A67" s="7"/>
      <c r="B67" s="21"/>
      <c r="C67" s="7"/>
      <c r="D67" s="7"/>
      <c r="E67" s="7"/>
      <c r="F67" s="7"/>
      <c r="G67" s="7"/>
      <c r="H67" s="7"/>
      <c r="I67" s="7"/>
      <c r="J67" s="7"/>
      <c r="K67" s="7"/>
    </row>
    <row r="68" spans="1:11" x14ac:dyDescent="0.2">
      <c r="A68" s="7"/>
      <c r="B68" s="21"/>
      <c r="C68" s="7"/>
      <c r="D68" s="7"/>
      <c r="E68" s="7"/>
      <c r="F68" s="7"/>
      <c r="G68" s="7"/>
      <c r="H68" s="7"/>
      <c r="I68" s="7"/>
      <c r="J68" s="7"/>
      <c r="K68" s="7"/>
    </row>
    <row r="69" spans="1:11" x14ac:dyDescent="0.2">
      <c r="A69" s="7"/>
      <c r="B69" s="21"/>
      <c r="C69" s="7"/>
      <c r="D69" s="7"/>
      <c r="E69" s="7"/>
      <c r="F69" s="7"/>
      <c r="G69" s="7"/>
      <c r="H69" s="7"/>
      <c r="I69" s="7"/>
      <c r="J69" s="7"/>
      <c r="K69" s="7"/>
    </row>
    <row r="70" spans="1:11" x14ac:dyDescent="0.2">
      <c r="A70" s="7"/>
      <c r="B70" s="21"/>
      <c r="C70" s="7"/>
      <c r="D70" s="7"/>
      <c r="E70" s="7"/>
      <c r="F70" s="7"/>
      <c r="G70" s="7"/>
      <c r="H70" s="7"/>
      <c r="I70" s="7"/>
      <c r="J70" s="7"/>
      <c r="K70" s="7"/>
    </row>
    <row r="71" spans="1:11" x14ac:dyDescent="0.2">
      <c r="A71" s="7"/>
      <c r="B71" s="21"/>
      <c r="C71" s="7"/>
      <c r="D71" s="7"/>
      <c r="E71" s="7"/>
      <c r="F71" s="7"/>
      <c r="G71" s="7"/>
      <c r="H71" s="7"/>
      <c r="I71" s="7"/>
      <c r="J71" s="7"/>
      <c r="K71" s="7"/>
    </row>
    <row r="72" spans="1:11" x14ac:dyDescent="0.2">
      <c r="A72" s="7"/>
      <c r="B72" s="21"/>
      <c r="C72" s="7"/>
      <c r="D72" s="7"/>
      <c r="E72" s="7"/>
      <c r="F72" s="7"/>
      <c r="G72" s="7"/>
      <c r="H72" s="7"/>
      <c r="I72" s="7"/>
      <c r="J72" s="7"/>
      <c r="K72" s="7"/>
    </row>
    <row r="73" spans="1:11" x14ac:dyDescent="0.2">
      <c r="A73" s="7"/>
      <c r="B73" s="21"/>
      <c r="C73" s="7"/>
      <c r="D73" s="7"/>
      <c r="E73" s="7"/>
      <c r="F73" s="7"/>
      <c r="G73" s="7"/>
      <c r="H73" s="7"/>
      <c r="I73" s="7"/>
      <c r="J73" s="7"/>
      <c r="K73" s="7"/>
    </row>
    <row r="74" spans="1:11" x14ac:dyDescent="0.2">
      <c r="A74" s="7"/>
      <c r="B74" s="21"/>
      <c r="C74" s="7"/>
      <c r="D74" s="7"/>
      <c r="E74" s="7"/>
      <c r="F74" s="7"/>
      <c r="G74" s="7"/>
      <c r="H74" s="7"/>
      <c r="I74" s="7"/>
      <c r="J74" s="7"/>
      <c r="K74" s="7"/>
    </row>
    <row r="76" spans="1:11" x14ac:dyDescent="0.2">
      <c r="C76" s="2"/>
    </row>
    <row r="77" spans="1:11" x14ac:dyDescent="0.2">
      <c r="A77" t="s">
        <v>17</v>
      </c>
    </row>
    <row r="78" spans="1:11" x14ac:dyDescent="0.2">
      <c r="A78" t="s">
        <v>8</v>
      </c>
      <c r="C78" s="25">
        <v>13750</v>
      </c>
      <c r="E78" t="s">
        <v>20</v>
      </c>
      <c r="F78" s="25">
        <v>326</v>
      </c>
      <c r="I78" t="s">
        <v>0</v>
      </c>
    </row>
    <row r="79" spans="1:11" x14ac:dyDescent="0.2">
      <c r="A79" t="s">
        <v>11</v>
      </c>
      <c r="C79" s="27">
        <v>24</v>
      </c>
      <c r="E79" t="s">
        <v>21</v>
      </c>
      <c r="F79" s="26">
        <v>225</v>
      </c>
      <c r="I79" t="s">
        <v>1</v>
      </c>
    </row>
    <row r="80" spans="1:11" x14ac:dyDescent="0.2">
      <c r="A80" t="s">
        <v>19</v>
      </c>
      <c r="C80" s="29">
        <v>0.7</v>
      </c>
      <c r="E80" t="s">
        <v>22</v>
      </c>
      <c r="F80" s="25">
        <v>246</v>
      </c>
    </row>
    <row r="81" spans="1:11" x14ac:dyDescent="0.2">
      <c r="E81" t="s">
        <v>14</v>
      </c>
      <c r="F81" s="32">
        <f>F78-F79</f>
        <v>101</v>
      </c>
    </row>
    <row r="82" spans="1:11" x14ac:dyDescent="0.2">
      <c r="E82" t="s">
        <v>13</v>
      </c>
      <c r="F82" s="32">
        <f>F78-F80</f>
        <v>80</v>
      </c>
    </row>
    <row r="83" spans="1:11" ht="13.5" thickBot="1" x14ac:dyDescent="0.25"/>
    <row r="84" spans="1:11" ht="14.25" thickTop="1" thickBot="1" x14ac:dyDescent="0.25">
      <c r="A84" s="115" t="s">
        <v>2</v>
      </c>
      <c r="B84" s="117" t="s">
        <v>2</v>
      </c>
      <c r="C84" s="119" t="s">
        <v>9</v>
      </c>
      <c r="D84" s="16" t="s">
        <v>6</v>
      </c>
      <c r="E84" s="24">
        <v>130</v>
      </c>
      <c r="F84" s="28"/>
      <c r="G84" s="16" t="s">
        <v>6</v>
      </c>
      <c r="H84" s="24">
        <v>110</v>
      </c>
      <c r="I84" s="30"/>
      <c r="J84" s="31"/>
      <c r="K84" s="23"/>
    </row>
    <row r="85" spans="1:11" ht="27" thickTop="1" thickBot="1" x14ac:dyDescent="0.25">
      <c r="A85" s="116"/>
      <c r="B85" s="118"/>
      <c r="C85" s="120"/>
      <c r="D85" s="13" t="s">
        <v>5</v>
      </c>
      <c r="E85" s="14" t="s">
        <v>15</v>
      </c>
      <c r="F85" s="14" t="s">
        <v>16</v>
      </c>
      <c r="G85" s="17" t="s">
        <v>5</v>
      </c>
      <c r="H85" s="14" t="s">
        <v>15</v>
      </c>
      <c r="I85" s="14" t="s">
        <v>18</v>
      </c>
      <c r="J85" s="18" t="s">
        <v>16</v>
      </c>
      <c r="K85" s="15" t="s">
        <v>18</v>
      </c>
    </row>
    <row r="86" spans="1:11" ht="14.25" thickTop="1" thickBot="1" x14ac:dyDescent="0.25">
      <c r="A86" s="16" t="s">
        <v>3</v>
      </c>
      <c r="B86" s="19" t="s">
        <v>4</v>
      </c>
      <c r="C86" s="20" t="s">
        <v>10</v>
      </c>
      <c r="D86" s="16" t="s">
        <v>7</v>
      </c>
      <c r="E86" s="19" t="s">
        <v>7</v>
      </c>
      <c r="F86" s="19" t="s">
        <v>7</v>
      </c>
      <c r="G86" s="16" t="s">
        <v>7</v>
      </c>
      <c r="H86" s="19" t="s">
        <v>7</v>
      </c>
      <c r="I86" s="19"/>
      <c r="J86" s="19" t="s">
        <v>7</v>
      </c>
      <c r="K86" s="20"/>
    </row>
    <row r="87" spans="1:11" ht="13.5" thickTop="1" x14ac:dyDescent="0.2">
      <c r="A87" s="6">
        <v>1</v>
      </c>
      <c r="B87" s="21">
        <f>(A87*1000000)/1440</f>
        <v>694.44444444444446</v>
      </c>
      <c r="C87" s="8">
        <f t="shared" ref="C87:C115" si="8">(B87*0.002228)/((PI()*(($C$6/12)^2)/4))</f>
        <v>0.21888716864737212</v>
      </c>
      <c r="D87" s="6">
        <f t="shared" ref="D87:D115" si="9">(((B87)/((0.285)*($E$84)*(($C$79)^2.63)))^(1/0.54))*($C$78)</f>
        <v>0.59332286731660067</v>
      </c>
      <c r="E87" s="7">
        <f t="shared" ref="E87:E115" si="10">D87+$F$81</f>
        <v>101.5933228673166</v>
      </c>
      <c r="F87" s="12">
        <f>D87+$F$81</f>
        <v>101.5933228673166</v>
      </c>
      <c r="G87" s="6">
        <f t="shared" ref="G87:G115" si="11">(((B87)/((0.285)*($H$84)*(($C$79)^2.63)))^(1/0.54))*($C$78)</f>
        <v>0.80843326280499728</v>
      </c>
      <c r="H87" s="7">
        <f t="shared" ref="H87:H115" si="12">G87+$F$81</f>
        <v>101.808433262805</v>
      </c>
      <c r="I87" s="7">
        <f t="shared" ref="I87:I115" si="13">((B87)*(H87))/((3961)*($C$80))</f>
        <v>25.498719975817046</v>
      </c>
      <c r="J87" s="7">
        <f t="shared" ref="J87:J115" si="14">$F$82+G87</f>
        <v>80.808433262804996</v>
      </c>
      <c r="K87" s="8">
        <f t="shared" ref="K87:K115" si="15">((B87)*(J87))/((3961)*($C$80))</f>
        <v>20.239105400373134</v>
      </c>
    </row>
    <row r="88" spans="1:11" x14ac:dyDescent="0.2">
      <c r="A88" s="6">
        <f>A87+0.5</f>
        <v>1.5</v>
      </c>
      <c r="B88" s="21">
        <f t="shared" ref="B88:B115" si="16">(A88*1000000)/1440</f>
        <v>1041.6666666666667</v>
      </c>
      <c r="C88" s="8">
        <f t="shared" si="8"/>
        <v>0.32833075297105818</v>
      </c>
      <c r="D88" s="6">
        <f t="shared" si="9"/>
        <v>1.2571468485888704</v>
      </c>
      <c r="E88" s="7">
        <f t="shared" si="10"/>
        <v>102.25714684858887</v>
      </c>
      <c r="F88" s="7">
        <f t="shared" ref="F88:F115" si="17">D88+$F$82</f>
        <v>81.257146848588874</v>
      </c>
      <c r="G88" s="6">
        <f t="shared" si="11"/>
        <v>1.7129279598242861</v>
      </c>
      <c r="H88" s="7">
        <f t="shared" si="12"/>
        <v>102.71292795982428</v>
      </c>
      <c r="I88" s="7">
        <f t="shared" si="13"/>
        <v>38.587886641715166</v>
      </c>
      <c r="J88" s="7">
        <f t="shared" si="14"/>
        <v>81.712927959824285</v>
      </c>
      <c r="K88" s="8">
        <f t="shared" si="15"/>
        <v>30.698464778549301</v>
      </c>
    </row>
    <row r="89" spans="1:11" x14ac:dyDescent="0.2">
      <c r="A89" s="6">
        <f t="shared" ref="A89:A115" si="18">A88+0.5</f>
        <v>2</v>
      </c>
      <c r="B89" s="21">
        <f t="shared" si="16"/>
        <v>1388.8888888888889</v>
      </c>
      <c r="C89" s="8">
        <f t="shared" si="8"/>
        <v>0.43777433729474424</v>
      </c>
      <c r="D89" s="6">
        <f t="shared" si="9"/>
        <v>2.1416773406291116</v>
      </c>
      <c r="E89" s="7">
        <f t="shared" si="10"/>
        <v>103.14167734062912</v>
      </c>
      <c r="F89" s="7">
        <f t="shared" si="17"/>
        <v>82.141677340629116</v>
      </c>
      <c r="G89" s="6">
        <f t="shared" si="11"/>
        <v>2.9181467557299374</v>
      </c>
      <c r="H89" s="7">
        <f t="shared" si="12"/>
        <v>103.91814675572994</v>
      </c>
      <c r="I89" s="7">
        <f t="shared" si="13"/>
        <v>52.054228507576816</v>
      </c>
      <c r="J89" s="7">
        <f t="shared" si="14"/>
        <v>82.918146755729936</v>
      </c>
      <c r="K89" s="8">
        <f t="shared" si="15"/>
        <v>41.534999356688999</v>
      </c>
    </row>
    <row r="90" spans="1:11" x14ac:dyDescent="0.2">
      <c r="A90" s="6">
        <f t="shared" si="18"/>
        <v>2.5</v>
      </c>
      <c r="B90" s="21">
        <f t="shared" si="16"/>
        <v>1736.1111111111111</v>
      </c>
      <c r="C90" s="8">
        <f t="shared" si="8"/>
        <v>0.5472179216184303</v>
      </c>
      <c r="D90" s="6">
        <f t="shared" si="9"/>
        <v>3.237554059437846</v>
      </c>
      <c r="E90" s="7">
        <f t="shared" si="10"/>
        <v>104.23755405943784</v>
      </c>
      <c r="F90" s="7">
        <f t="shared" si="17"/>
        <v>83.237554059437841</v>
      </c>
      <c r="G90" s="6">
        <f t="shared" si="11"/>
        <v>4.4113357767858794</v>
      </c>
      <c r="H90" s="7">
        <f t="shared" si="12"/>
        <v>105.41133577678588</v>
      </c>
      <c r="I90" s="7">
        <f t="shared" si="13"/>
        <v>66.002737865308958</v>
      </c>
      <c r="J90" s="7">
        <f t="shared" si="14"/>
        <v>84.411335776785876</v>
      </c>
      <c r="K90" s="8">
        <f t="shared" si="15"/>
        <v>52.853701426699175</v>
      </c>
    </row>
    <row r="91" spans="1:11" x14ac:dyDescent="0.2">
      <c r="A91" s="6">
        <f t="shared" si="18"/>
        <v>3</v>
      </c>
      <c r="B91" s="21">
        <f t="shared" si="16"/>
        <v>2083.3333333333335</v>
      </c>
      <c r="C91" s="8">
        <f t="shared" si="8"/>
        <v>0.65666150594211636</v>
      </c>
      <c r="D91" s="6">
        <f t="shared" si="9"/>
        <v>4.537837773964303</v>
      </c>
      <c r="E91" s="7">
        <f t="shared" si="10"/>
        <v>105.5378377739643</v>
      </c>
      <c r="F91" s="7">
        <f t="shared" si="17"/>
        <v>84.537837773964299</v>
      </c>
      <c r="G91" s="6">
        <f t="shared" si="11"/>
        <v>6.1830399598068624</v>
      </c>
      <c r="H91" s="7">
        <f t="shared" si="12"/>
        <v>107.18303995980686</v>
      </c>
      <c r="I91" s="7">
        <f t="shared" si="13"/>
        <v>80.534497030426778</v>
      </c>
      <c r="J91" s="7">
        <f t="shared" si="14"/>
        <v>86.183039959806862</v>
      </c>
      <c r="K91" s="8">
        <f t="shared" si="15"/>
        <v>64.755653304095048</v>
      </c>
    </row>
    <row r="92" spans="1:11" x14ac:dyDescent="0.2">
      <c r="A92" s="6">
        <f t="shared" si="18"/>
        <v>3.5</v>
      </c>
      <c r="B92" s="21">
        <f t="shared" si="16"/>
        <v>2430.5555555555557</v>
      </c>
      <c r="C92" s="8">
        <f t="shared" si="8"/>
        <v>0.76610509026580242</v>
      </c>
      <c r="D92" s="6">
        <f t="shared" si="9"/>
        <v>6.0370462402860703</v>
      </c>
      <c r="E92" s="7">
        <f t="shared" si="10"/>
        <v>107.03704624028607</v>
      </c>
      <c r="F92" s="7">
        <f t="shared" si="17"/>
        <v>86.037046240286074</v>
      </c>
      <c r="G92" s="6">
        <f t="shared" si="11"/>
        <v>8.22578946234146</v>
      </c>
      <c r="H92" s="7">
        <f t="shared" si="12"/>
        <v>109.22578946234145</v>
      </c>
      <c r="I92" s="7">
        <f t="shared" si="13"/>
        <v>95.747592378416527</v>
      </c>
      <c r="J92" s="7">
        <f t="shared" si="14"/>
        <v>88.225789462341453</v>
      </c>
      <c r="K92" s="8">
        <f t="shared" si="15"/>
        <v>77.338941364362839</v>
      </c>
    </row>
    <row r="93" spans="1:11" x14ac:dyDescent="0.2">
      <c r="A93" s="6">
        <f t="shared" si="18"/>
        <v>4</v>
      </c>
      <c r="B93" s="21">
        <f t="shared" si="16"/>
        <v>2777.7777777777778</v>
      </c>
      <c r="C93" s="8">
        <f t="shared" si="8"/>
        <v>0.87554867458948848</v>
      </c>
      <c r="D93" s="6">
        <f t="shared" si="9"/>
        <v>7.7306675404382243</v>
      </c>
      <c r="E93" s="7">
        <f t="shared" si="10"/>
        <v>108.73066754043822</v>
      </c>
      <c r="F93" s="7">
        <f t="shared" si="17"/>
        <v>87.730667540438219</v>
      </c>
      <c r="G93" s="6">
        <f t="shared" si="11"/>
        <v>10.533436561517634</v>
      </c>
      <c r="H93" s="7">
        <f t="shared" si="12"/>
        <v>111.53343656151763</v>
      </c>
      <c r="I93" s="7">
        <f t="shared" si="13"/>
        <v>111.73769306443944</v>
      </c>
      <c r="J93" s="7">
        <f t="shared" si="14"/>
        <v>90.533436561517632</v>
      </c>
      <c r="K93" s="8">
        <f t="shared" si="15"/>
        <v>90.699234762663792</v>
      </c>
    </row>
    <row r="94" spans="1:11" x14ac:dyDescent="0.2">
      <c r="A94" s="6">
        <f t="shared" si="18"/>
        <v>4.5</v>
      </c>
      <c r="B94" s="21">
        <f t="shared" si="16"/>
        <v>3125</v>
      </c>
      <c r="C94" s="8">
        <f t="shared" si="8"/>
        <v>0.98499225891317443</v>
      </c>
      <c r="D94" s="6">
        <f t="shared" si="9"/>
        <v>9.6148804827754422</v>
      </c>
      <c r="E94" s="7">
        <f t="shared" si="10"/>
        <v>110.61488048277545</v>
      </c>
      <c r="F94" s="7">
        <f t="shared" si="17"/>
        <v>89.614880482775447</v>
      </c>
      <c r="G94" s="6">
        <f t="shared" si="11"/>
        <v>13.100774684995454</v>
      </c>
      <c r="H94" s="7">
        <f t="shared" si="12"/>
        <v>114.10077468499546</v>
      </c>
      <c r="I94" s="7">
        <f t="shared" si="13"/>
        <v>128.5984494862808</v>
      </c>
      <c r="J94" s="7">
        <f t="shared" si="14"/>
        <v>93.100774684995457</v>
      </c>
      <c r="K94" s="8">
        <f t="shared" si="15"/>
        <v>104.93018389678321</v>
      </c>
    </row>
    <row r="95" spans="1:11" x14ac:dyDescent="0.2">
      <c r="A95" s="6">
        <f t="shared" si="18"/>
        <v>5</v>
      </c>
      <c r="B95" s="21">
        <f t="shared" si="16"/>
        <v>3472.2222222222222</v>
      </c>
      <c r="C95" s="8">
        <f t="shared" si="8"/>
        <v>1.0944358432368606</v>
      </c>
      <c r="D95" s="6">
        <f t="shared" si="9"/>
        <v>11.68637945730805</v>
      </c>
      <c r="E95" s="7">
        <f t="shared" si="10"/>
        <v>112.68637945730805</v>
      </c>
      <c r="F95" s="7">
        <f t="shared" si="17"/>
        <v>91.68637945730805</v>
      </c>
      <c r="G95" s="6">
        <f t="shared" si="11"/>
        <v>15.923299767253891</v>
      </c>
      <c r="H95" s="7">
        <f t="shared" si="12"/>
        <v>116.92329976725389</v>
      </c>
      <c r="I95" s="7">
        <f t="shared" si="13"/>
        <v>146.42178372972532</v>
      </c>
      <c r="J95" s="7">
        <f t="shared" si="14"/>
        <v>95.923299767253894</v>
      </c>
      <c r="K95" s="8">
        <f t="shared" si="15"/>
        <v>120.12371085250575</v>
      </c>
    </row>
    <row r="96" spans="1:11" x14ac:dyDescent="0.2">
      <c r="A96" s="6">
        <f t="shared" si="18"/>
        <v>5.5</v>
      </c>
      <c r="B96" s="21">
        <f t="shared" si="16"/>
        <v>3819.4444444444443</v>
      </c>
      <c r="C96" s="8">
        <f t="shared" si="8"/>
        <v>1.2038794275605464</v>
      </c>
      <c r="D96" s="6">
        <f t="shared" si="9"/>
        <v>13.942257659110954</v>
      </c>
      <c r="E96" s="7">
        <f t="shared" si="10"/>
        <v>114.94225765911095</v>
      </c>
      <c r="F96" s="7">
        <f t="shared" si="17"/>
        <v>93.94225765911095</v>
      </c>
      <c r="G96" s="6">
        <f t="shared" si="11"/>
        <v>18.997051135412502</v>
      </c>
      <c r="H96" s="7">
        <f t="shared" si="12"/>
        <v>119.99705113541251</v>
      </c>
      <c r="I96" s="7">
        <f t="shared" si="13"/>
        <v>165.29811025674152</v>
      </c>
      <c r="J96" s="7">
        <f t="shared" si="14"/>
        <v>98.997051135412505</v>
      </c>
      <c r="K96" s="8">
        <f t="shared" si="15"/>
        <v>136.37023009180001</v>
      </c>
    </row>
    <row r="97" spans="1:11" x14ac:dyDescent="0.2">
      <c r="A97" s="6">
        <f t="shared" si="18"/>
        <v>6</v>
      </c>
      <c r="B97" s="21">
        <f t="shared" si="16"/>
        <v>4166.666666666667</v>
      </c>
      <c r="C97" s="8">
        <f t="shared" si="8"/>
        <v>1.3133230118842327</v>
      </c>
      <c r="D97" s="6">
        <f t="shared" si="9"/>
        <v>16.379925452568628</v>
      </c>
      <c r="E97" s="7">
        <f t="shared" si="10"/>
        <v>117.37992545256863</v>
      </c>
      <c r="F97" s="7">
        <f t="shared" si="17"/>
        <v>96.379925452568628</v>
      </c>
      <c r="G97" s="6">
        <f t="shared" si="11"/>
        <v>22.318500276269674</v>
      </c>
      <c r="H97" s="7">
        <f t="shared" si="12"/>
        <v>123.31850027626967</v>
      </c>
      <c r="I97" s="7">
        <f t="shared" si="13"/>
        <v>185.31650899284347</v>
      </c>
      <c r="J97" s="7">
        <f t="shared" si="14"/>
        <v>102.31850027626967</v>
      </c>
      <c r="K97" s="8">
        <f t="shared" si="15"/>
        <v>153.75882154017998</v>
      </c>
    </row>
    <row r="98" spans="1:11" x14ac:dyDescent="0.2">
      <c r="A98" s="6">
        <f t="shared" si="18"/>
        <v>6.5</v>
      </c>
      <c r="B98" s="21">
        <f t="shared" si="16"/>
        <v>4513.8888888888887</v>
      </c>
      <c r="C98" s="8">
        <f t="shared" si="8"/>
        <v>1.4227665962079186</v>
      </c>
      <c r="D98" s="6">
        <f t="shared" si="9"/>
        <v>18.997051135412502</v>
      </c>
      <c r="E98" s="7">
        <f t="shared" si="10"/>
        <v>119.99705113541251</v>
      </c>
      <c r="F98" s="7">
        <f t="shared" si="17"/>
        <v>98.997051135412505</v>
      </c>
      <c r="G98" s="6">
        <f t="shared" si="11"/>
        <v>25.884470124223053</v>
      </c>
      <c r="H98" s="7">
        <f t="shared" si="12"/>
        <v>126.88447012422306</v>
      </c>
      <c r="I98" s="7">
        <f t="shared" si="13"/>
        <v>206.56486452421271</v>
      </c>
      <c r="J98" s="7">
        <f t="shared" si="14"/>
        <v>105.88447012422306</v>
      </c>
      <c r="K98" s="8">
        <f t="shared" si="15"/>
        <v>172.37736978382731</v>
      </c>
    </row>
    <row r="99" spans="1:11" x14ac:dyDescent="0.2">
      <c r="A99" s="6">
        <f t="shared" si="18"/>
        <v>7</v>
      </c>
      <c r="B99" s="21">
        <f t="shared" si="16"/>
        <v>4861.1111111111113</v>
      </c>
      <c r="C99" s="8">
        <f t="shared" si="8"/>
        <v>1.5322101805316048</v>
      </c>
      <c r="D99" s="6">
        <f t="shared" si="9"/>
        <v>21.791516641902227</v>
      </c>
      <c r="E99" s="7">
        <f t="shared" si="10"/>
        <v>122.79151664190223</v>
      </c>
      <c r="F99" s="7">
        <f t="shared" si="17"/>
        <v>101.79151664190223</v>
      </c>
      <c r="G99" s="6">
        <f t="shared" si="11"/>
        <v>29.692074704550166</v>
      </c>
      <c r="H99" s="7">
        <f t="shared" si="12"/>
        <v>130.69207470455018</v>
      </c>
      <c r="I99" s="7">
        <f t="shared" si="13"/>
        <v>229.12998033701891</v>
      </c>
      <c r="J99" s="7">
        <f t="shared" si="14"/>
        <v>109.69207470455017</v>
      </c>
      <c r="K99" s="8">
        <f t="shared" si="15"/>
        <v>192.31267830891147</v>
      </c>
    </row>
    <row r="100" spans="1:11" x14ac:dyDescent="0.2">
      <c r="A100" s="6">
        <f t="shared" si="18"/>
        <v>7.5</v>
      </c>
      <c r="B100" s="21">
        <f t="shared" si="16"/>
        <v>5208.333333333333</v>
      </c>
      <c r="C100" s="8">
        <f t="shared" si="8"/>
        <v>1.6416537648552907</v>
      </c>
      <c r="D100" s="6">
        <f t="shared" si="9"/>
        <v>24.761383582960814</v>
      </c>
      <c r="E100" s="7">
        <f t="shared" si="10"/>
        <v>125.76138358296082</v>
      </c>
      <c r="F100" s="7">
        <f t="shared" si="17"/>
        <v>104.76138358296082</v>
      </c>
      <c r="G100" s="6">
        <f t="shared" si="11"/>
        <v>33.738672861326641</v>
      </c>
      <c r="H100" s="7">
        <f t="shared" si="12"/>
        <v>134.73867286132665</v>
      </c>
      <c r="I100" s="7">
        <f t="shared" si="13"/>
        <v>253.09767416335808</v>
      </c>
      <c r="J100" s="7">
        <f t="shared" si="14"/>
        <v>113.73867286132665</v>
      </c>
      <c r="K100" s="8">
        <f t="shared" si="15"/>
        <v>213.65056484752876</v>
      </c>
    </row>
    <row r="101" spans="1:11" x14ac:dyDescent="0.2">
      <c r="A101" s="6">
        <f t="shared" si="18"/>
        <v>8</v>
      </c>
      <c r="B101" s="21">
        <f t="shared" si="16"/>
        <v>5555.5555555555557</v>
      </c>
      <c r="C101" s="8">
        <f t="shared" si="8"/>
        <v>1.751097349178977</v>
      </c>
      <c r="D101" s="6">
        <f t="shared" si="9"/>
        <v>27.90486666083412</v>
      </c>
      <c r="E101" s="7">
        <f t="shared" si="10"/>
        <v>128.90486666083413</v>
      </c>
      <c r="F101" s="7">
        <f t="shared" si="17"/>
        <v>107.90486666083412</v>
      </c>
      <c r="G101" s="6">
        <f t="shared" si="11"/>
        <v>38.021832033517065</v>
      </c>
      <c r="H101" s="7">
        <f t="shared" si="12"/>
        <v>139.02183203351706</v>
      </c>
      <c r="I101" s="7">
        <f t="shared" si="13"/>
        <v>278.55285869272444</v>
      </c>
      <c r="J101" s="7">
        <f t="shared" si="14"/>
        <v>118.02183203351706</v>
      </c>
      <c r="K101" s="8">
        <f t="shared" si="15"/>
        <v>236.47594208917315</v>
      </c>
    </row>
    <row r="102" spans="1:11" x14ac:dyDescent="0.2">
      <c r="A102" s="6">
        <f t="shared" si="18"/>
        <v>8.5</v>
      </c>
      <c r="B102" s="21">
        <f t="shared" si="16"/>
        <v>5902.7777777777774</v>
      </c>
      <c r="C102" s="8">
        <f t="shared" si="8"/>
        <v>1.8605409335026626</v>
      </c>
      <c r="D102" s="6">
        <f t="shared" si="9"/>
        <v>31.220312482388824</v>
      </c>
      <c r="E102" s="7">
        <f t="shared" si="10"/>
        <v>132.22031248238883</v>
      </c>
      <c r="F102" s="7">
        <f t="shared" si="17"/>
        <v>111.22031248238882</v>
      </c>
      <c r="G102" s="6">
        <f t="shared" si="11"/>
        <v>42.539299386991658</v>
      </c>
      <c r="H102" s="7">
        <f t="shared" si="12"/>
        <v>143.53929938699167</v>
      </c>
      <c r="I102" s="7">
        <f t="shared" si="13"/>
        <v>305.57961072576398</v>
      </c>
      <c r="J102" s="7">
        <f t="shared" si="14"/>
        <v>122.53929938699166</v>
      </c>
      <c r="K102" s="8">
        <f t="shared" si="15"/>
        <v>260.87288683449071</v>
      </c>
    </row>
    <row r="103" spans="1:11" x14ac:dyDescent="0.2">
      <c r="A103" s="6">
        <f t="shared" si="18"/>
        <v>9</v>
      </c>
      <c r="B103" s="21">
        <f t="shared" si="16"/>
        <v>6250</v>
      </c>
      <c r="C103" s="8">
        <f t="shared" si="8"/>
        <v>1.9699845178263489</v>
      </c>
      <c r="D103" s="6">
        <f t="shared" si="9"/>
        <v>34.706182412870398</v>
      </c>
      <c r="E103" s="7">
        <f t="shared" si="10"/>
        <v>135.70618241287039</v>
      </c>
      <c r="F103" s="7">
        <f t="shared" si="17"/>
        <v>114.70618241287039</v>
      </c>
      <c r="G103" s="6">
        <f t="shared" si="11"/>
        <v>47.288978451879728</v>
      </c>
      <c r="H103" s="7">
        <f t="shared" si="12"/>
        <v>148.28897845187973</v>
      </c>
      <c r="I103" s="7">
        <f t="shared" si="13"/>
        <v>334.26123104708347</v>
      </c>
      <c r="J103" s="7">
        <f t="shared" si="14"/>
        <v>127.28897845187973</v>
      </c>
      <c r="K103" s="8">
        <f t="shared" si="15"/>
        <v>286.92469986808828</v>
      </c>
    </row>
    <row r="104" spans="1:11" x14ac:dyDescent="0.2">
      <c r="A104" s="6">
        <f t="shared" si="18"/>
        <v>9.5</v>
      </c>
      <c r="B104" s="21">
        <f t="shared" si="16"/>
        <v>6597.2222222222226</v>
      </c>
      <c r="C104" s="8">
        <f t="shared" si="8"/>
        <v>2.0794281021500352</v>
      </c>
      <c r="D104" s="6">
        <f t="shared" si="9"/>
        <v>38.361038512063786</v>
      </c>
      <c r="E104" s="7">
        <f t="shared" si="10"/>
        <v>139.36103851206377</v>
      </c>
      <c r="F104" s="7">
        <f t="shared" si="17"/>
        <v>118.36103851206379</v>
      </c>
      <c r="G104" s="6">
        <f t="shared" si="11"/>
        <v>52.268909959857567</v>
      </c>
      <c r="H104" s="7">
        <f t="shared" si="12"/>
        <v>153.26890995985758</v>
      </c>
      <c r="I104" s="7">
        <f t="shared" si="13"/>
        <v>364.68029673709725</v>
      </c>
      <c r="J104" s="7">
        <f t="shared" si="14"/>
        <v>132.26890995985758</v>
      </c>
      <c r="K104" s="8">
        <f t="shared" si="15"/>
        <v>314.71395827038003</v>
      </c>
    </row>
    <row r="105" spans="1:11" x14ac:dyDescent="0.2">
      <c r="A105" s="6">
        <f t="shared" si="18"/>
        <v>10</v>
      </c>
      <c r="B105" s="21">
        <f t="shared" si="16"/>
        <v>6944.4444444444443</v>
      </c>
      <c r="C105" s="8">
        <f t="shared" si="8"/>
        <v>2.1888716864737212</v>
      </c>
      <c r="D105" s="6">
        <f t="shared" si="9"/>
        <v>42.183531861674943</v>
      </c>
      <c r="E105" s="7">
        <f t="shared" si="10"/>
        <v>143.18353186167494</v>
      </c>
      <c r="F105" s="7">
        <f t="shared" si="17"/>
        <v>122.18353186167494</v>
      </c>
      <c r="G105" s="6">
        <f t="shared" si="11"/>
        <v>57.477255939598059</v>
      </c>
      <c r="H105" s="7">
        <f t="shared" si="12"/>
        <v>158.47725593959805</v>
      </c>
      <c r="I105" s="7">
        <f t="shared" si="13"/>
        <v>396.91870724584055</v>
      </c>
      <c r="J105" s="7">
        <f t="shared" si="14"/>
        <v>137.47725593959805</v>
      </c>
      <c r="K105" s="8">
        <f t="shared" si="15"/>
        <v>344.32256149140142</v>
      </c>
    </row>
    <row r="106" spans="1:11" x14ac:dyDescent="0.2">
      <c r="A106" s="6">
        <f t="shared" si="18"/>
        <v>10.5</v>
      </c>
      <c r="B106" s="21">
        <f t="shared" si="16"/>
        <v>7291.666666666667</v>
      </c>
      <c r="C106" s="8">
        <f t="shared" si="8"/>
        <v>2.2983152707974073</v>
      </c>
      <c r="D106" s="6">
        <f t="shared" si="9"/>
        <v>46.172392775350538</v>
      </c>
      <c r="E106" s="7">
        <f t="shared" si="10"/>
        <v>147.17239277535054</v>
      </c>
      <c r="F106" s="7">
        <f t="shared" si="17"/>
        <v>126.17239277535054</v>
      </c>
      <c r="G106" s="6">
        <f t="shared" si="11"/>
        <v>62.912286377414212</v>
      </c>
      <c r="H106" s="7">
        <f t="shared" si="12"/>
        <v>163.9122863774142</v>
      </c>
      <c r="I106" s="7">
        <f t="shared" si="13"/>
        <v>431.05772526249217</v>
      </c>
      <c r="J106" s="7">
        <f t="shared" si="14"/>
        <v>142.9122863774142</v>
      </c>
      <c r="K106" s="8">
        <f t="shared" si="15"/>
        <v>375.83177222033106</v>
      </c>
    </row>
    <row r="107" spans="1:11" x14ac:dyDescent="0.2">
      <c r="A107" s="6">
        <f t="shared" si="18"/>
        <v>11</v>
      </c>
      <c r="B107" s="21">
        <f t="shared" si="16"/>
        <v>7638.8888888888887</v>
      </c>
      <c r="C107" s="8">
        <f t="shared" si="8"/>
        <v>2.4077588551210929</v>
      </c>
      <c r="D107" s="6">
        <f t="shared" si="9"/>
        <v>50.326422510523606</v>
      </c>
      <c r="E107" s="7">
        <f t="shared" si="10"/>
        <v>151.3264225105236</v>
      </c>
      <c r="F107" s="7">
        <f t="shared" si="17"/>
        <v>130.3264225105236</v>
      </c>
      <c r="G107" s="6">
        <f t="shared" si="11"/>
        <v>68.572367924217289</v>
      </c>
      <c r="H107" s="7">
        <f t="shared" si="12"/>
        <v>169.5723679242173</v>
      </c>
      <c r="I107" s="7">
        <f t="shared" si="13"/>
        <v>467.17801319972665</v>
      </c>
      <c r="J107" s="7">
        <f t="shared" si="14"/>
        <v>148.5723679242173</v>
      </c>
      <c r="K107" s="8">
        <f t="shared" si="15"/>
        <v>409.32225286984368</v>
      </c>
    </row>
    <row r="108" spans="1:11" x14ac:dyDescent="0.2">
      <c r="A108" s="6">
        <f t="shared" si="18"/>
        <v>11.5</v>
      </c>
      <c r="B108" s="21">
        <f t="shared" si="16"/>
        <v>7986.1111111111113</v>
      </c>
      <c r="C108" s="8">
        <f t="shared" si="8"/>
        <v>2.5172024394447789</v>
      </c>
      <c r="D108" s="6">
        <f t="shared" si="9"/>
        <v>54.644486192473543</v>
      </c>
      <c r="E108" s="7">
        <f t="shared" si="10"/>
        <v>155.64448619247355</v>
      </c>
      <c r="F108" s="7">
        <f t="shared" si="17"/>
        <v>134.64448619247355</v>
      </c>
      <c r="G108" s="6">
        <f t="shared" si="11"/>
        <v>74.455954254180469</v>
      </c>
      <c r="H108" s="7">
        <f t="shared" si="12"/>
        <v>175.45595425418048</v>
      </c>
      <c r="I108" s="7">
        <f t="shared" si="13"/>
        <v>505.35966595012576</v>
      </c>
      <c r="J108" s="7">
        <f t="shared" si="14"/>
        <v>154.45595425418048</v>
      </c>
      <c r="K108" s="8">
        <f t="shared" si="15"/>
        <v>444.87409833252082</v>
      </c>
    </row>
    <row r="109" spans="1:11" x14ac:dyDescent="0.2">
      <c r="A109" s="6">
        <f t="shared" si="18"/>
        <v>12</v>
      </c>
      <c r="B109" s="21">
        <f t="shared" si="16"/>
        <v>8333.3333333333339</v>
      </c>
      <c r="C109" s="8">
        <f t="shared" si="8"/>
        <v>2.6266460237684655</v>
      </c>
      <c r="D109" s="6">
        <f t="shared" si="9"/>
        <v>59.125506727252173</v>
      </c>
      <c r="E109" s="7">
        <f t="shared" si="10"/>
        <v>160.12550672725217</v>
      </c>
      <c r="F109" s="7">
        <f t="shared" si="17"/>
        <v>139.12550672725217</v>
      </c>
      <c r="G109" s="6">
        <f t="shared" si="11"/>
        <v>80.561577770784751</v>
      </c>
      <c r="H109" s="7">
        <f t="shared" si="12"/>
        <v>181.56157777078477</v>
      </c>
      <c r="I109" s="7">
        <f t="shared" si="13"/>
        <v>545.68224044789315</v>
      </c>
      <c r="J109" s="7">
        <f t="shared" si="14"/>
        <v>160.56157777078477</v>
      </c>
      <c r="K109" s="8">
        <f t="shared" si="15"/>
        <v>482.56686554256618</v>
      </c>
    </row>
    <row r="110" spans="1:11" x14ac:dyDescent="0.2">
      <c r="A110" s="6">
        <f t="shared" si="18"/>
        <v>12.5</v>
      </c>
      <c r="B110" s="21">
        <f t="shared" si="16"/>
        <v>8680.5555555555547</v>
      </c>
      <c r="C110" s="8">
        <f t="shared" si="8"/>
        <v>2.7360896080921511</v>
      </c>
      <c r="D110" s="6">
        <f t="shared" si="9"/>
        <v>63.76845952905029</v>
      </c>
      <c r="E110" s="7">
        <f t="shared" si="10"/>
        <v>164.76845952905029</v>
      </c>
      <c r="F110" s="7">
        <f t="shared" si="17"/>
        <v>143.76845952905029</v>
      </c>
      <c r="G110" s="6">
        <f t="shared" si="11"/>
        <v>86.887842422580604</v>
      </c>
      <c r="H110" s="7">
        <f t="shared" si="12"/>
        <v>187.8878424225806</v>
      </c>
      <c r="I110" s="7">
        <f t="shared" si="13"/>
        <v>588.22478247292486</v>
      </c>
      <c r="J110" s="7">
        <f t="shared" si="14"/>
        <v>166.8878424225806</v>
      </c>
      <c r="K110" s="8">
        <f t="shared" si="15"/>
        <v>522.47960027987597</v>
      </c>
    </row>
    <row r="111" spans="1:11" x14ac:dyDescent="0.2">
      <c r="A111" s="6">
        <f t="shared" si="18"/>
        <v>13</v>
      </c>
      <c r="B111" s="21">
        <f t="shared" si="16"/>
        <v>9027.7777777777774</v>
      </c>
      <c r="C111" s="8">
        <f t="shared" si="8"/>
        <v>2.8455331924158371</v>
      </c>
      <c r="D111" s="6">
        <f t="shared" si="9"/>
        <v>68.572367924217232</v>
      </c>
      <c r="E111" s="7">
        <f t="shared" si="10"/>
        <v>169.57236792421725</v>
      </c>
      <c r="F111" s="7">
        <f t="shared" si="17"/>
        <v>148.57236792421725</v>
      </c>
      <c r="G111" s="6">
        <f t="shared" si="11"/>
        <v>93.433417440927045</v>
      </c>
      <c r="H111" s="7">
        <f t="shared" si="12"/>
        <v>194.43341744092703</v>
      </c>
      <c r="I111" s="7">
        <f t="shared" si="13"/>
        <v>633.06585105874819</v>
      </c>
      <c r="J111" s="7">
        <f t="shared" si="14"/>
        <v>173.43341744092703</v>
      </c>
      <c r="K111" s="8">
        <f t="shared" si="15"/>
        <v>564.69086157797744</v>
      </c>
    </row>
    <row r="112" spans="1:11" x14ac:dyDescent="0.2">
      <c r="A112" s="6">
        <f t="shared" si="18"/>
        <v>13.5</v>
      </c>
      <c r="B112" s="21">
        <f t="shared" si="16"/>
        <v>9375</v>
      </c>
      <c r="C112" s="8">
        <f t="shared" si="8"/>
        <v>2.9549767767395236</v>
      </c>
      <c r="D112" s="6">
        <f t="shared" si="9"/>
        <v>73.53629912195656</v>
      </c>
      <c r="E112" s="7">
        <f t="shared" si="10"/>
        <v>174.53629912195657</v>
      </c>
      <c r="F112" s="7">
        <f t="shared" si="17"/>
        <v>153.53629912195657</v>
      </c>
      <c r="G112" s="6">
        <f t="shared" si="11"/>
        <v>100.19703184985309</v>
      </c>
      <c r="H112" s="7">
        <f t="shared" si="12"/>
        <v>201.19703184985309</v>
      </c>
      <c r="I112" s="7">
        <f t="shared" si="13"/>
        <v>680.28354080584734</v>
      </c>
      <c r="J112" s="7">
        <f t="shared" si="14"/>
        <v>180.19703184985309</v>
      </c>
      <c r="K112" s="8">
        <f t="shared" si="15"/>
        <v>609.2787440373545</v>
      </c>
    </row>
    <row r="113" spans="1:11" x14ac:dyDescent="0.2">
      <c r="A113" s="6">
        <f t="shared" si="18"/>
        <v>14</v>
      </c>
      <c r="B113" s="21">
        <f t="shared" si="16"/>
        <v>9722.2222222222226</v>
      </c>
      <c r="C113" s="8">
        <f t="shared" si="8"/>
        <v>3.0644203610632097</v>
      </c>
      <c r="D113" s="6">
        <f t="shared" si="9"/>
        <v>78.659360663071396</v>
      </c>
      <c r="E113" s="7">
        <f t="shared" si="10"/>
        <v>179.6593606630714</v>
      </c>
      <c r="F113" s="7">
        <f t="shared" si="17"/>
        <v>158.6593606630714</v>
      </c>
      <c r="G113" s="6">
        <f t="shared" si="11"/>
        <v>107.17746962729048</v>
      </c>
      <c r="H113" s="7">
        <f t="shared" si="12"/>
        <v>208.17746962729046</v>
      </c>
      <c r="I113" s="7">
        <f t="shared" si="13"/>
        <v>729.9555023538195</v>
      </c>
      <c r="J113" s="7">
        <f t="shared" si="14"/>
        <v>187.17746962729046</v>
      </c>
      <c r="K113" s="8">
        <f t="shared" si="15"/>
        <v>656.32089829760469</v>
      </c>
    </row>
    <row r="114" spans="1:11" x14ac:dyDescent="0.2">
      <c r="A114" s="6">
        <f t="shared" si="18"/>
        <v>14.5</v>
      </c>
      <c r="B114" s="21">
        <f t="shared" si="16"/>
        <v>10069.444444444445</v>
      </c>
      <c r="C114" s="8">
        <f t="shared" si="8"/>
        <v>3.1738639453868958</v>
      </c>
      <c r="D114" s="6">
        <f t="shared" si="9"/>
        <v>83.940697274719938</v>
      </c>
      <c r="E114" s="7">
        <f t="shared" si="10"/>
        <v>184.94069727471992</v>
      </c>
      <c r="F114" s="7">
        <f t="shared" si="17"/>
        <v>163.94069727471992</v>
      </c>
      <c r="G114" s="6">
        <f t="shared" si="11"/>
        <v>114.37356541951321</v>
      </c>
      <c r="H114" s="7">
        <f t="shared" si="12"/>
        <v>215.37356541951323</v>
      </c>
      <c r="I114" s="7">
        <f t="shared" si="13"/>
        <v>782.15896122685831</v>
      </c>
      <c r="J114" s="7">
        <f t="shared" si="14"/>
        <v>194.37356541951323</v>
      </c>
      <c r="K114" s="8">
        <f t="shared" si="15"/>
        <v>705.89454988292152</v>
      </c>
    </row>
    <row r="115" spans="1:11" ht="13.5" thickBot="1" x14ac:dyDescent="0.25">
      <c r="A115" s="9">
        <f t="shared" si="18"/>
        <v>15</v>
      </c>
      <c r="B115" s="22">
        <f t="shared" si="16"/>
        <v>10416.666666666666</v>
      </c>
      <c r="C115" s="11">
        <f t="shared" si="8"/>
        <v>3.2833075297105814</v>
      </c>
      <c r="D115" s="9">
        <f t="shared" si="9"/>
        <v>89.379488072141342</v>
      </c>
      <c r="E115" s="10">
        <f t="shared" si="10"/>
        <v>190.37948807214133</v>
      </c>
      <c r="F115" s="10">
        <f t="shared" si="17"/>
        <v>169.37948807214133</v>
      </c>
      <c r="G115" s="9">
        <f t="shared" si="11"/>
        <v>121.7842007283441</v>
      </c>
      <c r="H115" s="10">
        <f t="shared" si="12"/>
        <v>222.7842007283441</v>
      </c>
      <c r="I115" s="10">
        <f t="shared" si="13"/>
        <v>836.97073523530059</v>
      </c>
      <c r="J115" s="10">
        <f t="shared" si="14"/>
        <v>201.7842007283441</v>
      </c>
      <c r="K115" s="11">
        <f t="shared" si="15"/>
        <v>758.07651660364195</v>
      </c>
    </row>
    <row r="116" spans="1:11" ht="13.5" thickTop="1" x14ac:dyDescent="0.2"/>
  </sheetData>
  <mergeCells count="7">
    <mergeCell ref="A84:A85"/>
    <mergeCell ref="B84:B85"/>
    <mergeCell ref="C84:C85"/>
    <mergeCell ref="A2:G2"/>
    <mergeCell ref="C18:C19"/>
    <mergeCell ref="B18:B19"/>
    <mergeCell ref="A18:A19"/>
  </mergeCells>
  <phoneticPr fontId="2" type="noConversion"/>
  <pageMargins left="0.75" right="0.75" top="1" bottom="1" header="0.5" footer="0.5"/>
  <pageSetup scale="68" orientation="landscape" horizontalDpi="4294967293" verticalDpi="1200" r:id="rId1"/>
  <headerFooter alignWithMargins="0">
    <oddFooter>&amp;L&amp;T&amp;D&amp;RPage &amp;P of &amp;N</oddFooter>
  </headerFooter>
  <rowBreaks count="1" manualBreakCount="1">
    <brk id="72" max="12" man="1"/>
  </rowBreaks>
  <colBreaks count="1" manualBreakCount="1">
    <brk id="11" max="4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Calcs'!$A$27</f>
        <v>7</v>
      </c>
      <c r="E3" s="53">
        <f t="shared" ref="E3:E18" si="0">D3*1000000/(7.48*24*60*60)</f>
        <v>10.831352743117449</v>
      </c>
      <c r="F3" s="38">
        <f>'Headloss Calcs'!$E$18</f>
        <v>140</v>
      </c>
      <c r="G3" s="53">
        <f t="shared" ref="G3:G18" si="1">3.1416/4*(B3/12)^2</f>
        <v>7.0686</v>
      </c>
      <c r="H3" s="53">
        <f t="shared" ref="H3:H18" si="2">3.1416*(B3/12)</f>
        <v>9.4247999999999994</v>
      </c>
      <c r="I3" s="53">
        <f t="shared" ref="I3:I18" si="3">G3/H3</f>
        <v>0.75</v>
      </c>
      <c r="J3" s="53">
        <f t="shared" ref="J3:J18" si="4">E3/G3</f>
        <v>1.5323193762721683</v>
      </c>
      <c r="K3" s="53">
        <f t="shared" ref="K3:K18" si="5">(J3/(1.318*F3*I3^0.63))^1.85*A3</f>
        <v>0</v>
      </c>
      <c r="L3" s="53">
        <v>0.25</v>
      </c>
      <c r="M3" s="58">
        <f t="shared" ref="M3:M18" si="6">L3*(J3^2)/(2*32.2)</f>
        <v>9.1149172006953685E-3</v>
      </c>
      <c r="N3" s="58">
        <f t="shared" ref="N3:N18" si="7">K3+M3</f>
        <v>9.1149172006953685E-3</v>
      </c>
      <c r="O3" s="59">
        <f>N3</f>
        <v>9.1149172006953685E-3</v>
      </c>
    </row>
    <row r="4" spans="1:15" x14ac:dyDescent="0.2">
      <c r="A4" s="37"/>
      <c r="B4" s="55">
        <v>36</v>
      </c>
      <c r="C4" s="56" t="s">
        <v>47</v>
      </c>
      <c r="D4" s="57">
        <f>'Headloss Calcs'!$A$27</f>
        <v>7</v>
      </c>
      <c r="E4" s="53">
        <f t="shared" si="0"/>
        <v>10.831352743117449</v>
      </c>
      <c r="F4" s="38">
        <f>'Headloss Calcs'!$E$18</f>
        <v>140</v>
      </c>
      <c r="G4" s="53">
        <f t="shared" si="1"/>
        <v>7.0686</v>
      </c>
      <c r="H4" s="53">
        <f t="shared" si="2"/>
        <v>9.4247999999999994</v>
      </c>
      <c r="I4" s="53">
        <f t="shared" si="3"/>
        <v>0.75</v>
      </c>
      <c r="J4" s="53">
        <f t="shared" si="4"/>
        <v>1.5323193762721683</v>
      </c>
      <c r="K4" s="53">
        <f t="shared" si="5"/>
        <v>0</v>
      </c>
      <c r="L4" s="53">
        <v>0.25</v>
      </c>
      <c r="M4" s="58">
        <f t="shared" si="6"/>
        <v>9.1149172006953685E-3</v>
      </c>
      <c r="N4" s="58">
        <f t="shared" si="7"/>
        <v>9.1149172006953685E-3</v>
      </c>
      <c r="O4" s="59">
        <f t="shared" ref="O4:O18" si="8">N4+O3</f>
        <v>1.8229834401390737E-2</v>
      </c>
    </row>
    <row r="5" spans="1:15" x14ac:dyDescent="0.2">
      <c r="A5" s="37">
        <v>1320</v>
      </c>
      <c r="B5" s="55">
        <v>36</v>
      </c>
      <c r="C5" s="56" t="s">
        <v>23</v>
      </c>
      <c r="D5" s="57">
        <f>'Headloss Calcs'!$A$27</f>
        <v>7</v>
      </c>
      <c r="E5" s="53">
        <f t="shared" si="0"/>
        <v>10.831352743117449</v>
      </c>
      <c r="F5" s="38">
        <f>'Headloss Calcs'!$E$18</f>
        <v>140</v>
      </c>
      <c r="G5" s="53">
        <f t="shared" si="1"/>
        <v>7.0686</v>
      </c>
      <c r="H5" s="53">
        <f t="shared" si="2"/>
        <v>9.4247999999999994</v>
      </c>
      <c r="I5" s="53">
        <f t="shared" si="3"/>
        <v>0.75</v>
      </c>
      <c r="J5" s="53">
        <f t="shared" si="4"/>
        <v>1.5323193762721683</v>
      </c>
      <c r="K5" s="53">
        <f t="shared" si="5"/>
        <v>0.26115951075259619</v>
      </c>
      <c r="L5" s="53"/>
      <c r="M5" s="58">
        <f t="shared" si="6"/>
        <v>0</v>
      </c>
      <c r="N5" s="58">
        <f t="shared" si="7"/>
        <v>0.26115951075259619</v>
      </c>
      <c r="O5" s="59">
        <f t="shared" si="8"/>
        <v>0.27938934515398695</v>
      </c>
    </row>
    <row r="6" spans="1:15" x14ac:dyDescent="0.2">
      <c r="A6" s="37"/>
      <c r="B6" s="55">
        <v>36</v>
      </c>
      <c r="C6" s="56" t="s">
        <v>45</v>
      </c>
      <c r="D6" s="57">
        <f>'Headloss Calcs'!$A$27</f>
        <v>7</v>
      </c>
      <c r="E6" s="53">
        <f t="shared" si="0"/>
        <v>10.831352743117449</v>
      </c>
      <c r="F6" s="38">
        <f>'Headloss Calcs'!$E$18</f>
        <v>140</v>
      </c>
      <c r="G6" s="53">
        <f t="shared" si="1"/>
        <v>7.0686</v>
      </c>
      <c r="H6" s="53">
        <f t="shared" si="2"/>
        <v>9.4247999999999994</v>
      </c>
      <c r="I6" s="53">
        <f t="shared" si="3"/>
        <v>0.75</v>
      </c>
      <c r="J6" s="53">
        <f t="shared" si="4"/>
        <v>1.5323193762721683</v>
      </c>
      <c r="K6" s="53">
        <f t="shared" si="5"/>
        <v>0</v>
      </c>
      <c r="L6" s="53">
        <v>0.2</v>
      </c>
      <c r="M6" s="58">
        <f t="shared" si="6"/>
        <v>7.2919337605562955E-3</v>
      </c>
      <c r="N6" s="58">
        <f t="shared" si="7"/>
        <v>7.2919337605562955E-3</v>
      </c>
      <c r="O6" s="59">
        <f t="shared" si="8"/>
        <v>0.28668127891454326</v>
      </c>
    </row>
    <row r="7" spans="1:15" x14ac:dyDescent="0.2">
      <c r="A7" s="37">
        <v>1320</v>
      </c>
      <c r="B7" s="55">
        <v>36</v>
      </c>
      <c r="C7" s="69" t="s">
        <v>23</v>
      </c>
      <c r="D7" s="57">
        <f>'Headloss Calcs'!$A$27</f>
        <v>7</v>
      </c>
      <c r="E7" s="53">
        <f t="shared" si="0"/>
        <v>10.831352743117449</v>
      </c>
      <c r="F7" s="38">
        <f>'Headloss Calcs'!$E$18</f>
        <v>140</v>
      </c>
      <c r="G7" s="53">
        <f t="shared" si="1"/>
        <v>7.0686</v>
      </c>
      <c r="H7" s="53">
        <f t="shared" si="2"/>
        <v>9.4247999999999994</v>
      </c>
      <c r="I7" s="53">
        <f t="shared" si="3"/>
        <v>0.75</v>
      </c>
      <c r="J7" s="53">
        <f t="shared" si="4"/>
        <v>1.5323193762721683</v>
      </c>
      <c r="K7" s="53">
        <f t="shared" si="5"/>
        <v>0.26115951075259619</v>
      </c>
      <c r="L7" s="53"/>
      <c r="M7" s="58">
        <f t="shared" si="6"/>
        <v>0</v>
      </c>
      <c r="N7" s="58">
        <f t="shared" si="7"/>
        <v>0.26115951075259619</v>
      </c>
      <c r="O7" s="59">
        <f t="shared" si="8"/>
        <v>0.54784078966713945</v>
      </c>
    </row>
    <row r="8" spans="1:15" x14ac:dyDescent="0.2">
      <c r="A8" s="37"/>
      <c r="B8" s="55">
        <v>36</v>
      </c>
      <c r="C8" s="56" t="s">
        <v>39</v>
      </c>
      <c r="D8" s="57">
        <f>'Headloss Calcs'!$A$27</f>
        <v>7</v>
      </c>
      <c r="E8" s="53">
        <f t="shared" si="0"/>
        <v>10.831352743117449</v>
      </c>
      <c r="F8" s="38">
        <f>'Headloss Calcs'!$E$18</f>
        <v>140</v>
      </c>
      <c r="G8" s="53">
        <f t="shared" si="1"/>
        <v>7.0686</v>
      </c>
      <c r="H8" s="53">
        <f t="shared" si="2"/>
        <v>9.4247999999999994</v>
      </c>
      <c r="I8" s="53">
        <f t="shared" si="3"/>
        <v>0.75</v>
      </c>
      <c r="J8" s="53">
        <f t="shared" si="4"/>
        <v>1.5323193762721683</v>
      </c>
      <c r="K8" s="53">
        <f t="shared" si="5"/>
        <v>0</v>
      </c>
      <c r="L8" s="53">
        <v>0.4</v>
      </c>
      <c r="M8" s="58">
        <f t="shared" si="6"/>
        <v>1.4583867521112591E-2</v>
      </c>
      <c r="N8" s="58">
        <f t="shared" si="7"/>
        <v>1.4583867521112591E-2</v>
      </c>
      <c r="O8" s="59">
        <f t="shared" si="8"/>
        <v>0.56242465718825208</v>
      </c>
    </row>
    <row r="9" spans="1:15" x14ac:dyDescent="0.2">
      <c r="A9" s="37">
        <v>1320</v>
      </c>
      <c r="B9" s="55">
        <v>36</v>
      </c>
      <c r="C9" s="56" t="s">
        <v>23</v>
      </c>
      <c r="D9" s="57">
        <f>'Headloss Calcs'!$A$27</f>
        <v>7</v>
      </c>
      <c r="E9" s="53">
        <f t="shared" si="0"/>
        <v>10.831352743117449</v>
      </c>
      <c r="F9" s="38">
        <f>'Headloss Calcs'!$E$18</f>
        <v>140</v>
      </c>
      <c r="G9" s="53">
        <f t="shared" si="1"/>
        <v>7.0686</v>
      </c>
      <c r="H9" s="53">
        <f t="shared" si="2"/>
        <v>9.4247999999999994</v>
      </c>
      <c r="I9" s="53">
        <f t="shared" si="3"/>
        <v>0.75</v>
      </c>
      <c r="J9" s="53">
        <f t="shared" si="4"/>
        <v>1.5323193762721683</v>
      </c>
      <c r="K9" s="53">
        <f t="shared" si="5"/>
        <v>0.26115951075259619</v>
      </c>
      <c r="L9" s="53"/>
      <c r="M9" s="58">
        <f t="shared" si="6"/>
        <v>0</v>
      </c>
      <c r="N9" s="58">
        <f t="shared" si="7"/>
        <v>0.26115951075259619</v>
      </c>
      <c r="O9" s="59">
        <f t="shared" si="8"/>
        <v>0.82358416794084821</v>
      </c>
    </row>
    <row r="10" spans="1:15" x14ac:dyDescent="0.2">
      <c r="A10" s="37"/>
      <c r="B10" s="55">
        <v>36</v>
      </c>
      <c r="C10" s="56" t="s">
        <v>39</v>
      </c>
      <c r="D10" s="57">
        <f>'Headloss Calcs'!$A$27</f>
        <v>7</v>
      </c>
      <c r="E10" s="53">
        <f t="shared" si="0"/>
        <v>10.831352743117449</v>
      </c>
      <c r="F10" s="38">
        <f>'Headloss Calcs'!$E$18</f>
        <v>140</v>
      </c>
      <c r="G10" s="53">
        <f t="shared" si="1"/>
        <v>7.0686</v>
      </c>
      <c r="H10" s="53">
        <f t="shared" si="2"/>
        <v>9.4247999999999994</v>
      </c>
      <c r="I10" s="53">
        <f t="shared" si="3"/>
        <v>0.75</v>
      </c>
      <c r="J10" s="53">
        <f t="shared" si="4"/>
        <v>1.5323193762721683</v>
      </c>
      <c r="K10" s="53">
        <f t="shared" si="5"/>
        <v>0</v>
      </c>
      <c r="L10" s="53">
        <v>0.4</v>
      </c>
      <c r="M10" s="58">
        <f t="shared" si="6"/>
        <v>1.4583867521112591E-2</v>
      </c>
      <c r="N10" s="58">
        <f t="shared" si="7"/>
        <v>1.4583867521112591E-2</v>
      </c>
      <c r="O10" s="59">
        <f t="shared" si="8"/>
        <v>0.83816803546196084</v>
      </c>
    </row>
    <row r="11" spans="1:15" x14ac:dyDescent="0.2">
      <c r="A11" s="37">
        <v>1320</v>
      </c>
      <c r="B11" s="55">
        <v>36</v>
      </c>
      <c r="C11" s="56" t="s">
        <v>23</v>
      </c>
      <c r="D11" s="57">
        <f>'Headloss Calcs'!$A$27</f>
        <v>7</v>
      </c>
      <c r="E11" s="53">
        <f t="shared" si="0"/>
        <v>10.831352743117449</v>
      </c>
      <c r="F11" s="38">
        <f>'Headloss Calcs'!$E$18</f>
        <v>140</v>
      </c>
      <c r="G11" s="53">
        <f t="shared" si="1"/>
        <v>7.0686</v>
      </c>
      <c r="H11" s="53">
        <f t="shared" si="2"/>
        <v>9.4247999999999994</v>
      </c>
      <c r="I11" s="53">
        <f t="shared" si="3"/>
        <v>0.75</v>
      </c>
      <c r="J11" s="53">
        <f t="shared" si="4"/>
        <v>1.5323193762721683</v>
      </c>
      <c r="K11" s="53">
        <f t="shared" si="5"/>
        <v>0.26115951075259619</v>
      </c>
      <c r="L11" s="53"/>
      <c r="M11" s="58">
        <f t="shared" si="6"/>
        <v>0</v>
      </c>
      <c r="N11" s="58">
        <f t="shared" si="7"/>
        <v>0.26115951075259619</v>
      </c>
      <c r="O11" s="59">
        <f t="shared" si="8"/>
        <v>1.0993275462145571</v>
      </c>
    </row>
    <row r="12" spans="1:15" x14ac:dyDescent="0.2">
      <c r="A12" s="37"/>
      <c r="B12" s="55">
        <v>36</v>
      </c>
      <c r="C12" s="56" t="s">
        <v>48</v>
      </c>
      <c r="D12" s="57">
        <f>'Headloss Calcs'!$A$27</f>
        <v>7</v>
      </c>
      <c r="E12" s="53">
        <f t="shared" si="0"/>
        <v>10.831352743117449</v>
      </c>
      <c r="F12" s="38">
        <f>'Headloss Calcs'!$E$18</f>
        <v>140</v>
      </c>
      <c r="G12" s="53">
        <f t="shared" si="1"/>
        <v>7.0686</v>
      </c>
      <c r="H12" s="53">
        <f t="shared" si="2"/>
        <v>9.4247999999999994</v>
      </c>
      <c r="I12" s="53">
        <f t="shared" si="3"/>
        <v>0.75</v>
      </c>
      <c r="J12" s="53">
        <f t="shared" si="4"/>
        <v>1.5323193762721683</v>
      </c>
      <c r="K12" s="53">
        <f t="shared" si="5"/>
        <v>0</v>
      </c>
      <c r="L12" s="53">
        <v>0.4</v>
      </c>
      <c r="M12" s="58">
        <f t="shared" si="6"/>
        <v>1.4583867521112591E-2</v>
      </c>
      <c r="N12" s="58">
        <f t="shared" si="7"/>
        <v>1.4583867521112591E-2</v>
      </c>
      <c r="O12" s="59">
        <f t="shared" si="8"/>
        <v>1.1139114137356696</v>
      </c>
    </row>
    <row r="13" spans="1:15" x14ac:dyDescent="0.2">
      <c r="A13" s="37">
        <v>1320</v>
      </c>
      <c r="B13" s="55">
        <v>36</v>
      </c>
      <c r="C13" s="56" t="s">
        <v>23</v>
      </c>
      <c r="D13" s="57">
        <f>'Headloss Calcs'!$A$27</f>
        <v>7</v>
      </c>
      <c r="E13" s="53">
        <f t="shared" si="0"/>
        <v>10.831352743117449</v>
      </c>
      <c r="F13" s="38">
        <f>'Headloss Calcs'!$E$18</f>
        <v>140</v>
      </c>
      <c r="G13" s="53">
        <f t="shared" si="1"/>
        <v>7.0686</v>
      </c>
      <c r="H13" s="53">
        <f t="shared" si="2"/>
        <v>9.4247999999999994</v>
      </c>
      <c r="I13" s="53">
        <f t="shared" si="3"/>
        <v>0.75</v>
      </c>
      <c r="J13" s="53">
        <f t="shared" si="4"/>
        <v>1.5323193762721683</v>
      </c>
      <c r="K13" s="53">
        <f t="shared" si="5"/>
        <v>0.26115951075259619</v>
      </c>
      <c r="L13" s="53"/>
      <c r="M13" s="58">
        <f t="shared" si="6"/>
        <v>0</v>
      </c>
      <c r="N13" s="58">
        <f t="shared" si="7"/>
        <v>0.26115951075259619</v>
      </c>
      <c r="O13" s="59">
        <f t="shared" si="8"/>
        <v>1.3750709244882657</v>
      </c>
    </row>
    <row r="14" spans="1:15" x14ac:dyDescent="0.2">
      <c r="A14" s="37"/>
      <c r="B14" s="55">
        <v>36</v>
      </c>
      <c r="C14" s="56" t="s">
        <v>39</v>
      </c>
      <c r="D14" s="57">
        <f>'Headloss Calcs'!$A$27</f>
        <v>7</v>
      </c>
      <c r="E14" s="53">
        <f t="shared" si="0"/>
        <v>10.831352743117449</v>
      </c>
      <c r="F14" s="38">
        <f>'Headloss Calcs'!$E$18</f>
        <v>140</v>
      </c>
      <c r="G14" s="53">
        <f t="shared" si="1"/>
        <v>7.0686</v>
      </c>
      <c r="H14" s="53">
        <f t="shared" si="2"/>
        <v>9.4247999999999994</v>
      </c>
      <c r="I14" s="53">
        <f t="shared" si="3"/>
        <v>0.75</v>
      </c>
      <c r="J14" s="53">
        <f t="shared" si="4"/>
        <v>1.5323193762721683</v>
      </c>
      <c r="K14" s="53">
        <f t="shared" si="5"/>
        <v>0</v>
      </c>
      <c r="L14" s="53">
        <v>0.4</v>
      </c>
      <c r="M14" s="58">
        <f t="shared" si="6"/>
        <v>1.4583867521112591E-2</v>
      </c>
      <c r="N14" s="58">
        <f t="shared" si="7"/>
        <v>1.4583867521112591E-2</v>
      </c>
      <c r="O14" s="59">
        <f t="shared" si="8"/>
        <v>1.3896547920093782</v>
      </c>
    </row>
    <row r="15" spans="1:15" x14ac:dyDescent="0.2">
      <c r="A15" s="37">
        <v>1320</v>
      </c>
      <c r="B15" s="55">
        <v>36</v>
      </c>
      <c r="C15" s="56" t="s">
        <v>23</v>
      </c>
      <c r="D15" s="57">
        <f>'Headloss Calcs'!$A$27</f>
        <v>7</v>
      </c>
      <c r="E15" s="53">
        <f t="shared" si="0"/>
        <v>10.831352743117449</v>
      </c>
      <c r="F15" s="38">
        <f>'Headloss Calcs'!$E$18</f>
        <v>140</v>
      </c>
      <c r="G15" s="53">
        <f t="shared" si="1"/>
        <v>7.0686</v>
      </c>
      <c r="H15" s="53">
        <f t="shared" si="2"/>
        <v>9.4247999999999994</v>
      </c>
      <c r="I15" s="53">
        <f t="shared" si="3"/>
        <v>0.75</v>
      </c>
      <c r="J15" s="53">
        <f t="shared" si="4"/>
        <v>1.5323193762721683</v>
      </c>
      <c r="K15" s="53">
        <f t="shared" si="5"/>
        <v>0.26115951075259619</v>
      </c>
      <c r="L15" s="53"/>
      <c r="M15" s="58">
        <f t="shared" si="6"/>
        <v>0</v>
      </c>
      <c r="N15" s="58">
        <f t="shared" si="7"/>
        <v>0.26115951075259619</v>
      </c>
      <c r="O15" s="59">
        <f t="shared" si="8"/>
        <v>1.6508143027619744</v>
      </c>
    </row>
    <row r="16" spans="1:15" x14ac:dyDescent="0.2">
      <c r="A16" s="37"/>
      <c r="B16" s="55">
        <v>36</v>
      </c>
      <c r="C16" s="56" t="s">
        <v>45</v>
      </c>
      <c r="D16" s="57">
        <f>'Headloss Calcs'!$A$27</f>
        <v>7</v>
      </c>
      <c r="E16" s="53">
        <f t="shared" si="0"/>
        <v>10.831352743117449</v>
      </c>
      <c r="F16" s="38">
        <f>'Headloss Calcs'!$E$18</f>
        <v>140</v>
      </c>
      <c r="G16" s="53">
        <f t="shared" si="1"/>
        <v>7.0686</v>
      </c>
      <c r="H16" s="53">
        <f t="shared" si="2"/>
        <v>9.4247999999999994</v>
      </c>
      <c r="I16" s="53">
        <f t="shared" si="3"/>
        <v>0.75</v>
      </c>
      <c r="J16" s="53">
        <f t="shared" si="4"/>
        <v>1.5323193762721683</v>
      </c>
      <c r="K16" s="53">
        <f t="shared" si="5"/>
        <v>0</v>
      </c>
      <c r="L16" s="53">
        <v>0.2</v>
      </c>
      <c r="M16" s="58">
        <f t="shared" si="6"/>
        <v>7.2919337605562955E-3</v>
      </c>
      <c r="N16" s="58">
        <f t="shared" si="7"/>
        <v>7.2919337605562955E-3</v>
      </c>
      <c r="O16" s="59">
        <f t="shared" si="8"/>
        <v>1.6581062365225308</v>
      </c>
    </row>
    <row r="17" spans="1:15" x14ac:dyDescent="0.2">
      <c r="A17" s="37">
        <v>1320</v>
      </c>
      <c r="B17" s="55">
        <v>36</v>
      </c>
      <c r="C17" s="56" t="s">
        <v>23</v>
      </c>
      <c r="D17" s="57">
        <f>'Headloss Calcs'!$A$27</f>
        <v>7</v>
      </c>
      <c r="E17" s="53">
        <f t="shared" si="0"/>
        <v>10.831352743117449</v>
      </c>
      <c r="F17" s="38">
        <f>'Headloss Calcs'!$E$18</f>
        <v>140</v>
      </c>
      <c r="G17" s="53">
        <f t="shared" si="1"/>
        <v>7.0686</v>
      </c>
      <c r="H17" s="53">
        <f t="shared" si="2"/>
        <v>9.4247999999999994</v>
      </c>
      <c r="I17" s="53">
        <f t="shared" si="3"/>
        <v>0.75</v>
      </c>
      <c r="J17" s="53">
        <f t="shared" si="4"/>
        <v>1.5323193762721683</v>
      </c>
      <c r="K17" s="53">
        <f t="shared" si="5"/>
        <v>0.26115951075259619</v>
      </c>
      <c r="L17" s="53"/>
      <c r="M17" s="58">
        <f t="shared" si="6"/>
        <v>0</v>
      </c>
      <c r="N17" s="58">
        <f t="shared" si="7"/>
        <v>0.26115951075259619</v>
      </c>
      <c r="O17" s="59">
        <f t="shared" si="8"/>
        <v>1.9192657472751269</v>
      </c>
    </row>
    <row r="18" spans="1:15" ht="12" customHeight="1" x14ac:dyDescent="0.2">
      <c r="A18" s="37"/>
      <c r="B18" s="55">
        <v>36</v>
      </c>
      <c r="C18" s="56" t="s">
        <v>44</v>
      </c>
      <c r="D18" s="57">
        <f>'Headloss Calcs'!$A$27</f>
        <v>7</v>
      </c>
      <c r="E18" s="53">
        <f t="shared" si="0"/>
        <v>10.831352743117449</v>
      </c>
      <c r="F18" s="38">
        <f>'Headloss Calcs'!$E$18</f>
        <v>140</v>
      </c>
      <c r="G18" s="53">
        <f t="shared" si="1"/>
        <v>7.0686</v>
      </c>
      <c r="H18" s="53">
        <f t="shared" si="2"/>
        <v>9.4247999999999994</v>
      </c>
      <c r="I18" s="53">
        <f t="shared" si="3"/>
        <v>0.75</v>
      </c>
      <c r="J18" s="53">
        <f t="shared" si="4"/>
        <v>1.5323193762721683</v>
      </c>
      <c r="K18" s="53">
        <f t="shared" si="5"/>
        <v>0</v>
      </c>
      <c r="L18" s="53">
        <v>1</v>
      </c>
      <c r="M18" s="58">
        <f t="shared" si="6"/>
        <v>3.6459668802781474E-2</v>
      </c>
      <c r="N18" s="58">
        <f t="shared" si="7"/>
        <v>3.6459668802781474E-2</v>
      </c>
      <c r="O18" s="59">
        <f t="shared" si="8"/>
        <v>1.9557254160779083</v>
      </c>
    </row>
    <row r="19" spans="1:15" ht="13.5" thickBot="1" x14ac:dyDescent="0.25">
      <c r="A19" s="39"/>
      <c r="B19" s="40"/>
      <c r="C19" s="41"/>
      <c r="D19" s="40"/>
      <c r="E19" s="42"/>
      <c r="F19" s="40"/>
      <c r="G19" s="54"/>
      <c r="H19" s="54"/>
      <c r="I19" s="54"/>
      <c r="J19" s="54"/>
      <c r="K19" s="54"/>
      <c r="L19" s="54"/>
      <c r="M19" s="60"/>
      <c r="N19" s="60" t="s">
        <v>40</v>
      </c>
      <c r="O19" s="61">
        <f>O18</f>
        <v>1.9557254160779083</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Calcs'!$A$27</f>
        <v>7</v>
      </c>
      <c r="E22" s="53">
        <f t="shared" ref="E22:E37" si="9">D22*1000000/(7.48*24*60*60)</f>
        <v>10.831352743117449</v>
      </c>
      <c r="F22" s="38">
        <f>'Headloss Calcs'!$H$18</f>
        <v>100</v>
      </c>
      <c r="G22" s="53">
        <f t="shared" ref="G22:G37" si="10">3.1416/4*(B22/12)^2</f>
        <v>7.0686</v>
      </c>
      <c r="H22" s="53">
        <f t="shared" ref="H22:H37" si="11">3.1416*(B22/12)</f>
        <v>9.4247999999999994</v>
      </c>
      <c r="I22" s="53">
        <f t="shared" ref="I22:I37" si="12">G22/H22</f>
        <v>0.75</v>
      </c>
      <c r="J22" s="53">
        <f t="shared" ref="J22:J37" si="13">E22/G22</f>
        <v>1.5323193762721683</v>
      </c>
      <c r="K22" s="53">
        <f t="shared" ref="K22:K37" si="14">(J22/(1.318*F22*I22^0.63))^1.85*A22</f>
        <v>0</v>
      </c>
      <c r="L22" s="53">
        <v>0.25</v>
      </c>
      <c r="M22" s="58">
        <f t="shared" ref="M22:M37" si="15">L22*(J22^2)/(2*32.2)</f>
        <v>9.1149172006953685E-3</v>
      </c>
      <c r="N22" s="58">
        <f t="shared" ref="N22:N37" si="16">K22+M22</f>
        <v>9.1149172006953685E-3</v>
      </c>
      <c r="O22" s="59">
        <f>N22</f>
        <v>9.1149172006953685E-3</v>
      </c>
    </row>
    <row r="23" spans="1:15" x14ac:dyDescent="0.2">
      <c r="A23" s="37"/>
      <c r="B23" s="55">
        <v>36</v>
      </c>
      <c r="C23" s="56" t="s">
        <v>47</v>
      </c>
      <c r="D23" s="57">
        <f>'Headloss Calcs'!$A$27</f>
        <v>7</v>
      </c>
      <c r="E23" s="53">
        <f t="shared" si="9"/>
        <v>10.831352743117449</v>
      </c>
      <c r="F23" s="38">
        <f>'Headloss Calcs'!$H$18</f>
        <v>100</v>
      </c>
      <c r="G23" s="53">
        <f t="shared" si="10"/>
        <v>7.0686</v>
      </c>
      <c r="H23" s="53">
        <f t="shared" si="11"/>
        <v>9.4247999999999994</v>
      </c>
      <c r="I23" s="53">
        <f t="shared" si="12"/>
        <v>0.75</v>
      </c>
      <c r="J23" s="53">
        <f t="shared" si="13"/>
        <v>1.5323193762721683</v>
      </c>
      <c r="K23" s="53">
        <f t="shared" si="14"/>
        <v>0</v>
      </c>
      <c r="L23" s="53">
        <v>0.25</v>
      </c>
      <c r="M23" s="58">
        <f t="shared" si="15"/>
        <v>9.1149172006953685E-3</v>
      </c>
      <c r="N23" s="58">
        <f t="shared" si="16"/>
        <v>9.1149172006953685E-3</v>
      </c>
      <c r="O23" s="59">
        <f t="shared" ref="O23:O37" si="17">N23+O22</f>
        <v>1.8229834401390737E-2</v>
      </c>
    </row>
    <row r="24" spans="1:15" x14ac:dyDescent="0.2">
      <c r="A24" s="37">
        <v>1320</v>
      </c>
      <c r="B24" s="55">
        <v>36</v>
      </c>
      <c r="C24" s="56" t="s">
        <v>23</v>
      </c>
      <c r="D24" s="57">
        <f>'Headloss Calcs'!$A$27</f>
        <v>7</v>
      </c>
      <c r="E24" s="53">
        <f t="shared" si="9"/>
        <v>10.831352743117449</v>
      </c>
      <c r="F24" s="38">
        <f>'Headloss Calcs'!$H$18</f>
        <v>100</v>
      </c>
      <c r="G24" s="53">
        <f t="shared" si="10"/>
        <v>7.0686</v>
      </c>
      <c r="H24" s="53">
        <f t="shared" si="11"/>
        <v>9.4247999999999994</v>
      </c>
      <c r="I24" s="53">
        <f t="shared" si="12"/>
        <v>0.75</v>
      </c>
      <c r="J24" s="53">
        <f t="shared" si="13"/>
        <v>1.5323193762721683</v>
      </c>
      <c r="K24" s="53">
        <f t="shared" si="14"/>
        <v>0.48667911803150138</v>
      </c>
      <c r="L24" s="53"/>
      <c r="M24" s="58">
        <f t="shared" si="15"/>
        <v>0</v>
      </c>
      <c r="N24" s="58">
        <f t="shared" si="16"/>
        <v>0.48667911803150138</v>
      </c>
      <c r="O24" s="59">
        <f t="shared" si="17"/>
        <v>0.50490895243289213</v>
      </c>
    </row>
    <row r="25" spans="1:15" x14ac:dyDescent="0.2">
      <c r="A25" s="37"/>
      <c r="B25" s="55">
        <v>36</v>
      </c>
      <c r="C25" s="56" t="s">
        <v>45</v>
      </c>
      <c r="D25" s="57">
        <f>'Headloss Calcs'!$A$27</f>
        <v>7</v>
      </c>
      <c r="E25" s="53">
        <f t="shared" si="9"/>
        <v>10.831352743117449</v>
      </c>
      <c r="F25" s="38">
        <f>'Headloss Calcs'!$H$18</f>
        <v>100</v>
      </c>
      <c r="G25" s="53">
        <f t="shared" si="10"/>
        <v>7.0686</v>
      </c>
      <c r="H25" s="53">
        <f t="shared" si="11"/>
        <v>9.4247999999999994</v>
      </c>
      <c r="I25" s="53">
        <f t="shared" si="12"/>
        <v>0.75</v>
      </c>
      <c r="J25" s="53">
        <f t="shared" si="13"/>
        <v>1.5323193762721683</v>
      </c>
      <c r="K25" s="53">
        <f t="shared" si="14"/>
        <v>0</v>
      </c>
      <c r="L25" s="53">
        <v>0.2</v>
      </c>
      <c r="M25" s="58">
        <f t="shared" si="15"/>
        <v>7.2919337605562955E-3</v>
      </c>
      <c r="N25" s="58">
        <f t="shared" si="16"/>
        <v>7.2919337605562955E-3</v>
      </c>
      <c r="O25" s="59">
        <f t="shared" si="17"/>
        <v>0.51220088619344839</v>
      </c>
    </row>
    <row r="26" spans="1:15" x14ac:dyDescent="0.2">
      <c r="A26" s="37">
        <v>1320</v>
      </c>
      <c r="B26" s="55">
        <v>36</v>
      </c>
      <c r="C26" s="69" t="s">
        <v>23</v>
      </c>
      <c r="D26" s="57">
        <f>'Headloss Calcs'!$A$27</f>
        <v>7</v>
      </c>
      <c r="E26" s="53">
        <f t="shared" si="9"/>
        <v>10.831352743117449</v>
      </c>
      <c r="F26" s="38">
        <f>'Headloss Calcs'!$H$18</f>
        <v>100</v>
      </c>
      <c r="G26" s="53">
        <f t="shared" si="10"/>
        <v>7.0686</v>
      </c>
      <c r="H26" s="53">
        <f t="shared" si="11"/>
        <v>9.4247999999999994</v>
      </c>
      <c r="I26" s="53">
        <f t="shared" si="12"/>
        <v>0.75</v>
      </c>
      <c r="J26" s="53">
        <f t="shared" si="13"/>
        <v>1.5323193762721683</v>
      </c>
      <c r="K26" s="53">
        <f t="shared" si="14"/>
        <v>0.48667911803150138</v>
      </c>
      <c r="L26" s="53"/>
      <c r="M26" s="58">
        <f t="shared" si="15"/>
        <v>0</v>
      </c>
      <c r="N26" s="58">
        <f t="shared" si="16"/>
        <v>0.48667911803150138</v>
      </c>
      <c r="O26" s="59">
        <f t="shared" si="17"/>
        <v>0.99888000422494971</v>
      </c>
    </row>
    <row r="27" spans="1:15" x14ac:dyDescent="0.2">
      <c r="A27" s="37"/>
      <c r="B27" s="55">
        <v>36</v>
      </c>
      <c r="C27" s="56" t="s">
        <v>39</v>
      </c>
      <c r="D27" s="57">
        <f>'Headloss Calcs'!$A$27</f>
        <v>7</v>
      </c>
      <c r="E27" s="53">
        <f t="shared" si="9"/>
        <v>10.831352743117449</v>
      </c>
      <c r="F27" s="38">
        <f>'Headloss Calcs'!$H$18</f>
        <v>100</v>
      </c>
      <c r="G27" s="53">
        <f t="shared" si="10"/>
        <v>7.0686</v>
      </c>
      <c r="H27" s="53">
        <f t="shared" si="11"/>
        <v>9.4247999999999994</v>
      </c>
      <c r="I27" s="53">
        <f t="shared" si="12"/>
        <v>0.75</v>
      </c>
      <c r="J27" s="53">
        <f t="shared" si="13"/>
        <v>1.5323193762721683</v>
      </c>
      <c r="K27" s="53">
        <f t="shared" si="14"/>
        <v>0</v>
      </c>
      <c r="L27" s="53">
        <v>0.4</v>
      </c>
      <c r="M27" s="58">
        <f t="shared" si="15"/>
        <v>1.4583867521112591E-2</v>
      </c>
      <c r="N27" s="58">
        <f t="shared" si="16"/>
        <v>1.4583867521112591E-2</v>
      </c>
      <c r="O27" s="59">
        <f t="shared" si="17"/>
        <v>1.0134638717460622</v>
      </c>
    </row>
    <row r="28" spans="1:15" x14ac:dyDescent="0.2">
      <c r="A28" s="37">
        <v>1320</v>
      </c>
      <c r="B28" s="55">
        <v>36</v>
      </c>
      <c r="C28" s="56" t="s">
        <v>23</v>
      </c>
      <c r="D28" s="57">
        <f>'Headloss Calcs'!$A$27</f>
        <v>7</v>
      </c>
      <c r="E28" s="53">
        <f t="shared" si="9"/>
        <v>10.831352743117449</v>
      </c>
      <c r="F28" s="38">
        <f>'Headloss Calcs'!$H$18</f>
        <v>100</v>
      </c>
      <c r="G28" s="53">
        <f t="shared" si="10"/>
        <v>7.0686</v>
      </c>
      <c r="H28" s="53">
        <f t="shared" si="11"/>
        <v>9.4247999999999994</v>
      </c>
      <c r="I28" s="53">
        <f t="shared" si="12"/>
        <v>0.75</v>
      </c>
      <c r="J28" s="53">
        <f t="shared" si="13"/>
        <v>1.5323193762721683</v>
      </c>
      <c r="K28" s="53">
        <f t="shared" si="14"/>
        <v>0.48667911803150138</v>
      </c>
      <c r="L28" s="53"/>
      <c r="M28" s="58">
        <f t="shared" si="15"/>
        <v>0</v>
      </c>
      <c r="N28" s="58">
        <f t="shared" si="16"/>
        <v>0.48667911803150138</v>
      </c>
      <c r="O28" s="59">
        <f t="shared" si="17"/>
        <v>1.5001429897775636</v>
      </c>
    </row>
    <row r="29" spans="1:15" x14ac:dyDescent="0.2">
      <c r="A29" s="37"/>
      <c r="B29" s="55">
        <v>36</v>
      </c>
      <c r="C29" s="56" t="s">
        <v>39</v>
      </c>
      <c r="D29" s="57">
        <f>'Headloss Calcs'!$A$27</f>
        <v>7</v>
      </c>
      <c r="E29" s="53">
        <f t="shared" si="9"/>
        <v>10.831352743117449</v>
      </c>
      <c r="F29" s="38">
        <f>'Headloss Calcs'!$H$18</f>
        <v>100</v>
      </c>
      <c r="G29" s="53">
        <f t="shared" si="10"/>
        <v>7.0686</v>
      </c>
      <c r="H29" s="53">
        <f t="shared" si="11"/>
        <v>9.4247999999999994</v>
      </c>
      <c r="I29" s="53">
        <f t="shared" si="12"/>
        <v>0.75</v>
      </c>
      <c r="J29" s="53">
        <f t="shared" si="13"/>
        <v>1.5323193762721683</v>
      </c>
      <c r="K29" s="53">
        <f t="shared" si="14"/>
        <v>0</v>
      </c>
      <c r="L29" s="53">
        <v>0.4</v>
      </c>
      <c r="M29" s="58">
        <f t="shared" si="15"/>
        <v>1.4583867521112591E-2</v>
      </c>
      <c r="N29" s="58">
        <f t="shared" si="16"/>
        <v>1.4583867521112591E-2</v>
      </c>
      <c r="O29" s="59">
        <f t="shared" si="17"/>
        <v>1.5147268572986761</v>
      </c>
    </row>
    <row r="30" spans="1:15" x14ac:dyDescent="0.2">
      <c r="A30" s="37">
        <v>1320</v>
      </c>
      <c r="B30" s="55">
        <v>36</v>
      </c>
      <c r="C30" s="56" t="s">
        <v>23</v>
      </c>
      <c r="D30" s="57">
        <f>'Headloss Calcs'!$A$27</f>
        <v>7</v>
      </c>
      <c r="E30" s="53">
        <f t="shared" si="9"/>
        <v>10.831352743117449</v>
      </c>
      <c r="F30" s="38">
        <f>'Headloss Calcs'!$H$18</f>
        <v>100</v>
      </c>
      <c r="G30" s="53">
        <f t="shared" si="10"/>
        <v>7.0686</v>
      </c>
      <c r="H30" s="53">
        <f t="shared" si="11"/>
        <v>9.4247999999999994</v>
      </c>
      <c r="I30" s="53">
        <f t="shared" si="12"/>
        <v>0.75</v>
      </c>
      <c r="J30" s="53">
        <f t="shared" si="13"/>
        <v>1.5323193762721683</v>
      </c>
      <c r="K30" s="53">
        <f t="shared" si="14"/>
        <v>0.48667911803150138</v>
      </c>
      <c r="L30" s="53"/>
      <c r="M30" s="58">
        <f t="shared" si="15"/>
        <v>0</v>
      </c>
      <c r="N30" s="58">
        <f t="shared" si="16"/>
        <v>0.48667911803150138</v>
      </c>
      <c r="O30" s="59">
        <f t="shared" si="17"/>
        <v>2.0014059753301776</v>
      </c>
    </row>
    <row r="31" spans="1:15" x14ac:dyDescent="0.2">
      <c r="A31" s="37"/>
      <c r="B31" s="55">
        <v>36</v>
      </c>
      <c r="C31" s="56" t="s">
        <v>48</v>
      </c>
      <c r="D31" s="57">
        <f>'Headloss Calcs'!$A$27</f>
        <v>7</v>
      </c>
      <c r="E31" s="53">
        <f t="shared" si="9"/>
        <v>10.831352743117449</v>
      </c>
      <c r="F31" s="38">
        <f>'Headloss Calcs'!$H$18</f>
        <v>100</v>
      </c>
      <c r="G31" s="53">
        <f t="shared" si="10"/>
        <v>7.0686</v>
      </c>
      <c r="H31" s="53">
        <f t="shared" si="11"/>
        <v>9.4247999999999994</v>
      </c>
      <c r="I31" s="53">
        <f t="shared" si="12"/>
        <v>0.75</v>
      </c>
      <c r="J31" s="53">
        <f t="shared" si="13"/>
        <v>1.5323193762721683</v>
      </c>
      <c r="K31" s="53">
        <f t="shared" si="14"/>
        <v>0</v>
      </c>
      <c r="L31" s="53">
        <v>0.4</v>
      </c>
      <c r="M31" s="58">
        <f t="shared" si="15"/>
        <v>1.4583867521112591E-2</v>
      </c>
      <c r="N31" s="58">
        <f t="shared" si="16"/>
        <v>1.4583867521112591E-2</v>
      </c>
      <c r="O31" s="59">
        <f t="shared" si="17"/>
        <v>2.0159898428512903</v>
      </c>
    </row>
    <row r="32" spans="1:15" x14ac:dyDescent="0.2">
      <c r="A32" s="37">
        <v>1320</v>
      </c>
      <c r="B32" s="55">
        <v>36</v>
      </c>
      <c r="C32" s="56" t="s">
        <v>23</v>
      </c>
      <c r="D32" s="57">
        <f>'Headloss Calcs'!$A$27</f>
        <v>7</v>
      </c>
      <c r="E32" s="53">
        <f t="shared" si="9"/>
        <v>10.831352743117449</v>
      </c>
      <c r="F32" s="38">
        <f>'Headloss Calcs'!$H$18</f>
        <v>100</v>
      </c>
      <c r="G32" s="53">
        <f t="shared" si="10"/>
        <v>7.0686</v>
      </c>
      <c r="H32" s="53">
        <f t="shared" si="11"/>
        <v>9.4247999999999994</v>
      </c>
      <c r="I32" s="53">
        <f t="shared" si="12"/>
        <v>0.75</v>
      </c>
      <c r="J32" s="53">
        <f t="shared" si="13"/>
        <v>1.5323193762721683</v>
      </c>
      <c r="K32" s="53">
        <f t="shared" si="14"/>
        <v>0.48667911803150138</v>
      </c>
      <c r="L32" s="53"/>
      <c r="M32" s="58">
        <f t="shared" si="15"/>
        <v>0</v>
      </c>
      <c r="N32" s="58">
        <f t="shared" si="16"/>
        <v>0.48667911803150138</v>
      </c>
      <c r="O32" s="59">
        <f t="shared" si="17"/>
        <v>2.5026689608827919</v>
      </c>
    </row>
    <row r="33" spans="1:15" x14ac:dyDescent="0.2">
      <c r="A33" s="37"/>
      <c r="B33" s="55">
        <v>36</v>
      </c>
      <c r="C33" s="56" t="s">
        <v>39</v>
      </c>
      <c r="D33" s="57">
        <f>'Headloss Calcs'!$A$27</f>
        <v>7</v>
      </c>
      <c r="E33" s="53">
        <f t="shared" si="9"/>
        <v>10.831352743117449</v>
      </c>
      <c r="F33" s="38">
        <f>'Headloss Calcs'!$H$18</f>
        <v>100</v>
      </c>
      <c r="G33" s="53">
        <f t="shared" si="10"/>
        <v>7.0686</v>
      </c>
      <c r="H33" s="53">
        <f t="shared" si="11"/>
        <v>9.4247999999999994</v>
      </c>
      <c r="I33" s="53">
        <f t="shared" si="12"/>
        <v>0.75</v>
      </c>
      <c r="J33" s="53">
        <f t="shared" si="13"/>
        <v>1.5323193762721683</v>
      </c>
      <c r="K33" s="53">
        <f t="shared" si="14"/>
        <v>0</v>
      </c>
      <c r="L33" s="53">
        <v>0.4</v>
      </c>
      <c r="M33" s="58">
        <f t="shared" si="15"/>
        <v>1.4583867521112591E-2</v>
      </c>
      <c r="N33" s="58">
        <f t="shared" si="16"/>
        <v>1.4583867521112591E-2</v>
      </c>
      <c r="O33" s="59">
        <f t="shared" si="17"/>
        <v>2.5172528284039046</v>
      </c>
    </row>
    <row r="34" spans="1:15" x14ac:dyDescent="0.2">
      <c r="A34" s="37">
        <v>1320</v>
      </c>
      <c r="B34" s="55">
        <v>36</v>
      </c>
      <c r="C34" s="56" t="s">
        <v>23</v>
      </c>
      <c r="D34" s="57">
        <f>'Headloss Calcs'!$A$27</f>
        <v>7</v>
      </c>
      <c r="E34" s="53">
        <f t="shared" si="9"/>
        <v>10.831352743117449</v>
      </c>
      <c r="F34" s="38">
        <f>'Headloss Calcs'!$H$18</f>
        <v>100</v>
      </c>
      <c r="G34" s="53">
        <f t="shared" si="10"/>
        <v>7.0686</v>
      </c>
      <c r="H34" s="53">
        <f t="shared" si="11"/>
        <v>9.4247999999999994</v>
      </c>
      <c r="I34" s="53">
        <f t="shared" si="12"/>
        <v>0.75</v>
      </c>
      <c r="J34" s="53">
        <f t="shared" si="13"/>
        <v>1.5323193762721683</v>
      </c>
      <c r="K34" s="53">
        <f t="shared" si="14"/>
        <v>0.48667911803150138</v>
      </c>
      <c r="L34" s="53"/>
      <c r="M34" s="58">
        <f t="shared" si="15"/>
        <v>0</v>
      </c>
      <c r="N34" s="58">
        <f t="shared" si="16"/>
        <v>0.48667911803150138</v>
      </c>
      <c r="O34" s="59">
        <f t="shared" si="17"/>
        <v>3.0039319464354062</v>
      </c>
    </row>
    <row r="35" spans="1:15" x14ac:dyDescent="0.2">
      <c r="A35" s="37"/>
      <c r="B35" s="55">
        <v>36</v>
      </c>
      <c r="C35" s="56" t="s">
        <v>45</v>
      </c>
      <c r="D35" s="57">
        <f>'Headloss Calcs'!$A$27</f>
        <v>7</v>
      </c>
      <c r="E35" s="53">
        <f t="shared" si="9"/>
        <v>10.831352743117449</v>
      </c>
      <c r="F35" s="38">
        <f>'Headloss Calcs'!$H$18</f>
        <v>100</v>
      </c>
      <c r="G35" s="53">
        <f t="shared" si="10"/>
        <v>7.0686</v>
      </c>
      <c r="H35" s="53">
        <f t="shared" si="11"/>
        <v>9.4247999999999994</v>
      </c>
      <c r="I35" s="53">
        <f t="shared" si="12"/>
        <v>0.75</v>
      </c>
      <c r="J35" s="53">
        <f t="shared" si="13"/>
        <v>1.5323193762721683</v>
      </c>
      <c r="K35" s="53">
        <f t="shared" si="14"/>
        <v>0</v>
      </c>
      <c r="L35" s="53">
        <v>0.2</v>
      </c>
      <c r="M35" s="58">
        <f t="shared" si="15"/>
        <v>7.2919337605562955E-3</v>
      </c>
      <c r="N35" s="58">
        <f t="shared" si="16"/>
        <v>7.2919337605562955E-3</v>
      </c>
      <c r="O35" s="59">
        <f t="shared" si="17"/>
        <v>3.0112238801959625</v>
      </c>
    </row>
    <row r="36" spans="1:15" x14ac:dyDescent="0.2">
      <c r="A36" s="37">
        <v>1320</v>
      </c>
      <c r="B36" s="55">
        <v>36</v>
      </c>
      <c r="C36" s="56" t="s">
        <v>23</v>
      </c>
      <c r="D36" s="57">
        <f>'Headloss Calcs'!$A$27</f>
        <v>7</v>
      </c>
      <c r="E36" s="53">
        <f t="shared" si="9"/>
        <v>10.831352743117449</v>
      </c>
      <c r="F36" s="38">
        <f>'Headloss Calcs'!$H$18</f>
        <v>100</v>
      </c>
      <c r="G36" s="53">
        <f t="shared" si="10"/>
        <v>7.0686</v>
      </c>
      <c r="H36" s="53">
        <f t="shared" si="11"/>
        <v>9.4247999999999994</v>
      </c>
      <c r="I36" s="53">
        <f t="shared" si="12"/>
        <v>0.75</v>
      </c>
      <c r="J36" s="53">
        <f t="shared" si="13"/>
        <v>1.5323193762721683</v>
      </c>
      <c r="K36" s="53">
        <f t="shared" si="14"/>
        <v>0.48667911803150138</v>
      </c>
      <c r="L36" s="53"/>
      <c r="M36" s="58">
        <f t="shared" si="15"/>
        <v>0</v>
      </c>
      <c r="N36" s="58">
        <f t="shared" si="16"/>
        <v>0.48667911803150138</v>
      </c>
      <c r="O36" s="59">
        <f t="shared" si="17"/>
        <v>3.4979029982274641</v>
      </c>
    </row>
    <row r="37" spans="1:15" ht="12" customHeight="1" x14ac:dyDescent="0.2">
      <c r="A37" s="37"/>
      <c r="B37" s="55">
        <v>36</v>
      </c>
      <c r="C37" s="56" t="s">
        <v>44</v>
      </c>
      <c r="D37" s="57">
        <f>'Headloss Calcs'!$A$27</f>
        <v>7</v>
      </c>
      <c r="E37" s="53">
        <f t="shared" si="9"/>
        <v>10.831352743117449</v>
      </c>
      <c r="F37" s="38">
        <f>'Headloss Calcs'!$H$18</f>
        <v>100</v>
      </c>
      <c r="G37" s="53">
        <f t="shared" si="10"/>
        <v>7.0686</v>
      </c>
      <c r="H37" s="53">
        <f t="shared" si="11"/>
        <v>9.4247999999999994</v>
      </c>
      <c r="I37" s="53">
        <f t="shared" si="12"/>
        <v>0.75</v>
      </c>
      <c r="J37" s="53">
        <f t="shared" si="13"/>
        <v>1.5323193762721683</v>
      </c>
      <c r="K37" s="53">
        <f t="shared" si="14"/>
        <v>0</v>
      </c>
      <c r="L37" s="53">
        <v>1</v>
      </c>
      <c r="M37" s="58">
        <f t="shared" si="15"/>
        <v>3.6459668802781474E-2</v>
      </c>
      <c r="N37" s="58">
        <f t="shared" si="16"/>
        <v>3.6459668802781474E-2</v>
      </c>
      <c r="O37" s="59">
        <f t="shared" si="17"/>
        <v>3.5343626670302455</v>
      </c>
    </row>
    <row r="38" spans="1:15" ht="13.5" thickBot="1" x14ac:dyDescent="0.25">
      <c r="A38" s="39"/>
      <c r="B38" s="40"/>
      <c r="C38" s="41"/>
      <c r="D38" s="40"/>
      <c r="E38" s="42"/>
      <c r="F38" s="40"/>
      <c r="G38" s="54"/>
      <c r="H38" s="54"/>
      <c r="I38" s="54"/>
      <c r="J38" s="54"/>
      <c r="K38" s="54"/>
      <c r="L38" s="54"/>
      <c r="M38" s="60"/>
      <c r="N38" s="60" t="s">
        <v>40</v>
      </c>
      <c r="O38" s="61">
        <f>O37</f>
        <v>3.5343626670302455</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Calcs'!$A$28</f>
        <v>8</v>
      </c>
      <c r="E3" s="53">
        <f t="shared" ref="E3:E18" si="0">D3*1000000/(7.48*24*60*60)</f>
        <v>12.378688849277085</v>
      </c>
      <c r="F3" s="38">
        <f>'Headloss Calcs'!$E$18</f>
        <v>140</v>
      </c>
      <c r="G3" s="53">
        <f t="shared" ref="G3:G18" si="1">3.1416/4*(B3/12)^2</f>
        <v>7.0686</v>
      </c>
      <c r="H3" s="53">
        <f t="shared" ref="H3:H18" si="2">3.1416*(B3/12)</f>
        <v>9.4247999999999994</v>
      </c>
      <c r="I3" s="53">
        <f t="shared" ref="I3:I18" si="3">G3/H3</f>
        <v>0.75</v>
      </c>
      <c r="J3" s="53">
        <f t="shared" ref="J3:J18" si="4">E3/G3</f>
        <v>1.7512221443110496</v>
      </c>
      <c r="K3" s="53">
        <f t="shared" ref="K3:K18" si="5">(J3/(1.318*F3*I3^0.63))^1.85*A3</f>
        <v>0</v>
      </c>
      <c r="L3" s="53">
        <v>0.25</v>
      </c>
      <c r="M3" s="58">
        <f t="shared" ref="M3:M18" si="6">L3*(J3^2)/(2*32.2)</f>
        <v>1.190519797641844E-2</v>
      </c>
      <c r="N3" s="58">
        <f t="shared" ref="N3:N18" si="7">K3+M3</f>
        <v>1.190519797641844E-2</v>
      </c>
      <c r="O3" s="59">
        <f>N3</f>
        <v>1.190519797641844E-2</v>
      </c>
    </row>
    <row r="4" spans="1:15" x14ac:dyDescent="0.2">
      <c r="A4" s="37"/>
      <c r="B4" s="55">
        <v>36</v>
      </c>
      <c r="C4" s="56" t="s">
        <v>47</v>
      </c>
      <c r="D4" s="57">
        <f>'Headloss Calcs'!$A$28</f>
        <v>8</v>
      </c>
      <c r="E4" s="53">
        <f t="shared" si="0"/>
        <v>12.378688849277085</v>
      </c>
      <c r="F4" s="38">
        <f>'Headloss Calcs'!$E$18</f>
        <v>140</v>
      </c>
      <c r="G4" s="53">
        <f t="shared" si="1"/>
        <v>7.0686</v>
      </c>
      <c r="H4" s="53">
        <f t="shared" si="2"/>
        <v>9.4247999999999994</v>
      </c>
      <c r="I4" s="53">
        <f t="shared" si="3"/>
        <v>0.75</v>
      </c>
      <c r="J4" s="53">
        <f t="shared" si="4"/>
        <v>1.7512221443110496</v>
      </c>
      <c r="K4" s="53">
        <f t="shared" si="5"/>
        <v>0</v>
      </c>
      <c r="L4" s="53">
        <v>0.25</v>
      </c>
      <c r="M4" s="58">
        <f t="shared" si="6"/>
        <v>1.190519797641844E-2</v>
      </c>
      <c r="N4" s="58">
        <f t="shared" si="7"/>
        <v>1.190519797641844E-2</v>
      </c>
      <c r="O4" s="59">
        <f t="shared" ref="O4:O18" si="8">N4+O3</f>
        <v>2.381039595283688E-2</v>
      </c>
    </row>
    <row r="5" spans="1:15" x14ac:dyDescent="0.2">
      <c r="A5" s="37">
        <v>1320</v>
      </c>
      <c r="B5" s="55">
        <v>36</v>
      </c>
      <c r="C5" s="56" t="s">
        <v>23</v>
      </c>
      <c r="D5" s="57">
        <f>'Headloss Calcs'!$A$28</f>
        <v>8</v>
      </c>
      <c r="E5" s="53">
        <f t="shared" si="0"/>
        <v>12.378688849277085</v>
      </c>
      <c r="F5" s="38">
        <f>'Headloss Calcs'!$E$18</f>
        <v>140</v>
      </c>
      <c r="G5" s="53">
        <f t="shared" si="1"/>
        <v>7.0686</v>
      </c>
      <c r="H5" s="53">
        <f t="shared" si="2"/>
        <v>9.4247999999999994</v>
      </c>
      <c r="I5" s="53">
        <f t="shared" si="3"/>
        <v>0.75</v>
      </c>
      <c r="J5" s="53">
        <f t="shared" si="4"/>
        <v>1.7512221443110496</v>
      </c>
      <c r="K5" s="53">
        <f t="shared" si="5"/>
        <v>0.33434200940109193</v>
      </c>
      <c r="L5" s="53"/>
      <c r="M5" s="58">
        <f t="shared" si="6"/>
        <v>0</v>
      </c>
      <c r="N5" s="58">
        <f t="shared" si="7"/>
        <v>0.33434200940109193</v>
      </c>
      <c r="O5" s="59">
        <f t="shared" si="8"/>
        <v>0.35815240535392884</v>
      </c>
    </row>
    <row r="6" spans="1:15" x14ac:dyDescent="0.2">
      <c r="A6" s="37"/>
      <c r="B6" s="55">
        <v>36</v>
      </c>
      <c r="C6" s="56" t="s">
        <v>45</v>
      </c>
      <c r="D6" s="57">
        <f>'Headloss Calcs'!$A$28</f>
        <v>8</v>
      </c>
      <c r="E6" s="53">
        <f t="shared" si="0"/>
        <v>12.378688849277085</v>
      </c>
      <c r="F6" s="38">
        <f>'Headloss Calcs'!$E$18</f>
        <v>140</v>
      </c>
      <c r="G6" s="53">
        <f t="shared" si="1"/>
        <v>7.0686</v>
      </c>
      <c r="H6" s="53">
        <f t="shared" si="2"/>
        <v>9.4247999999999994</v>
      </c>
      <c r="I6" s="53">
        <f t="shared" si="3"/>
        <v>0.75</v>
      </c>
      <c r="J6" s="53">
        <f t="shared" si="4"/>
        <v>1.7512221443110496</v>
      </c>
      <c r="K6" s="53">
        <f t="shared" si="5"/>
        <v>0</v>
      </c>
      <c r="L6" s="53">
        <v>0.2</v>
      </c>
      <c r="M6" s="58">
        <f t="shared" si="6"/>
        <v>9.5241583811347535E-3</v>
      </c>
      <c r="N6" s="58">
        <f t="shared" si="7"/>
        <v>9.5241583811347535E-3</v>
      </c>
      <c r="O6" s="59">
        <f t="shared" si="8"/>
        <v>0.36767656373506358</v>
      </c>
    </row>
    <row r="7" spans="1:15" x14ac:dyDescent="0.2">
      <c r="A7" s="37">
        <v>1320</v>
      </c>
      <c r="B7" s="55">
        <v>36</v>
      </c>
      <c r="C7" s="69" t="s">
        <v>23</v>
      </c>
      <c r="D7" s="57">
        <f>'Headloss Calcs'!$A$28</f>
        <v>8</v>
      </c>
      <c r="E7" s="53">
        <f t="shared" si="0"/>
        <v>12.378688849277085</v>
      </c>
      <c r="F7" s="38">
        <f>'Headloss Calcs'!$E$18</f>
        <v>140</v>
      </c>
      <c r="G7" s="53">
        <f t="shared" si="1"/>
        <v>7.0686</v>
      </c>
      <c r="H7" s="53">
        <f t="shared" si="2"/>
        <v>9.4247999999999994</v>
      </c>
      <c r="I7" s="53">
        <f t="shared" si="3"/>
        <v>0.75</v>
      </c>
      <c r="J7" s="53">
        <f t="shared" si="4"/>
        <v>1.7512221443110496</v>
      </c>
      <c r="K7" s="53">
        <f t="shared" si="5"/>
        <v>0.33434200940109193</v>
      </c>
      <c r="L7" s="53"/>
      <c r="M7" s="58">
        <f t="shared" si="6"/>
        <v>0</v>
      </c>
      <c r="N7" s="58">
        <f t="shared" si="7"/>
        <v>0.33434200940109193</v>
      </c>
      <c r="O7" s="59">
        <f t="shared" si="8"/>
        <v>0.70201857313615545</v>
      </c>
    </row>
    <row r="8" spans="1:15" x14ac:dyDescent="0.2">
      <c r="A8" s="37"/>
      <c r="B8" s="55">
        <v>36</v>
      </c>
      <c r="C8" s="56" t="s">
        <v>39</v>
      </c>
      <c r="D8" s="57">
        <f>'Headloss Calcs'!$A$28</f>
        <v>8</v>
      </c>
      <c r="E8" s="53">
        <f t="shared" si="0"/>
        <v>12.378688849277085</v>
      </c>
      <c r="F8" s="38">
        <f>'Headloss Calcs'!$E$18</f>
        <v>140</v>
      </c>
      <c r="G8" s="53">
        <f t="shared" si="1"/>
        <v>7.0686</v>
      </c>
      <c r="H8" s="53">
        <f t="shared" si="2"/>
        <v>9.4247999999999994</v>
      </c>
      <c r="I8" s="53">
        <f t="shared" si="3"/>
        <v>0.75</v>
      </c>
      <c r="J8" s="53">
        <f t="shared" si="4"/>
        <v>1.7512221443110496</v>
      </c>
      <c r="K8" s="53">
        <f t="shared" si="5"/>
        <v>0</v>
      </c>
      <c r="L8" s="53">
        <v>0.4</v>
      </c>
      <c r="M8" s="58">
        <f t="shared" si="6"/>
        <v>1.9048316762269507E-2</v>
      </c>
      <c r="N8" s="58">
        <f t="shared" si="7"/>
        <v>1.9048316762269507E-2</v>
      </c>
      <c r="O8" s="59">
        <f t="shared" si="8"/>
        <v>0.72106688989842493</v>
      </c>
    </row>
    <row r="9" spans="1:15" x14ac:dyDescent="0.2">
      <c r="A9" s="37">
        <v>1320</v>
      </c>
      <c r="B9" s="55">
        <v>36</v>
      </c>
      <c r="C9" s="56" t="s">
        <v>23</v>
      </c>
      <c r="D9" s="57">
        <f>'Headloss Calcs'!$A$28</f>
        <v>8</v>
      </c>
      <c r="E9" s="53">
        <f t="shared" si="0"/>
        <v>12.378688849277085</v>
      </c>
      <c r="F9" s="38">
        <f>'Headloss Calcs'!$E$18</f>
        <v>140</v>
      </c>
      <c r="G9" s="53">
        <f t="shared" si="1"/>
        <v>7.0686</v>
      </c>
      <c r="H9" s="53">
        <f t="shared" si="2"/>
        <v>9.4247999999999994</v>
      </c>
      <c r="I9" s="53">
        <f t="shared" si="3"/>
        <v>0.75</v>
      </c>
      <c r="J9" s="53">
        <f t="shared" si="4"/>
        <v>1.7512221443110496</v>
      </c>
      <c r="K9" s="53">
        <f t="shared" si="5"/>
        <v>0.33434200940109193</v>
      </c>
      <c r="L9" s="53"/>
      <c r="M9" s="58">
        <f t="shared" si="6"/>
        <v>0</v>
      </c>
      <c r="N9" s="58">
        <f t="shared" si="7"/>
        <v>0.33434200940109193</v>
      </c>
      <c r="O9" s="59">
        <f t="shared" si="8"/>
        <v>1.055408899299517</v>
      </c>
    </row>
    <row r="10" spans="1:15" x14ac:dyDescent="0.2">
      <c r="A10" s="37"/>
      <c r="B10" s="55">
        <v>36</v>
      </c>
      <c r="C10" s="56" t="s">
        <v>39</v>
      </c>
      <c r="D10" s="57">
        <f>'Headloss Calcs'!$A$28</f>
        <v>8</v>
      </c>
      <c r="E10" s="53">
        <f t="shared" si="0"/>
        <v>12.378688849277085</v>
      </c>
      <c r="F10" s="38">
        <f>'Headloss Calcs'!$E$18</f>
        <v>140</v>
      </c>
      <c r="G10" s="53">
        <f t="shared" si="1"/>
        <v>7.0686</v>
      </c>
      <c r="H10" s="53">
        <f t="shared" si="2"/>
        <v>9.4247999999999994</v>
      </c>
      <c r="I10" s="53">
        <f t="shared" si="3"/>
        <v>0.75</v>
      </c>
      <c r="J10" s="53">
        <f t="shared" si="4"/>
        <v>1.7512221443110496</v>
      </c>
      <c r="K10" s="53">
        <f t="shared" si="5"/>
        <v>0</v>
      </c>
      <c r="L10" s="53">
        <v>0.4</v>
      </c>
      <c r="M10" s="58">
        <f t="shared" si="6"/>
        <v>1.9048316762269507E-2</v>
      </c>
      <c r="N10" s="58">
        <f t="shared" si="7"/>
        <v>1.9048316762269507E-2</v>
      </c>
      <c r="O10" s="59">
        <f t="shared" si="8"/>
        <v>1.0744572160617865</v>
      </c>
    </row>
    <row r="11" spans="1:15" x14ac:dyDescent="0.2">
      <c r="A11" s="37">
        <v>1320</v>
      </c>
      <c r="B11" s="55">
        <v>36</v>
      </c>
      <c r="C11" s="56" t="s">
        <v>23</v>
      </c>
      <c r="D11" s="57">
        <f>'Headloss Calcs'!$A$28</f>
        <v>8</v>
      </c>
      <c r="E11" s="53">
        <f t="shared" si="0"/>
        <v>12.378688849277085</v>
      </c>
      <c r="F11" s="38">
        <f>'Headloss Calcs'!$E$18</f>
        <v>140</v>
      </c>
      <c r="G11" s="53">
        <f t="shared" si="1"/>
        <v>7.0686</v>
      </c>
      <c r="H11" s="53">
        <f t="shared" si="2"/>
        <v>9.4247999999999994</v>
      </c>
      <c r="I11" s="53">
        <f t="shared" si="3"/>
        <v>0.75</v>
      </c>
      <c r="J11" s="53">
        <f t="shared" si="4"/>
        <v>1.7512221443110496</v>
      </c>
      <c r="K11" s="53">
        <f t="shared" si="5"/>
        <v>0.33434200940109193</v>
      </c>
      <c r="L11" s="53"/>
      <c r="M11" s="58">
        <f t="shared" si="6"/>
        <v>0</v>
      </c>
      <c r="N11" s="58">
        <f t="shared" si="7"/>
        <v>0.33434200940109193</v>
      </c>
      <c r="O11" s="59">
        <f t="shared" si="8"/>
        <v>1.4087992254628783</v>
      </c>
    </row>
    <row r="12" spans="1:15" x14ac:dyDescent="0.2">
      <c r="A12" s="37"/>
      <c r="B12" s="55">
        <v>36</v>
      </c>
      <c r="C12" s="56" t="s">
        <v>48</v>
      </c>
      <c r="D12" s="57">
        <f>'Headloss Calcs'!$A$28</f>
        <v>8</v>
      </c>
      <c r="E12" s="53">
        <f t="shared" si="0"/>
        <v>12.378688849277085</v>
      </c>
      <c r="F12" s="38">
        <f>'Headloss Calcs'!$E$18</f>
        <v>140</v>
      </c>
      <c r="G12" s="53">
        <f t="shared" si="1"/>
        <v>7.0686</v>
      </c>
      <c r="H12" s="53">
        <f t="shared" si="2"/>
        <v>9.4247999999999994</v>
      </c>
      <c r="I12" s="53">
        <f t="shared" si="3"/>
        <v>0.75</v>
      </c>
      <c r="J12" s="53">
        <f t="shared" si="4"/>
        <v>1.7512221443110496</v>
      </c>
      <c r="K12" s="53">
        <f t="shared" si="5"/>
        <v>0</v>
      </c>
      <c r="L12" s="53">
        <v>0.4</v>
      </c>
      <c r="M12" s="58">
        <f t="shared" si="6"/>
        <v>1.9048316762269507E-2</v>
      </c>
      <c r="N12" s="58">
        <f t="shared" si="7"/>
        <v>1.9048316762269507E-2</v>
      </c>
      <c r="O12" s="59">
        <f t="shared" si="8"/>
        <v>1.4278475422251478</v>
      </c>
    </row>
    <row r="13" spans="1:15" x14ac:dyDescent="0.2">
      <c r="A13" s="37">
        <v>1320</v>
      </c>
      <c r="B13" s="55">
        <v>36</v>
      </c>
      <c r="C13" s="56" t="s">
        <v>23</v>
      </c>
      <c r="D13" s="57">
        <f>'Headloss Calcs'!$A$28</f>
        <v>8</v>
      </c>
      <c r="E13" s="53">
        <f t="shared" si="0"/>
        <v>12.378688849277085</v>
      </c>
      <c r="F13" s="38">
        <f>'Headloss Calcs'!$E$18</f>
        <v>140</v>
      </c>
      <c r="G13" s="53">
        <f t="shared" si="1"/>
        <v>7.0686</v>
      </c>
      <c r="H13" s="53">
        <f t="shared" si="2"/>
        <v>9.4247999999999994</v>
      </c>
      <c r="I13" s="53">
        <f t="shared" si="3"/>
        <v>0.75</v>
      </c>
      <c r="J13" s="53">
        <f t="shared" si="4"/>
        <v>1.7512221443110496</v>
      </c>
      <c r="K13" s="53">
        <f t="shared" si="5"/>
        <v>0.33434200940109193</v>
      </c>
      <c r="L13" s="53"/>
      <c r="M13" s="58">
        <f t="shared" si="6"/>
        <v>0</v>
      </c>
      <c r="N13" s="58">
        <f t="shared" si="7"/>
        <v>0.33434200940109193</v>
      </c>
      <c r="O13" s="59">
        <f t="shared" si="8"/>
        <v>1.7621895516262396</v>
      </c>
    </row>
    <row r="14" spans="1:15" x14ac:dyDescent="0.2">
      <c r="A14" s="37"/>
      <c r="B14" s="55">
        <v>36</v>
      </c>
      <c r="C14" s="56" t="s">
        <v>39</v>
      </c>
      <c r="D14" s="57">
        <f>'Headloss Calcs'!$A$28</f>
        <v>8</v>
      </c>
      <c r="E14" s="53">
        <f t="shared" si="0"/>
        <v>12.378688849277085</v>
      </c>
      <c r="F14" s="38">
        <f>'Headloss Calcs'!$E$18</f>
        <v>140</v>
      </c>
      <c r="G14" s="53">
        <f t="shared" si="1"/>
        <v>7.0686</v>
      </c>
      <c r="H14" s="53">
        <f t="shared" si="2"/>
        <v>9.4247999999999994</v>
      </c>
      <c r="I14" s="53">
        <f t="shared" si="3"/>
        <v>0.75</v>
      </c>
      <c r="J14" s="53">
        <f t="shared" si="4"/>
        <v>1.7512221443110496</v>
      </c>
      <c r="K14" s="53">
        <f t="shared" si="5"/>
        <v>0</v>
      </c>
      <c r="L14" s="53">
        <v>0.4</v>
      </c>
      <c r="M14" s="58">
        <f t="shared" si="6"/>
        <v>1.9048316762269507E-2</v>
      </c>
      <c r="N14" s="58">
        <f t="shared" si="7"/>
        <v>1.9048316762269507E-2</v>
      </c>
      <c r="O14" s="59">
        <f t="shared" si="8"/>
        <v>1.7812378683885091</v>
      </c>
    </row>
    <row r="15" spans="1:15" x14ac:dyDescent="0.2">
      <c r="A15" s="37">
        <v>1320</v>
      </c>
      <c r="B15" s="55">
        <v>36</v>
      </c>
      <c r="C15" s="56" t="s">
        <v>23</v>
      </c>
      <c r="D15" s="57">
        <f>'Headloss Calcs'!$A$28</f>
        <v>8</v>
      </c>
      <c r="E15" s="53">
        <f t="shared" si="0"/>
        <v>12.378688849277085</v>
      </c>
      <c r="F15" s="38">
        <f>'Headloss Calcs'!$E$18</f>
        <v>140</v>
      </c>
      <c r="G15" s="53">
        <f t="shared" si="1"/>
        <v>7.0686</v>
      </c>
      <c r="H15" s="53">
        <f t="shared" si="2"/>
        <v>9.4247999999999994</v>
      </c>
      <c r="I15" s="53">
        <f t="shared" si="3"/>
        <v>0.75</v>
      </c>
      <c r="J15" s="53">
        <f t="shared" si="4"/>
        <v>1.7512221443110496</v>
      </c>
      <c r="K15" s="53">
        <f t="shared" si="5"/>
        <v>0.33434200940109193</v>
      </c>
      <c r="L15" s="53"/>
      <c r="M15" s="58">
        <f t="shared" si="6"/>
        <v>0</v>
      </c>
      <c r="N15" s="58">
        <f t="shared" si="7"/>
        <v>0.33434200940109193</v>
      </c>
      <c r="O15" s="59">
        <f t="shared" si="8"/>
        <v>2.1155798777896009</v>
      </c>
    </row>
    <row r="16" spans="1:15" x14ac:dyDescent="0.2">
      <c r="A16" s="37"/>
      <c r="B16" s="55">
        <v>36</v>
      </c>
      <c r="C16" s="56" t="s">
        <v>45</v>
      </c>
      <c r="D16" s="57">
        <f>'Headloss Calcs'!$A$28</f>
        <v>8</v>
      </c>
      <c r="E16" s="53">
        <f t="shared" si="0"/>
        <v>12.378688849277085</v>
      </c>
      <c r="F16" s="38">
        <f>'Headloss Calcs'!$E$18</f>
        <v>140</v>
      </c>
      <c r="G16" s="53">
        <f t="shared" si="1"/>
        <v>7.0686</v>
      </c>
      <c r="H16" s="53">
        <f t="shared" si="2"/>
        <v>9.4247999999999994</v>
      </c>
      <c r="I16" s="53">
        <f t="shared" si="3"/>
        <v>0.75</v>
      </c>
      <c r="J16" s="53">
        <f t="shared" si="4"/>
        <v>1.7512221443110496</v>
      </c>
      <c r="K16" s="53">
        <f t="shared" si="5"/>
        <v>0</v>
      </c>
      <c r="L16" s="53">
        <v>0.2</v>
      </c>
      <c r="M16" s="58">
        <f t="shared" si="6"/>
        <v>9.5241583811347535E-3</v>
      </c>
      <c r="N16" s="58">
        <f t="shared" si="7"/>
        <v>9.5241583811347535E-3</v>
      </c>
      <c r="O16" s="59">
        <f t="shared" si="8"/>
        <v>2.1251040361707356</v>
      </c>
    </row>
    <row r="17" spans="1:15" x14ac:dyDescent="0.2">
      <c r="A17" s="37">
        <v>1320</v>
      </c>
      <c r="B17" s="55">
        <v>36</v>
      </c>
      <c r="C17" s="56" t="s">
        <v>23</v>
      </c>
      <c r="D17" s="57">
        <f>'Headloss Calcs'!$A$28</f>
        <v>8</v>
      </c>
      <c r="E17" s="53">
        <f t="shared" si="0"/>
        <v>12.378688849277085</v>
      </c>
      <c r="F17" s="38">
        <f>'Headloss Calcs'!$E$18</f>
        <v>140</v>
      </c>
      <c r="G17" s="53">
        <f t="shared" si="1"/>
        <v>7.0686</v>
      </c>
      <c r="H17" s="53">
        <f t="shared" si="2"/>
        <v>9.4247999999999994</v>
      </c>
      <c r="I17" s="53">
        <f t="shared" si="3"/>
        <v>0.75</v>
      </c>
      <c r="J17" s="53">
        <f t="shared" si="4"/>
        <v>1.7512221443110496</v>
      </c>
      <c r="K17" s="53">
        <f t="shared" si="5"/>
        <v>0.33434200940109193</v>
      </c>
      <c r="L17" s="53"/>
      <c r="M17" s="58">
        <f t="shared" si="6"/>
        <v>0</v>
      </c>
      <c r="N17" s="58">
        <f t="shared" si="7"/>
        <v>0.33434200940109193</v>
      </c>
      <c r="O17" s="59">
        <f t="shared" si="8"/>
        <v>2.4594460455718274</v>
      </c>
    </row>
    <row r="18" spans="1:15" ht="12" customHeight="1" x14ac:dyDescent="0.2">
      <c r="A18" s="37"/>
      <c r="B18" s="55">
        <v>36</v>
      </c>
      <c r="C18" s="56" t="s">
        <v>44</v>
      </c>
      <c r="D18" s="57">
        <f>'Headloss Calcs'!$A$28</f>
        <v>8</v>
      </c>
      <c r="E18" s="53">
        <f t="shared" si="0"/>
        <v>12.378688849277085</v>
      </c>
      <c r="F18" s="38">
        <f>'Headloss Calcs'!$E$18</f>
        <v>140</v>
      </c>
      <c r="G18" s="53">
        <f t="shared" si="1"/>
        <v>7.0686</v>
      </c>
      <c r="H18" s="53">
        <f t="shared" si="2"/>
        <v>9.4247999999999994</v>
      </c>
      <c r="I18" s="53">
        <f t="shared" si="3"/>
        <v>0.75</v>
      </c>
      <c r="J18" s="53">
        <f t="shared" si="4"/>
        <v>1.7512221443110496</v>
      </c>
      <c r="K18" s="53">
        <f t="shared" si="5"/>
        <v>0</v>
      </c>
      <c r="L18" s="53">
        <v>1</v>
      </c>
      <c r="M18" s="58">
        <f t="shared" si="6"/>
        <v>4.7620791905673761E-2</v>
      </c>
      <c r="N18" s="58">
        <f t="shared" si="7"/>
        <v>4.7620791905673761E-2</v>
      </c>
      <c r="O18" s="59">
        <f t="shared" si="8"/>
        <v>2.5070668374775011</v>
      </c>
    </row>
    <row r="19" spans="1:15" ht="13.5" thickBot="1" x14ac:dyDescent="0.25">
      <c r="A19" s="39"/>
      <c r="B19" s="40"/>
      <c r="C19" s="41"/>
      <c r="D19" s="40"/>
      <c r="E19" s="42"/>
      <c r="F19" s="40"/>
      <c r="G19" s="54"/>
      <c r="H19" s="54"/>
      <c r="I19" s="54"/>
      <c r="J19" s="54"/>
      <c r="K19" s="54"/>
      <c r="L19" s="54"/>
      <c r="M19" s="60"/>
      <c r="N19" s="60" t="s">
        <v>40</v>
      </c>
      <c r="O19" s="61">
        <f>O18</f>
        <v>2.5070668374775011</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Calcs'!$A$28</f>
        <v>8</v>
      </c>
      <c r="E22" s="53">
        <f t="shared" ref="E22:E37" si="9">D22*1000000/(7.48*24*60*60)</f>
        <v>12.378688849277085</v>
      </c>
      <c r="F22" s="38">
        <f>'Headloss Calcs'!$H$18</f>
        <v>100</v>
      </c>
      <c r="G22" s="53">
        <f t="shared" ref="G22:G37" si="10">3.1416/4*(B22/12)^2</f>
        <v>7.0686</v>
      </c>
      <c r="H22" s="53">
        <f t="shared" ref="H22:H37" si="11">3.1416*(B22/12)</f>
        <v>9.4247999999999994</v>
      </c>
      <c r="I22" s="53">
        <f t="shared" ref="I22:I37" si="12">G22/H22</f>
        <v>0.75</v>
      </c>
      <c r="J22" s="53">
        <f t="shared" ref="J22:J37" si="13">E22/G22</f>
        <v>1.7512221443110496</v>
      </c>
      <c r="K22" s="53">
        <f t="shared" ref="K22:K37" si="14">(J22/(1.318*F22*I22^0.63))^1.85*A22</f>
        <v>0</v>
      </c>
      <c r="L22" s="53">
        <v>0.25</v>
      </c>
      <c r="M22" s="58">
        <f t="shared" ref="M22:M37" si="15">L22*(J22^2)/(2*32.2)</f>
        <v>1.190519797641844E-2</v>
      </c>
      <c r="N22" s="58">
        <f t="shared" ref="N22:N37" si="16">K22+M22</f>
        <v>1.190519797641844E-2</v>
      </c>
      <c r="O22" s="59">
        <f>N22</f>
        <v>1.190519797641844E-2</v>
      </c>
    </row>
    <row r="23" spans="1:15" x14ac:dyDescent="0.2">
      <c r="A23" s="37"/>
      <c r="B23" s="55">
        <v>36</v>
      </c>
      <c r="C23" s="56" t="s">
        <v>47</v>
      </c>
      <c r="D23" s="57">
        <f>'Headloss Calcs'!$A$28</f>
        <v>8</v>
      </c>
      <c r="E23" s="53">
        <f t="shared" si="9"/>
        <v>12.378688849277085</v>
      </c>
      <c r="F23" s="38">
        <f>'Headloss Calcs'!$H$18</f>
        <v>100</v>
      </c>
      <c r="G23" s="53">
        <f t="shared" si="10"/>
        <v>7.0686</v>
      </c>
      <c r="H23" s="53">
        <f t="shared" si="11"/>
        <v>9.4247999999999994</v>
      </c>
      <c r="I23" s="53">
        <f t="shared" si="12"/>
        <v>0.75</v>
      </c>
      <c r="J23" s="53">
        <f t="shared" si="13"/>
        <v>1.7512221443110496</v>
      </c>
      <c r="K23" s="53">
        <f t="shared" si="14"/>
        <v>0</v>
      </c>
      <c r="L23" s="53">
        <v>0.25</v>
      </c>
      <c r="M23" s="58">
        <f t="shared" si="15"/>
        <v>1.190519797641844E-2</v>
      </c>
      <c r="N23" s="58">
        <f t="shared" si="16"/>
        <v>1.190519797641844E-2</v>
      </c>
      <c r="O23" s="59">
        <f t="shared" ref="O23:O37" si="17">N23+O22</f>
        <v>2.381039595283688E-2</v>
      </c>
    </row>
    <row r="24" spans="1:15" x14ac:dyDescent="0.2">
      <c r="A24" s="37">
        <v>1320</v>
      </c>
      <c r="B24" s="55">
        <v>36</v>
      </c>
      <c r="C24" s="56" t="s">
        <v>23</v>
      </c>
      <c r="D24" s="57">
        <f>'Headloss Calcs'!$A$28</f>
        <v>8</v>
      </c>
      <c r="E24" s="53">
        <f t="shared" si="9"/>
        <v>12.378688849277085</v>
      </c>
      <c r="F24" s="38">
        <f>'Headloss Calcs'!$H$18</f>
        <v>100</v>
      </c>
      <c r="G24" s="53">
        <f t="shared" si="10"/>
        <v>7.0686</v>
      </c>
      <c r="H24" s="53">
        <f t="shared" si="11"/>
        <v>9.4247999999999994</v>
      </c>
      <c r="I24" s="53">
        <f t="shared" si="12"/>
        <v>0.75</v>
      </c>
      <c r="J24" s="53">
        <f t="shared" si="13"/>
        <v>1.7512221443110496</v>
      </c>
      <c r="K24" s="53">
        <f t="shared" si="14"/>
        <v>0.62305704964484354</v>
      </c>
      <c r="L24" s="53"/>
      <c r="M24" s="58">
        <f t="shared" si="15"/>
        <v>0</v>
      </c>
      <c r="N24" s="58">
        <f t="shared" si="16"/>
        <v>0.62305704964484354</v>
      </c>
      <c r="O24" s="59">
        <f t="shared" si="17"/>
        <v>0.64686744559768039</v>
      </c>
    </row>
    <row r="25" spans="1:15" x14ac:dyDescent="0.2">
      <c r="A25" s="37"/>
      <c r="B25" s="55">
        <v>36</v>
      </c>
      <c r="C25" s="56" t="s">
        <v>45</v>
      </c>
      <c r="D25" s="57">
        <f>'Headloss Calcs'!$A$28</f>
        <v>8</v>
      </c>
      <c r="E25" s="53">
        <f t="shared" si="9"/>
        <v>12.378688849277085</v>
      </c>
      <c r="F25" s="38">
        <f>'Headloss Calcs'!$H$18</f>
        <v>100</v>
      </c>
      <c r="G25" s="53">
        <f t="shared" si="10"/>
        <v>7.0686</v>
      </c>
      <c r="H25" s="53">
        <f t="shared" si="11"/>
        <v>9.4247999999999994</v>
      </c>
      <c r="I25" s="53">
        <f t="shared" si="12"/>
        <v>0.75</v>
      </c>
      <c r="J25" s="53">
        <f t="shared" si="13"/>
        <v>1.7512221443110496</v>
      </c>
      <c r="K25" s="53">
        <f t="shared" si="14"/>
        <v>0</v>
      </c>
      <c r="L25" s="53">
        <v>0.2</v>
      </c>
      <c r="M25" s="58">
        <f t="shared" si="15"/>
        <v>9.5241583811347535E-3</v>
      </c>
      <c r="N25" s="58">
        <f t="shared" si="16"/>
        <v>9.5241583811347535E-3</v>
      </c>
      <c r="O25" s="59">
        <f t="shared" si="17"/>
        <v>0.65639160397881513</v>
      </c>
    </row>
    <row r="26" spans="1:15" x14ac:dyDescent="0.2">
      <c r="A26" s="37">
        <v>1320</v>
      </c>
      <c r="B26" s="55">
        <v>36</v>
      </c>
      <c r="C26" s="69" t="s">
        <v>23</v>
      </c>
      <c r="D26" s="57">
        <f>'Headloss Calcs'!$A$28</f>
        <v>8</v>
      </c>
      <c r="E26" s="53">
        <f t="shared" si="9"/>
        <v>12.378688849277085</v>
      </c>
      <c r="F26" s="38">
        <f>'Headloss Calcs'!$H$18</f>
        <v>100</v>
      </c>
      <c r="G26" s="53">
        <f t="shared" si="10"/>
        <v>7.0686</v>
      </c>
      <c r="H26" s="53">
        <f t="shared" si="11"/>
        <v>9.4247999999999994</v>
      </c>
      <c r="I26" s="53">
        <f t="shared" si="12"/>
        <v>0.75</v>
      </c>
      <c r="J26" s="53">
        <f t="shared" si="13"/>
        <v>1.7512221443110496</v>
      </c>
      <c r="K26" s="53">
        <f t="shared" si="14"/>
        <v>0.62305704964484354</v>
      </c>
      <c r="L26" s="53"/>
      <c r="M26" s="58">
        <f t="shared" si="15"/>
        <v>0</v>
      </c>
      <c r="N26" s="58">
        <f t="shared" si="16"/>
        <v>0.62305704964484354</v>
      </c>
      <c r="O26" s="59">
        <f t="shared" si="17"/>
        <v>1.2794486536236587</v>
      </c>
    </row>
    <row r="27" spans="1:15" x14ac:dyDescent="0.2">
      <c r="A27" s="37"/>
      <c r="B27" s="55">
        <v>36</v>
      </c>
      <c r="C27" s="56" t="s">
        <v>39</v>
      </c>
      <c r="D27" s="57">
        <f>'Headloss Calcs'!$A$28</f>
        <v>8</v>
      </c>
      <c r="E27" s="53">
        <f t="shared" si="9"/>
        <v>12.378688849277085</v>
      </c>
      <c r="F27" s="38">
        <f>'Headloss Calcs'!$H$18</f>
        <v>100</v>
      </c>
      <c r="G27" s="53">
        <f t="shared" si="10"/>
        <v>7.0686</v>
      </c>
      <c r="H27" s="53">
        <f t="shared" si="11"/>
        <v>9.4247999999999994</v>
      </c>
      <c r="I27" s="53">
        <f t="shared" si="12"/>
        <v>0.75</v>
      </c>
      <c r="J27" s="53">
        <f t="shared" si="13"/>
        <v>1.7512221443110496</v>
      </c>
      <c r="K27" s="53">
        <f t="shared" si="14"/>
        <v>0</v>
      </c>
      <c r="L27" s="53">
        <v>0.4</v>
      </c>
      <c r="M27" s="58">
        <f t="shared" si="15"/>
        <v>1.9048316762269507E-2</v>
      </c>
      <c r="N27" s="58">
        <f t="shared" si="16"/>
        <v>1.9048316762269507E-2</v>
      </c>
      <c r="O27" s="59">
        <f t="shared" si="17"/>
        <v>1.2984969703859282</v>
      </c>
    </row>
    <row r="28" spans="1:15" x14ac:dyDescent="0.2">
      <c r="A28" s="37">
        <v>1320</v>
      </c>
      <c r="B28" s="55">
        <v>36</v>
      </c>
      <c r="C28" s="56" t="s">
        <v>23</v>
      </c>
      <c r="D28" s="57">
        <f>'Headloss Calcs'!$A$28</f>
        <v>8</v>
      </c>
      <c r="E28" s="53">
        <f t="shared" si="9"/>
        <v>12.378688849277085</v>
      </c>
      <c r="F28" s="38">
        <f>'Headloss Calcs'!$H$18</f>
        <v>100</v>
      </c>
      <c r="G28" s="53">
        <f t="shared" si="10"/>
        <v>7.0686</v>
      </c>
      <c r="H28" s="53">
        <f t="shared" si="11"/>
        <v>9.4247999999999994</v>
      </c>
      <c r="I28" s="53">
        <f t="shared" si="12"/>
        <v>0.75</v>
      </c>
      <c r="J28" s="53">
        <f t="shared" si="13"/>
        <v>1.7512221443110496</v>
      </c>
      <c r="K28" s="53">
        <f t="shared" si="14"/>
        <v>0.62305704964484354</v>
      </c>
      <c r="L28" s="53"/>
      <c r="M28" s="58">
        <f t="shared" si="15"/>
        <v>0</v>
      </c>
      <c r="N28" s="58">
        <f t="shared" si="16"/>
        <v>0.62305704964484354</v>
      </c>
      <c r="O28" s="59">
        <f t="shared" si="17"/>
        <v>1.9215540200307717</v>
      </c>
    </row>
    <row r="29" spans="1:15" x14ac:dyDescent="0.2">
      <c r="A29" s="37"/>
      <c r="B29" s="55">
        <v>36</v>
      </c>
      <c r="C29" s="56" t="s">
        <v>39</v>
      </c>
      <c r="D29" s="57">
        <f>'Headloss Calcs'!$A$28</f>
        <v>8</v>
      </c>
      <c r="E29" s="53">
        <f t="shared" si="9"/>
        <v>12.378688849277085</v>
      </c>
      <c r="F29" s="38">
        <f>'Headloss Calcs'!$H$18</f>
        <v>100</v>
      </c>
      <c r="G29" s="53">
        <f t="shared" si="10"/>
        <v>7.0686</v>
      </c>
      <c r="H29" s="53">
        <f t="shared" si="11"/>
        <v>9.4247999999999994</v>
      </c>
      <c r="I29" s="53">
        <f t="shared" si="12"/>
        <v>0.75</v>
      </c>
      <c r="J29" s="53">
        <f t="shared" si="13"/>
        <v>1.7512221443110496</v>
      </c>
      <c r="K29" s="53">
        <f t="shared" si="14"/>
        <v>0</v>
      </c>
      <c r="L29" s="53">
        <v>0.4</v>
      </c>
      <c r="M29" s="58">
        <f t="shared" si="15"/>
        <v>1.9048316762269507E-2</v>
      </c>
      <c r="N29" s="58">
        <f t="shared" si="16"/>
        <v>1.9048316762269507E-2</v>
      </c>
      <c r="O29" s="59">
        <f t="shared" si="17"/>
        <v>1.9406023367930412</v>
      </c>
    </row>
    <row r="30" spans="1:15" x14ac:dyDescent="0.2">
      <c r="A30" s="37">
        <v>1320</v>
      </c>
      <c r="B30" s="55">
        <v>36</v>
      </c>
      <c r="C30" s="56" t="s">
        <v>23</v>
      </c>
      <c r="D30" s="57">
        <f>'Headloss Calcs'!$A$28</f>
        <v>8</v>
      </c>
      <c r="E30" s="53">
        <f t="shared" si="9"/>
        <v>12.378688849277085</v>
      </c>
      <c r="F30" s="38">
        <f>'Headloss Calcs'!$H$18</f>
        <v>100</v>
      </c>
      <c r="G30" s="53">
        <f t="shared" si="10"/>
        <v>7.0686</v>
      </c>
      <c r="H30" s="53">
        <f t="shared" si="11"/>
        <v>9.4247999999999994</v>
      </c>
      <c r="I30" s="53">
        <f t="shared" si="12"/>
        <v>0.75</v>
      </c>
      <c r="J30" s="53">
        <f t="shared" si="13"/>
        <v>1.7512221443110496</v>
      </c>
      <c r="K30" s="53">
        <f t="shared" si="14"/>
        <v>0.62305704964484354</v>
      </c>
      <c r="L30" s="53"/>
      <c r="M30" s="58">
        <f t="shared" si="15"/>
        <v>0</v>
      </c>
      <c r="N30" s="58">
        <f t="shared" si="16"/>
        <v>0.62305704964484354</v>
      </c>
      <c r="O30" s="59">
        <f t="shared" si="17"/>
        <v>2.5636593864378847</v>
      </c>
    </row>
    <row r="31" spans="1:15" x14ac:dyDescent="0.2">
      <c r="A31" s="37"/>
      <c r="B31" s="55">
        <v>36</v>
      </c>
      <c r="C31" s="56" t="s">
        <v>48</v>
      </c>
      <c r="D31" s="57">
        <f>'Headloss Calcs'!$A$28</f>
        <v>8</v>
      </c>
      <c r="E31" s="53">
        <f t="shared" si="9"/>
        <v>12.378688849277085</v>
      </c>
      <c r="F31" s="38">
        <f>'Headloss Calcs'!$H$18</f>
        <v>100</v>
      </c>
      <c r="G31" s="53">
        <f t="shared" si="10"/>
        <v>7.0686</v>
      </c>
      <c r="H31" s="53">
        <f t="shared" si="11"/>
        <v>9.4247999999999994</v>
      </c>
      <c r="I31" s="53">
        <f t="shared" si="12"/>
        <v>0.75</v>
      </c>
      <c r="J31" s="53">
        <f t="shared" si="13"/>
        <v>1.7512221443110496</v>
      </c>
      <c r="K31" s="53">
        <f t="shared" si="14"/>
        <v>0</v>
      </c>
      <c r="L31" s="53">
        <v>0.4</v>
      </c>
      <c r="M31" s="58">
        <f t="shared" si="15"/>
        <v>1.9048316762269507E-2</v>
      </c>
      <c r="N31" s="58">
        <f t="shared" si="16"/>
        <v>1.9048316762269507E-2</v>
      </c>
      <c r="O31" s="59">
        <f t="shared" si="17"/>
        <v>2.5827077032001542</v>
      </c>
    </row>
    <row r="32" spans="1:15" x14ac:dyDescent="0.2">
      <c r="A32" s="37">
        <v>1320</v>
      </c>
      <c r="B32" s="55">
        <v>36</v>
      </c>
      <c r="C32" s="56" t="s">
        <v>23</v>
      </c>
      <c r="D32" s="57">
        <f>'Headloss Calcs'!$A$28</f>
        <v>8</v>
      </c>
      <c r="E32" s="53">
        <f t="shared" si="9"/>
        <v>12.378688849277085</v>
      </c>
      <c r="F32" s="38">
        <f>'Headloss Calcs'!$H$18</f>
        <v>100</v>
      </c>
      <c r="G32" s="53">
        <f t="shared" si="10"/>
        <v>7.0686</v>
      </c>
      <c r="H32" s="53">
        <f t="shared" si="11"/>
        <v>9.4247999999999994</v>
      </c>
      <c r="I32" s="53">
        <f t="shared" si="12"/>
        <v>0.75</v>
      </c>
      <c r="J32" s="53">
        <f t="shared" si="13"/>
        <v>1.7512221443110496</v>
      </c>
      <c r="K32" s="53">
        <f t="shared" si="14"/>
        <v>0.62305704964484354</v>
      </c>
      <c r="L32" s="53"/>
      <c r="M32" s="58">
        <f t="shared" si="15"/>
        <v>0</v>
      </c>
      <c r="N32" s="58">
        <f t="shared" si="16"/>
        <v>0.62305704964484354</v>
      </c>
      <c r="O32" s="59">
        <f t="shared" si="17"/>
        <v>3.2057647528449977</v>
      </c>
    </row>
    <row r="33" spans="1:15" x14ac:dyDescent="0.2">
      <c r="A33" s="37"/>
      <c r="B33" s="55">
        <v>36</v>
      </c>
      <c r="C33" s="56" t="s">
        <v>39</v>
      </c>
      <c r="D33" s="57">
        <f>'Headloss Calcs'!$A$28</f>
        <v>8</v>
      </c>
      <c r="E33" s="53">
        <f t="shared" si="9"/>
        <v>12.378688849277085</v>
      </c>
      <c r="F33" s="38">
        <f>'Headloss Calcs'!$H$18</f>
        <v>100</v>
      </c>
      <c r="G33" s="53">
        <f t="shared" si="10"/>
        <v>7.0686</v>
      </c>
      <c r="H33" s="53">
        <f t="shared" si="11"/>
        <v>9.4247999999999994</v>
      </c>
      <c r="I33" s="53">
        <f t="shared" si="12"/>
        <v>0.75</v>
      </c>
      <c r="J33" s="53">
        <f t="shared" si="13"/>
        <v>1.7512221443110496</v>
      </c>
      <c r="K33" s="53">
        <f t="shared" si="14"/>
        <v>0</v>
      </c>
      <c r="L33" s="53">
        <v>0.4</v>
      </c>
      <c r="M33" s="58">
        <f t="shared" si="15"/>
        <v>1.9048316762269507E-2</v>
      </c>
      <c r="N33" s="58">
        <f t="shared" si="16"/>
        <v>1.9048316762269507E-2</v>
      </c>
      <c r="O33" s="59">
        <f t="shared" si="17"/>
        <v>3.2248130696072672</v>
      </c>
    </row>
    <row r="34" spans="1:15" x14ac:dyDescent="0.2">
      <c r="A34" s="37">
        <v>1320</v>
      </c>
      <c r="B34" s="55">
        <v>36</v>
      </c>
      <c r="C34" s="56" t="s">
        <v>23</v>
      </c>
      <c r="D34" s="57">
        <f>'Headloss Calcs'!$A$28</f>
        <v>8</v>
      </c>
      <c r="E34" s="53">
        <f t="shared" si="9"/>
        <v>12.378688849277085</v>
      </c>
      <c r="F34" s="38">
        <f>'Headloss Calcs'!$H$18</f>
        <v>100</v>
      </c>
      <c r="G34" s="53">
        <f t="shared" si="10"/>
        <v>7.0686</v>
      </c>
      <c r="H34" s="53">
        <f t="shared" si="11"/>
        <v>9.4247999999999994</v>
      </c>
      <c r="I34" s="53">
        <f t="shared" si="12"/>
        <v>0.75</v>
      </c>
      <c r="J34" s="53">
        <f t="shared" si="13"/>
        <v>1.7512221443110496</v>
      </c>
      <c r="K34" s="53">
        <f t="shared" si="14"/>
        <v>0.62305704964484354</v>
      </c>
      <c r="L34" s="53"/>
      <c r="M34" s="58">
        <f t="shared" si="15"/>
        <v>0</v>
      </c>
      <c r="N34" s="58">
        <f t="shared" si="16"/>
        <v>0.62305704964484354</v>
      </c>
      <c r="O34" s="59">
        <f t="shared" si="17"/>
        <v>3.8478701192521108</v>
      </c>
    </row>
    <row r="35" spans="1:15" x14ac:dyDescent="0.2">
      <c r="A35" s="37"/>
      <c r="B35" s="55">
        <v>36</v>
      </c>
      <c r="C35" s="56" t="s">
        <v>45</v>
      </c>
      <c r="D35" s="57">
        <f>'Headloss Calcs'!$A$28</f>
        <v>8</v>
      </c>
      <c r="E35" s="53">
        <f t="shared" si="9"/>
        <v>12.378688849277085</v>
      </c>
      <c r="F35" s="38">
        <f>'Headloss Calcs'!$H$18</f>
        <v>100</v>
      </c>
      <c r="G35" s="53">
        <f t="shared" si="10"/>
        <v>7.0686</v>
      </c>
      <c r="H35" s="53">
        <f t="shared" si="11"/>
        <v>9.4247999999999994</v>
      </c>
      <c r="I35" s="53">
        <f t="shared" si="12"/>
        <v>0.75</v>
      </c>
      <c r="J35" s="53">
        <f t="shared" si="13"/>
        <v>1.7512221443110496</v>
      </c>
      <c r="K35" s="53">
        <f t="shared" si="14"/>
        <v>0</v>
      </c>
      <c r="L35" s="53">
        <v>0.2</v>
      </c>
      <c r="M35" s="58">
        <f t="shared" si="15"/>
        <v>9.5241583811347535E-3</v>
      </c>
      <c r="N35" s="58">
        <f t="shared" si="16"/>
        <v>9.5241583811347535E-3</v>
      </c>
      <c r="O35" s="59">
        <f t="shared" si="17"/>
        <v>3.8573942776332455</v>
      </c>
    </row>
    <row r="36" spans="1:15" x14ac:dyDescent="0.2">
      <c r="A36" s="37">
        <v>1320</v>
      </c>
      <c r="B36" s="55">
        <v>36</v>
      </c>
      <c r="C36" s="56" t="s">
        <v>23</v>
      </c>
      <c r="D36" s="57">
        <f>'Headloss Calcs'!$A$28</f>
        <v>8</v>
      </c>
      <c r="E36" s="53">
        <f t="shared" si="9"/>
        <v>12.378688849277085</v>
      </c>
      <c r="F36" s="38">
        <f>'Headloss Calcs'!$H$18</f>
        <v>100</v>
      </c>
      <c r="G36" s="53">
        <f t="shared" si="10"/>
        <v>7.0686</v>
      </c>
      <c r="H36" s="53">
        <f t="shared" si="11"/>
        <v>9.4247999999999994</v>
      </c>
      <c r="I36" s="53">
        <f t="shared" si="12"/>
        <v>0.75</v>
      </c>
      <c r="J36" s="53">
        <f t="shared" si="13"/>
        <v>1.7512221443110496</v>
      </c>
      <c r="K36" s="53">
        <f t="shared" si="14"/>
        <v>0.62305704964484354</v>
      </c>
      <c r="L36" s="53"/>
      <c r="M36" s="58">
        <f t="shared" si="15"/>
        <v>0</v>
      </c>
      <c r="N36" s="58">
        <f t="shared" si="16"/>
        <v>0.62305704964484354</v>
      </c>
      <c r="O36" s="59">
        <f t="shared" si="17"/>
        <v>4.4804513272780895</v>
      </c>
    </row>
    <row r="37" spans="1:15" ht="12" customHeight="1" x14ac:dyDescent="0.2">
      <c r="A37" s="37"/>
      <c r="B37" s="55">
        <v>36</v>
      </c>
      <c r="C37" s="56" t="s">
        <v>44</v>
      </c>
      <c r="D37" s="57">
        <f>'Headloss Calcs'!$A$28</f>
        <v>8</v>
      </c>
      <c r="E37" s="53">
        <f t="shared" si="9"/>
        <v>12.378688849277085</v>
      </c>
      <c r="F37" s="38">
        <f>'Headloss Calcs'!$H$18</f>
        <v>100</v>
      </c>
      <c r="G37" s="53">
        <f t="shared" si="10"/>
        <v>7.0686</v>
      </c>
      <c r="H37" s="53">
        <f t="shared" si="11"/>
        <v>9.4247999999999994</v>
      </c>
      <c r="I37" s="53">
        <f t="shared" si="12"/>
        <v>0.75</v>
      </c>
      <c r="J37" s="53">
        <f t="shared" si="13"/>
        <v>1.7512221443110496</v>
      </c>
      <c r="K37" s="53">
        <f t="shared" si="14"/>
        <v>0</v>
      </c>
      <c r="L37" s="53">
        <v>1</v>
      </c>
      <c r="M37" s="58">
        <f t="shared" si="15"/>
        <v>4.7620791905673761E-2</v>
      </c>
      <c r="N37" s="58">
        <f t="shared" si="16"/>
        <v>4.7620791905673761E-2</v>
      </c>
      <c r="O37" s="59">
        <f t="shared" si="17"/>
        <v>4.5280721191837632</v>
      </c>
    </row>
    <row r="38" spans="1:15" ht="13.5" thickBot="1" x14ac:dyDescent="0.25">
      <c r="A38" s="39"/>
      <c r="B38" s="40"/>
      <c r="C38" s="41"/>
      <c r="D38" s="40"/>
      <c r="E38" s="42"/>
      <c r="F38" s="40"/>
      <c r="G38" s="54"/>
      <c r="H38" s="54"/>
      <c r="I38" s="54"/>
      <c r="J38" s="54"/>
      <c r="K38" s="54"/>
      <c r="L38" s="54"/>
      <c r="M38" s="60"/>
      <c r="N38" s="60" t="s">
        <v>40</v>
      </c>
      <c r="O38" s="61">
        <f>O37</f>
        <v>4.5280721191837632</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50"/>
  <sheetViews>
    <sheetView topLeftCell="C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Calcs'!$A$29</f>
        <v>9</v>
      </c>
      <c r="E3" s="53">
        <f t="shared" ref="E3:E18" si="0">D3*1000000/(7.48*24*60*60)</f>
        <v>13.92602495543672</v>
      </c>
      <c r="F3" s="38">
        <f>'Headloss Calcs'!$E$18</f>
        <v>140</v>
      </c>
      <c r="G3" s="53">
        <f t="shared" ref="G3:G18" si="1">3.1416/4*(B3/12)^2</f>
        <v>7.0686</v>
      </c>
      <c r="H3" s="53">
        <f t="shared" ref="H3:H18" si="2">3.1416*(B3/12)</f>
        <v>9.4247999999999994</v>
      </c>
      <c r="I3" s="53">
        <f t="shared" ref="I3:I18" si="3">G3/H3</f>
        <v>0.75</v>
      </c>
      <c r="J3" s="53">
        <f t="shared" ref="J3:J18" si="4">E3/G3</f>
        <v>1.9701249123499307</v>
      </c>
      <c r="K3" s="53">
        <f t="shared" ref="K3:K18" si="5">(J3/(1.318*F3*I3^0.63))^1.85*A3</f>
        <v>0</v>
      </c>
      <c r="L3" s="53">
        <v>0.25</v>
      </c>
      <c r="M3" s="58">
        <f t="shared" ref="M3:M18" si="6">L3*(J3^2)/(2*32.2)</f>
        <v>1.5067516188904588E-2</v>
      </c>
      <c r="N3" s="58">
        <f t="shared" ref="N3:N18" si="7">K3+M3</f>
        <v>1.5067516188904588E-2</v>
      </c>
      <c r="O3" s="59">
        <f>N3</f>
        <v>1.5067516188904588E-2</v>
      </c>
    </row>
    <row r="4" spans="1:15" x14ac:dyDescent="0.2">
      <c r="A4" s="37"/>
      <c r="B4" s="55">
        <v>36</v>
      </c>
      <c r="C4" s="56" t="s">
        <v>47</v>
      </c>
      <c r="D4" s="57">
        <f>'Headloss Calcs'!$A$29</f>
        <v>9</v>
      </c>
      <c r="E4" s="53">
        <f t="shared" si="0"/>
        <v>13.92602495543672</v>
      </c>
      <c r="F4" s="38">
        <f>'Headloss Calcs'!$E$18</f>
        <v>140</v>
      </c>
      <c r="G4" s="53">
        <f t="shared" si="1"/>
        <v>7.0686</v>
      </c>
      <c r="H4" s="53">
        <f t="shared" si="2"/>
        <v>9.4247999999999994</v>
      </c>
      <c r="I4" s="53">
        <f t="shared" si="3"/>
        <v>0.75</v>
      </c>
      <c r="J4" s="53">
        <f t="shared" si="4"/>
        <v>1.9701249123499307</v>
      </c>
      <c r="K4" s="53">
        <f t="shared" si="5"/>
        <v>0</v>
      </c>
      <c r="L4" s="53">
        <v>0.25</v>
      </c>
      <c r="M4" s="58">
        <f t="shared" si="6"/>
        <v>1.5067516188904588E-2</v>
      </c>
      <c r="N4" s="58">
        <f t="shared" si="7"/>
        <v>1.5067516188904588E-2</v>
      </c>
      <c r="O4" s="59">
        <f t="shared" ref="O4:O18" si="8">N4+O3</f>
        <v>3.0135032377809175E-2</v>
      </c>
    </row>
    <row r="5" spans="1:15" x14ac:dyDescent="0.2">
      <c r="A5" s="37">
        <v>1320</v>
      </c>
      <c r="B5" s="55">
        <v>36</v>
      </c>
      <c r="C5" s="56" t="s">
        <v>23</v>
      </c>
      <c r="D5" s="57">
        <f>'Headloss Calcs'!$A$29</f>
        <v>9</v>
      </c>
      <c r="E5" s="53">
        <f t="shared" si="0"/>
        <v>13.92602495543672</v>
      </c>
      <c r="F5" s="38">
        <f>'Headloss Calcs'!$E$18</f>
        <v>140</v>
      </c>
      <c r="G5" s="53">
        <f t="shared" si="1"/>
        <v>7.0686</v>
      </c>
      <c r="H5" s="53">
        <f t="shared" si="2"/>
        <v>9.4247999999999994</v>
      </c>
      <c r="I5" s="53">
        <f t="shared" si="3"/>
        <v>0.75</v>
      </c>
      <c r="J5" s="53">
        <f t="shared" si="4"/>
        <v>1.9701249123499307</v>
      </c>
      <c r="K5" s="53">
        <f t="shared" si="5"/>
        <v>0.41574124739078905</v>
      </c>
      <c r="L5" s="53"/>
      <c r="M5" s="58">
        <f t="shared" si="6"/>
        <v>0</v>
      </c>
      <c r="N5" s="58">
        <f t="shared" si="7"/>
        <v>0.41574124739078905</v>
      </c>
      <c r="O5" s="59">
        <f t="shared" si="8"/>
        <v>0.44587627976859823</v>
      </c>
    </row>
    <row r="6" spans="1:15" x14ac:dyDescent="0.2">
      <c r="A6" s="37"/>
      <c r="B6" s="55">
        <v>36</v>
      </c>
      <c r="C6" s="56" t="s">
        <v>45</v>
      </c>
      <c r="D6" s="57">
        <f>'Headloss Calcs'!$A$29</f>
        <v>9</v>
      </c>
      <c r="E6" s="53">
        <f t="shared" si="0"/>
        <v>13.92602495543672</v>
      </c>
      <c r="F6" s="38">
        <f>'Headloss Calcs'!$E$18</f>
        <v>140</v>
      </c>
      <c r="G6" s="53">
        <f t="shared" si="1"/>
        <v>7.0686</v>
      </c>
      <c r="H6" s="53">
        <f t="shared" si="2"/>
        <v>9.4247999999999994</v>
      </c>
      <c r="I6" s="53">
        <f t="shared" si="3"/>
        <v>0.75</v>
      </c>
      <c r="J6" s="53">
        <f t="shared" si="4"/>
        <v>1.9701249123499307</v>
      </c>
      <c r="K6" s="53">
        <f t="shared" si="5"/>
        <v>0</v>
      </c>
      <c r="L6" s="53">
        <v>0.2</v>
      </c>
      <c r="M6" s="58">
        <f t="shared" si="6"/>
        <v>1.2054012951123671E-2</v>
      </c>
      <c r="N6" s="58">
        <f t="shared" si="7"/>
        <v>1.2054012951123671E-2</v>
      </c>
      <c r="O6" s="59">
        <f t="shared" si="8"/>
        <v>0.45793029271972191</v>
      </c>
    </row>
    <row r="7" spans="1:15" x14ac:dyDescent="0.2">
      <c r="A7" s="37">
        <v>1320</v>
      </c>
      <c r="B7" s="55">
        <v>36</v>
      </c>
      <c r="C7" s="69" t="s">
        <v>23</v>
      </c>
      <c r="D7" s="57">
        <f>'Headloss Calcs'!$A$29</f>
        <v>9</v>
      </c>
      <c r="E7" s="53">
        <f t="shared" si="0"/>
        <v>13.92602495543672</v>
      </c>
      <c r="F7" s="38">
        <f>'Headloss Calcs'!$E$18</f>
        <v>140</v>
      </c>
      <c r="G7" s="53">
        <f t="shared" si="1"/>
        <v>7.0686</v>
      </c>
      <c r="H7" s="53">
        <f t="shared" si="2"/>
        <v>9.4247999999999994</v>
      </c>
      <c r="I7" s="53">
        <f t="shared" si="3"/>
        <v>0.75</v>
      </c>
      <c r="J7" s="53">
        <f t="shared" si="4"/>
        <v>1.9701249123499307</v>
      </c>
      <c r="K7" s="53">
        <f t="shared" si="5"/>
        <v>0.41574124739078905</v>
      </c>
      <c r="L7" s="53"/>
      <c r="M7" s="58">
        <f t="shared" si="6"/>
        <v>0</v>
      </c>
      <c r="N7" s="58">
        <f t="shared" si="7"/>
        <v>0.41574124739078905</v>
      </c>
      <c r="O7" s="59">
        <f t="shared" si="8"/>
        <v>0.87367154011051096</v>
      </c>
    </row>
    <row r="8" spans="1:15" x14ac:dyDescent="0.2">
      <c r="A8" s="37"/>
      <c r="B8" s="55">
        <v>36</v>
      </c>
      <c r="C8" s="56" t="s">
        <v>39</v>
      </c>
      <c r="D8" s="57">
        <f>'Headloss Calcs'!$A$29</f>
        <v>9</v>
      </c>
      <c r="E8" s="53">
        <f t="shared" si="0"/>
        <v>13.92602495543672</v>
      </c>
      <c r="F8" s="38">
        <f>'Headloss Calcs'!$E$18</f>
        <v>140</v>
      </c>
      <c r="G8" s="53">
        <f t="shared" si="1"/>
        <v>7.0686</v>
      </c>
      <c r="H8" s="53">
        <f t="shared" si="2"/>
        <v>9.4247999999999994</v>
      </c>
      <c r="I8" s="53">
        <f t="shared" si="3"/>
        <v>0.75</v>
      </c>
      <c r="J8" s="53">
        <f t="shared" si="4"/>
        <v>1.9701249123499307</v>
      </c>
      <c r="K8" s="53">
        <f t="shared" si="5"/>
        <v>0</v>
      </c>
      <c r="L8" s="53">
        <v>0.4</v>
      </c>
      <c r="M8" s="58">
        <f t="shared" si="6"/>
        <v>2.4108025902247341E-2</v>
      </c>
      <c r="N8" s="58">
        <f t="shared" si="7"/>
        <v>2.4108025902247341E-2</v>
      </c>
      <c r="O8" s="59">
        <f t="shared" si="8"/>
        <v>0.89777956601275832</v>
      </c>
    </row>
    <row r="9" spans="1:15" x14ac:dyDescent="0.2">
      <c r="A9" s="37">
        <v>1320</v>
      </c>
      <c r="B9" s="55">
        <v>36</v>
      </c>
      <c r="C9" s="56" t="s">
        <v>23</v>
      </c>
      <c r="D9" s="57">
        <f>'Headloss Calcs'!$A$29</f>
        <v>9</v>
      </c>
      <c r="E9" s="53">
        <f t="shared" si="0"/>
        <v>13.92602495543672</v>
      </c>
      <c r="F9" s="38">
        <f>'Headloss Calcs'!$E$18</f>
        <v>140</v>
      </c>
      <c r="G9" s="53">
        <f t="shared" si="1"/>
        <v>7.0686</v>
      </c>
      <c r="H9" s="53">
        <f t="shared" si="2"/>
        <v>9.4247999999999994</v>
      </c>
      <c r="I9" s="53">
        <f t="shared" si="3"/>
        <v>0.75</v>
      </c>
      <c r="J9" s="53">
        <f t="shared" si="4"/>
        <v>1.9701249123499307</v>
      </c>
      <c r="K9" s="53">
        <f t="shared" si="5"/>
        <v>0.41574124739078905</v>
      </c>
      <c r="L9" s="53"/>
      <c r="M9" s="58">
        <f t="shared" si="6"/>
        <v>0</v>
      </c>
      <c r="N9" s="58">
        <f t="shared" si="7"/>
        <v>0.41574124739078905</v>
      </c>
      <c r="O9" s="59">
        <f t="shared" si="8"/>
        <v>1.3135208134035474</v>
      </c>
    </row>
    <row r="10" spans="1:15" x14ac:dyDescent="0.2">
      <c r="A10" s="37"/>
      <c r="B10" s="55">
        <v>36</v>
      </c>
      <c r="C10" s="56" t="s">
        <v>39</v>
      </c>
      <c r="D10" s="57">
        <f>'Headloss Calcs'!$A$29</f>
        <v>9</v>
      </c>
      <c r="E10" s="53">
        <f t="shared" si="0"/>
        <v>13.92602495543672</v>
      </c>
      <c r="F10" s="38">
        <f>'Headloss Calcs'!$E$18</f>
        <v>140</v>
      </c>
      <c r="G10" s="53">
        <f t="shared" si="1"/>
        <v>7.0686</v>
      </c>
      <c r="H10" s="53">
        <f t="shared" si="2"/>
        <v>9.4247999999999994</v>
      </c>
      <c r="I10" s="53">
        <f t="shared" si="3"/>
        <v>0.75</v>
      </c>
      <c r="J10" s="53">
        <f t="shared" si="4"/>
        <v>1.9701249123499307</v>
      </c>
      <c r="K10" s="53">
        <f t="shared" si="5"/>
        <v>0</v>
      </c>
      <c r="L10" s="53">
        <v>0.4</v>
      </c>
      <c r="M10" s="58">
        <f t="shared" si="6"/>
        <v>2.4108025902247341E-2</v>
      </c>
      <c r="N10" s="58">
        <f t="shared" si="7"/>
        <v>2.4108025902247341E-2</v>
      </c>
      <c r="O10" s="59">
        <f t="shared" si="8"/>
        <v>1.3376288393057947</v>
      </c>
    </row>
    <row r="11" spans="1:15" x14ac:dyDescent="0.2">
      <c r="A11" s="37">
        <v>1320</v>
      </c>
      <c r="B11" s="55">
        <v>36</v>
      </c>
      <c r="C11" s="56" t="s">
        <v>23</v>
      </c>
      <c r="D11" s="57">
        <f>'Headloss Calcs'!$A$29</f>
        <v>9</v>
      </c>
      <c r="E11" s="53">
        <f t="shared" si="0"/>
        <v>13.92602495543672</v>
      </c>
      <c r="F11" s="38">
        <f>'Headloss Calcs'!$E$18</f>
        <v>140</v>
      </c>
      <c r="G11" s="53">
        <f t="shared" si="1"/>
        <v>7.0686</v>
      </c>
      <c r="H11" s="53">
        <f t="shared" si="2"/>
        <v>9.4247999999999994</v>
      </c>
      <c r="I11" s="53">
        <f t="shared" si="3"/>
        <v>0.75</v>
      </c>
      <c r="J11" s="53">
        <f t="shared" si="4"/>
        <v>1.9701249123499307</v>
      </c>
      <c r="K11" s="53">
        <f t="shared" si="5"/>
        <v>0.41574124739078905</v>
      </c>
      <c r="L11" s="53"/>
      <c r="M11" s="58">
        <f t="shared" si="6"/>
        <v>0</v>
      </c>
      <c r="N11" s="58">
        <f t="shared" si="7"/>
        <v>0.41574124739078905</v>
      </c>
      <c r="O11" s="59">
        <f t="shared" si="8"/>
        <v>1.7533700866965838</v>
      </c>
    </row>
    <row r="12" spans="1:15" x14ac:dyDescent="0.2">
      <c r="A12" s="37"/>
      <c r="B12" s="55">
        <v>36</v>
      </c>
      <c r="C12" s="56" t="s">
        <v>48</v>
      </c>
      <c r="D12" s="57">
        <f>'Headloss Calcs'!$A$29</f>
        <v>9</v>
      </c>
      <c r="E12" s="53">
        <f t="shared" si="0"/>
        <v>13.92602495543672</v>
      </c>
      <c r="F12" s="38">
        <f>'Headloss Calcs'!$E$18</f>
        <v>140</v>
      </c>
      <c r="G12" s="53">
        <f t="shared" si="1"/>
        <v>7.0686</v>
      </c>
      <c r="H12" s="53">
        <f t="shared" si="2"/>
        <v>9.4247999999999994</v>
      </c>
      <c r="I12" s="53">
        <f t="shared" si="3"/>
        <v>0.75</v>
      </c>
      <c r="J12" s="53">
        <f t="shared" si="4"/>
        <v>1.9701249123499307</v>
      </c>
      <c r="K12" s="53">
        <f t="shared" si="5"/>
        <v>0</v>
      </c>
      <c r="L12" s="53">
        <v>0.4</v>
      </c>
      <c r="M12" s="58">
        <f t="shared" si="6"/>
        <v>2.4108025902247341E-2</v>
      </c>
      <c r="N12" s="58">
        <f t="shared" si="7"/>
        <v>2.4108025902247341E-2</v>
      </c>
      <c r="O12" s="59">
        <f t="shared" si="8"/>
        <v>1.777478112598831</v>
      </c>
    </row>
    <row r="13" spans="1:15" x14ac:dyDescent="0.2">
      <c r="A13" s="37">
        <v>1320</v>
      </c>
      <c r="B13" s="55">
        <v>36</v>
      </c>
      <c r="C13" s="56" t="s">
        <v>23</v>
      </c>
      <c r="D13" s="57">
        <f>'Headloss Calcs'!$A$29</f>
        <v>9</v>
      </c>
      <c r="E13" s="53">
        <f t="shared" si="0"/>
        <v>13.92602495543672</v>
      </c>
      <c r="F13" s="38">
        <f>'Headloss Calcs'!$E$18</f>
        <v>140</v>
      </c>
      <c r="G13" s="53">
        <f t="shared" si="1"/>
        <v>7.0686</v>
      </c>
      <c r="H13" s="53">
        <f t="shared" si="2"/>
        <v>9.4247999999999994</v>
      </c>
      <c r="I13" s="53">
        <f t="shared" si="3"/>
        <v>0.75</v>
      </c>
      <c r="J13" s="53">
        <f t="shared" si="4"/>
        <v>1.9701249123499307</v>
      </c>
      <c r="K13" s="53">
        <f t="shared" si="5"/>
        <v>0.41574124739078905</v>
      </c>
      <c r="L13" s="53"/>
      <c r="M13" s="58">
        <f t="shared" si="6"/>
        <v>0</v>
      </c>
      <c r="N13" s="58">
        <f t="shared" si="7"/>
        <v>0.41574124739078905</v>
      </c>
      <c r="O13" s="59">
        <f t="shared" si="8"/>
        <v>2.1932193599896199</v>
      </c>
    </row>
    <row r="14" spans="1:15" x14ac:dyDescent="0.2">
      <c r="A14" s="37"/>
      <c r="B14" s="55">
        <v>36</v>
      </c>
      <c r="C14" s="56" t="s">
        <v>39</v>
      </c>
      <c r="D14" s="57">
        <f>'Headloss Calcs'!$A$29</f>
        <v>9</v>
      </c>
      <c r="E14" s="53">
        <f t="shared" si="0"/>
        <v>13.92602495543672</v>
      </c>
      <c r="F14" s="38">
        <f>'Headloss Calcs'!$E$18</f>
        <v>140</v>
      </c>
      <c r="G14" s="53">
        <f t="shared" si="1"/>
        <v>7.0686</v>
      </c>
      <c r="H14" s="53">
        <f t="shared" si="2"/>
        <v>9.4247999999999994</v>
      </c>
      <c r="I14" s="53">
        <f t="shared" si="3"/>
        <v>0.75</v>
      </c>
      <c r="J14" s="53">
        <f t="shared" si="4"/>
        <v>1.9701249123499307</v>
      </c>
      <c r="K14" s="53">
        <f t="shared" si="5"/>
        <v>0</v>
      </c>
      <c r="L14" s="53">
        <v>0.4</v>
      </c>
      <c r="M14" s="58">
        <f t="shared" si="6"/>
        <v>2.4108025902247341E-2</v>
      </c>
      <c r="N14" s="58">
        <f t="shared" si="7"/>
        <v>2.4108025902247341E-2</v>
      </c>
      <c r="O14" s="59">
        <f t="shared" si="8"/>
        <v>2.2173273858918674</v>
      </c>
    </row>
    <row r="15" spans="1:15" x14ac:dyDescent="0.2">
      <c r="A15" s="37">
        <v>1320</v>
      </c>
      <c r="B15" s="55">
        <v>36</v>
      </c>
      <c r="C15" s="56" t="s">
        <v>23</v>
      </c>
      <c r="D15" s="57">
        <f>'Headloss Calcs'!$A$29</f>
        <v>9</v>
      </c>
      <c r="E15" s="53">
        <f t="shared" si="0"/>
        <v>13.92602495543672</v>
      </c>
      <c r="F15" s="38">
        <f>'Headloss Calcs'!$E$18</f>
        <v>140</v>
      </c>
      <c r="G15" s="53">
        <f t="shared" si="1"/>
        <v>7.0686</v>
      </c>
      <c r="H15" s="53">
        <f t="shared" si="2"/>
        <v>9.4247999999999994</v>
      </c>
      <c r="I15" s="53">
        <f t="shared" si="3"/>
        <v>0.75</v>
      </c>
      <c r="J15" s="53">
        <f t="shared" si="4"/>
        <v>1.9701249123499307</v>
      </c>
      <c r="K15" s="53">
        <f t="shared" si="5"/>
        <v>0.41574124739078905</v>
      </c>
      <c r="L15" s="53"/>
      <c r="M15" s="58">
        <f t="shared" si="6"/>
        <v>0</v>
      </c>
      <c r="N15" s="58">
        <f t="shared" si="7"/>
        <v>0.41574124739078905</v>
      </c>
      <c r="O15" s="59">
        <f t="shared" si="8"/>
        <v>2.6330686332826563</v>
      </c>
    </row>
    <row r="16" spans="1:15" x14ac:dyDescent="0.2">
      <c r="A16" s="37"/>
      <c r="B16" s="55">
        <v>36</v>
      </c>
      <c r="C16" s="56" t="s">
        <v>45</v>
      </c>
      <c r="D16" s="57">
        <f>'Headloss Calcs'!$A$29</f>
        <v>9</v>
      </c>
      <c r="E16" s="53">
        <f t="shared" si="0"/>
        <v>13.92602495543672</v>
      </c>
      <c r="F16" s="38">
        <f>'Headloss Calcs'!$E$18</f>
        <v>140</v>
      </c>
      <c r="G16" s="53">
        <f t="shared" si="1"/>
        <v>7.0686</v>
      </c>
      <c r="H16" s="53">
        <f t="shared" si="2"/>
        <v>9.4247999999999994</v>
      </c>
      <c r="I16" s="53">
        <f t="shared" si="3"/>
        <v>0.75</v>
      </c>
      <c r="J16" s="53">
        <f t="shared" si="4"/>
        <v>1.9701249123499307</v>
      </c>
      <c r="K16" s="53">
        <f t="shared" si="5"/>
        <v>0</v>
      </c>
      <c r="L16" s="53">
        <v>0.2</v>
      </c>
      <c r="M16" s="58">
        <f t="shared" si="6"/>
        <v>1.2054012951123671E-2</v>
      </c>
      <c r="N16" s="58">
        <f t="shared" si="7"/>
        <v>1.2054012951123671E-2</v>
      </c>
      <c r="O16" s="59">
        <f t="shared" si="8"/>
        <v>2.64512264623378</v>
      </c>
    </row>
    <row r="17" spans="1:15" x14ac:dyDescent="0.2">
      <c r="A17" s="37">
        <v>1320</v>
      </c>
      <c r="B17" s="55">
        <v>36</v>
      </c>
      <c r="C17" s="56" t="s">
        <v>23</v>
      </c>
      <c r="D17" s="57">
        <f>'Headloss Calcs'!$A$29</f>
        <v>9</v>
      </c>
      <c r="E17" s="53">
        <f t="shared" si="0"/>
        <v>13.92602495543672</v>
      </c>
      <c r="F17" s="38">
        <f>'Headloss Calcs'!$E$18</f>
        <v>140</v>
      </c>
      <c r="G17" s="53">
        <f t="shared" si="1"/>
        <v>7.0686</v>
      </c>
      <c r="H17" s="53">
        <f t="shared" si="2"/>
        <v>9.4247999999999994</v>
      </c>
      <c r="I17" s="53">
        <f t="shared" si="3"/>
        <v>0.75</v>
      </c>
      <c r="J17" s="53">
        <f t="shared" si="4"/>
        <v>1.9701249123499307</v>
      </c>
      <c r="K17" s="53">
        <f t="shared" si="5"/>
        <v>0.41574124739078905</v>
      </c>
      <c r="L17" s="53"/>
      <c r="M17" s="58">
        <f t="shared" si="6"/>
        <v>0</v>
      </c>
      <c r="N17" s="58">
        <f t="shared" si="7"/>
        <v>0.41574124739078905</v>
      </c>
      <c r="O17" s="59">
        <f t="shared" si="8"/>
        <v>3.0608638936245689</v>
      </c>
    </row>
    <row r="18" spans="1:15" ht="12" customHeight="1" x14ac:dyDescent="0.2">
      <c r="A18" s="37"/>
      <c r="B18" s="55">
        <v>36</v>
      </c>
      <c r="C18" s="56" t="s">
        <v>44</v>
      </c>
      <c r="D18" s="57">
        <f>'Headloss Calcs'!$A$29</f>
        <v>9</v>
      </c>
      <c r="E18" s="53">
        <f t="shared" si="0"/>
        <v>13.92602495543672</v>
      </c>
      <c r="F18" s="38">
        <f>'Headloss Calcs'!$E$18</f>
        <v>140</v>
      </c>
      <c r="G18" s="53">
        <f t="shared" si="1"/>
        <v>7.0686</v>
      </c>
      <c r="H18" s="53">
        <f t="shared" si="2"/>
        <v>9.4247999999999994</v>
      </c>
      <c r="I18" s="53">
        <f t="shared" si="3"/>
        <v>0.75</v>
      </c>
      <c r="J18" s="53">
        <f t="shared" si="4"/>
        <v>1.9701249123499307</v>
      </c>
      <c r="K18" s="53">
        <f t="shared" si="5"/>
        <v>0</v>
      </c>
      <c r="L18" s="53">
        <v>1</v>
      </c>
      <c r="M18" s="58">
        <f t="shared" si="6"/>
        <v>6.0270064755618351E-2</v>
      </c>
      <c r="N18" s="58">
        <f t="shared" si="7"/>
        <v>6.0270064755618351E-2</v>
      </c>
      <c r="O18" s="59">
        <f t="shared" si="8"/>
        <v>3.1211339583801871</v>
      </c>
    </row>
    <row r="19" spans="1:15" ht="13.5" thickBot="1" x14ac:dyDescent="0.25">
      <c r="A19" s="39"/>
      <c r="B19" s="40"/>
      <c r="C19" s="41"/>
      <c r="D19" s="40"/>
      <c r="E19" s="42"/>
      <c r="F19" s="40"/>
      <c r="G19" s="54"/>
      <c r="H19" s="54"/>
      <c r="I19" s="54"/>
      <c r="J19" s="54"/>
      <c r="K19" s="54"/>
      <c r="L19" s="54"/>
      <c r="M19" s="60"/>
      <c r="N19" s="60" t="s">
        <v>40</v>
      </c>
      <c r="O19" s="61">
        <f>O18</f>
        <v>3.1211339583801871</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Calcs'!$A$29</f>
        <v>9</v>
      </c>
      <c r="E22" s="53">
        <f t="shared" ref="E22:E37" si="9">D22*1000000/(7.48*24*60*60)</f>
        <v>13.92602495543672</v>
      </c>
      <c r="F22" s="38">
        <f>'Headloss Calcs'!$H$18</f>
        <v>100</v>
      </c>
      <c r="G22" s="53">
        <f t="shared" ref="G22:G37" si="10">3.1416/4*(B22/12)^2</f>
        <v>7.0686</v>
      </c>
      <c r="H22" s="53">
        <f t="shared" ref="H22:H37" si="11">3.1416*(B22/12)</f>
        <v>9.4247999999999994</v>
      </c>
      <c r="I22" s="53">
        <f t="shared" ref="I22:I37" si="12">G22/H22</f>
        <v>0.75</v>
      </c>
      <c r="J22" s="53">
        <f t="shared" ref="J22:J37" si="13">E22/G22</f>
        <v>1.9701249123499307</v>
      </c>
      <c r="K22" s="53">
        <f t="shared" ref="K22:K37" si="14">(J22/(1.318*F22*I22^0.63))^1.85*A22</f>
        <v>0</v>
      </c>
      <c r="L22" s="53">
        <v>0.25</v>
      </c>
      <c r="M22" s="58">
        <f t="shared" ref="M22:M37" si="15">L22*(J22^2)/(2*32.2)</f>
        <v>1.5067516188904588E-2</v>
      </c>
      <c r="N22" s="58">
        <f t="shared" ref="N22:N37" si="16">K22+M22</f>
        <v>1.5067516188904588E-2</v>
      </c>
      <c r="O22" s="59">
        <f>N22</f>
        <v>1.5067516188904588E-2</v>
      </c>
    </row>
    <row r="23" spans="1:15" x14ac:dyDescent="0.2">
      <c r="A23" s="37"/>
      <c r="B23" s="55">
        <v>36</v>
      </c>
      <c r="C23" s="56" t="s">
        <v>47</v>
      </c>
      <c r="D23" s="57">
        <f>'Headloss Calcs'!$A$29</f>
        <v>9</v>
      </c>
      <c r="E23" s="53">
        <f t="shared" si="9"/>
        <v>13.92602495543672</v>
      </c>
      <c r="F23" s="38">
        <f>'Headloss Calcs'!$H$18</f>
        <v>100</v>
      </c>
      <c r="G23" s="53">
        <f t="shared" si="10"/>
        <v>7.0686</v>
      </c>
      <c r="H23" s="53">
        <f t="shared" si="11"/>
        <v>9.4247999999999994</v>
      </c>
      <c r="I23" s="53">
        <f t="shared" si="12"/>
        <v>0.75</v>
      </c>
      <c r="J23" s="53">
        <f t="shared" si="13"/>
        <v>1.9701249123499307</v>
      </c>
      <c r="K23" s="53">
        <f t="shared" si="14"/>
        <v>0</v>
      </c>
      <c r="L23" s="53">
        <v>0.25</v>
      </c>
      <c r="M23" s="58">
        <f t="shared" si="15"/>
        <v>1.5067516188904588E-2</v>
      </c>
      <c r="N23" s="58">
        <f t="shared" si="16"/>
        <v>1.5067516188904588E-2</v>
      </c>
      <c r="O23" s="59">
        <f t="shared" ref="O23:O37" si="17">N23+O22</f>
        <v>3.0135032377809175E-2</v>
      </c>
    </row>
    <row r="24" spans="1:15" x14ac:dyDescent="0.2">
      <c r="A24" s="37">
        <v>1320</v>
      </c>
      <c r="B24" s="55">
        <v>36</v>
      </c>
      <c r="C24" s="56" t="s">
        <v>23</v>
      </c>
      <c r="D24" s="57">
        <f>'Headloss Calcs'!$A$29</f>
        <v>9</v>
      </c>
      <c r="E24" s="53">
        <f t="shared" si="9"/>
        <v>13.92602495543672</v>
      </c>
      <c r="F24" s="38">
        <f>'Headloss Calcs'!$H$18</f>
        <v>100</v>
      </c>
      <c r="G24" s="53">
        <f t="shared" si="10"/>
        <v>7.0686</v>
      </c>
      <c r="H24" s="53">
        <f t="shared" si="11"/>
        <v>9.4247999999999994</v>
      </c>
      <c r="I24" s="53">
        <f t="shared" si="12"/>
        <v>0.75</v>
      </c>
      <c r="J24" s="53">
        <f t="shared" si="13"/>
        <v>1.9701249123499307</v>
      </c>
      <c r="K24" s="53">
        <f t="shared" si="14"/>
        <v>0.77474713835385012</v>
      </c>
      <c r="L24" s="53"/>
      <c r="M24" s="58">
        <f t="shared" si="15"/>
        <v>0</v>
      </c>
      <c r="N24" s="58">
        <f t="shared" si="16"/>
        <v>0.77474713835385012</v>
      </c>
      <c r="O24" s="59">
        <f t="shared" si="17"/>
        <v>0.80488217073165924</v>
      </c>
    </row>
    <row r="25" spans="1:15" x14ac:dyDescent="0.2">
      <c r="A25" s="37"/>
      <c r="B25" s="55">
        <v>36</v>
      </c>
      <c r="C25" s="56" t="s">
        <v>45</v>
      </c>
      <c r="D25" s="57">
        <f>'Headloss Calcs'!$A$29</f>
        <v>9</v>
      </c>
      <c r="E25" s="53">
        <f t="shared" si="9"/>
        <v>13.92602495543672</v>
      </c>
      <c r="F25" s="38">
        <f>'Headloss Calcs'!$H$18</f>
        <v>100</v>
      </c>
      <c r="G25" s="53">
        <f t="shared" si="10"/>
        <v>7.0686</v>
      </c>
      <c r="H25" s="53">
        <f t="shared" si="11"/>
        <v>9.4247999999999994</v>
      </c>
      <c r="I25" s="53">
        <f t="shared" si="12"/>
        <v>0.75</v>
      </c>
      <c r="J25" s="53">
        <f t="shared" si="13"/>
        <v>1.9701249123499307</v>
      </c>
      <c r="K25" s="53">
        <f t="shared" si="14"/>
        <v>0</v>
      </c>
      <c r="L25" s="53">
        <v>0.2</v>
      </c>
      <c r="M25" s="58">
        <f t="shared" si="15"/>
        <v>1.2054012951123671E-2</v>
      </c>
      <c r="N25" s="58">
        <f t="shared" si="16"/>
        <v>1.2054012951123671E-2</v>
      </c>
      <c r="O25" s="59">
        <f t="shared" si="17"/>
        <v>0.81693618368278287</v>
      </c>
    </row>
    <row r="26" spans="1:15" x14ac:dyDescent="0.2">
      <c r="A26" s="37">
        <v>1320</v>
      </c>
      <c r="B26" s="55">
        <v>36</v>
      </c>
      <c r="C26" s="69" t="s">
        <v>23</v>
      </c>
      <c r="D26" s="57">
        <f>'Headloss Calcs'!$A$29</f>
        <v>9</v>
      </c>
      <c r="E26" s="53">
        <f t="shared" si="9"/>
        <v>13.92602495543672</v>
      </c>
      <c r="F26" s="38">
        <f>'Headloss Calcs'!$H$18</f>
        <v>100</v>
      </c>
      <c r="G26" s="53">
        <f t="shared" si="10"/>
        <v>7.0686</v>
      </c>
      <c r="H26" s="53">
        <f t="shared" si="11"/>
        <v>9.4247999999999994</v>
      </c>
      <c r="I26" s="53">
        <f t="shared" si="12"/>
        <v>0.75</v>
      </c>
      <c r="J26" s="53">
        <f t="shared" si="13"/>
        <v>1.9701249123499307</v>
      </c>
      <c r="K26" s="53">
        <f t="shared" si="14"/>
        <v>0.77474713835385012</v>
      </c>
      <c r="L26" s="53"/>
      <c r="M26" s="58">
        <f t="shared" si="15"/>
        <v>0</v>
      </c>
      <c r="N26" s="58">
        <f t="shared" si="16"/>
        <v>0.77474713835385012</v>
      </c>
      <c r="O26" s="59">
        <f t="shared" si="17"/>
        <v>1.5916833220366331</v>
      </c>
    </row>
    <row r="27" spans="1:15" x14ac:dyDescent="0.2">
      <c r="A27" s="37"/>
      <c r="B27" s="55">
        <v>36</v>
      </c>
      <c r="C27" s="56" t="s">
        <v>39</v>
      </c>
      <c r="D27" s="57">
        <f>'Headloss Calcs'!$A$29</f>
        <v>9</v>
      </c>
      <c r="E27" s="53">
        <f t="shared" si="9"/>
        <v>13.92602495543672</v>
      </c>
      <c r="F27" s="38">
        <f>'Headloss Calcs'!$H$18</f>
        <v>100</v>
      </c>
      <c r="G27" s="53">
        <f t="shared" si="10"/>
        <v>7.0686</v>
      </c>
      <c r="H27" s="53">
        <f t="shared" si="11"/>
        <v>9.4247999999999994</v>
      </c>
      <c r="I27" s="53">
        <f t="shared" si="12"/>
        <v>0.75</v>
      </c>
      <c r="J27" s="53">
        <f t="shared" si="13"/>
        <v>1.9701249123499307</v>
      </c>
      <c r="K27" s="53">
        <f t="shared" si="14"/>
        <v>0</v>
      </c>
      <c r="L27" s="53">
        <v>0.4</v>
      </c>
      <c r="M27" s="58">
        <f t="shared" si="15"/>
        <v>2.4108025902247341E-2</v>
      </c>
      <c r="N27" s="58">
        <f t="shared" si="16"/>
        <v>2.4108025902247341E-2</v>
      </c>
      <c r="O27" s="59">
        <f t="shared" si="17"/>
        <v>1.6157913479388804</v>
      </c>
    </row>
    <row r="28" spans="1:15" x14ac:dyDescent="0.2">
      <c r="A28" s="37">
        <v>1320</v>
      </c>
      <c r="B28" s="55">
        <v>36</v>
      </c>
      <c r="C28" s="56" t="s">
        <v>23</v>
      </c>
      <c r="D28" s="57">
        <f>'Headloss Calcs'!$A$29</f>
        <v>9</v>
      </c>
      <c r="E28" s="53">
        <f t="shared" si="9"/>
        <v>13.92602495543672</v>
      </c>
      <c r="F28" s="38">
        <f>'Headloss Calcs'!$H$18</f>
        <v>100</v>
      </c>
      <c r="G28" s="53">
        <f t="shared" si="10"/>
        <v>7.0686</v>
      </c>
      <c r="H28" s="53">
        <f t="shared" si="11"/>
        <v>9.4247999999999994</v>
      </c>
      <c r="I28" s="53">
        <f t="shared" si="12"/>
        <v>0.75</v>
      </c>
      <c r="J28" s="53">
        <f t="shared" si="13"/>
        <v>1.9701249123499307</v>
      </c>
      <c r="K28" s="53">
        <f t="shared" si="14"/>
        <v>0.77474713835385012</v>
      </c>
      <c r="L28" s="53"/>
      <c r="M28" s="58">
        <f t="shared" si="15"/>
        <v>0</v>
      </c>
      <c r="N28" s="58">
        <f t="shared" si="16"/>
        <v>0.77474713835385012</v>
      </c>
      <c r="O28" s="59">
        <f t="shared" si="17"/>
        <v>2.3905384862927304</v>
      </c>
    </row>
    <row r="29" spans="1:15" x14ac:dyDescent="0.2">
      <c r="A29" s="37"/>
      <c r="B29" s="55">
        <v>36</v>
      </c>
      <c r="C29" s="56" t="s">
        <v>39</v>
      </c>
      <c r="D29" s="57">
        <f>'Headloss Calcs'!$A$29</f>
        <v>9</v>
      </c>
      <c r="E29" s="53">
        <f t="shared" si="9"/>
        <v>13.92602495543672</v>
      </c>
      <c r="F29" s="38">
        <f>'Headloss Calcs'!$H$18</f>
        <v>100</v>
      </c>
      <c r="G29" s="53">
        <f t="shared" si="10"/>
        <v>7.0686</v>
      </c>
      <c r="H29" s="53">
        <f t="shared" si="11"/>
        <v>9.4247999999999994</v>
      </c>
      <c r="I29" s="53">
        <f t="shared" si="12"/>
        <v>0.75</v>
      </c>
      <c r="J29" s="53">
        <f t="shared" si="13"/>
        <v>1.9701249123499307</v>
      </c>
      <c r="K29" s="53">
        <f t="shared" si="14"/>
        <v>0</v>
      </c>
      <c r="L29" s="53">
        <v>0.4</v>
      </c>
      <c r="M29" s="58">
        <f t="shared" si="15"/>
        <v>2.4108025902247341E-2</v>
      </c>
      <c r="N29" s="58">
        <f t="shared" si="16"/>
        <v>2.4108025902247341E-2</v>
      </c>
      <c r="O29" s="59">
        <f t="shared" si="17"/>
        <v>2.4146465121949778</v>
      </c>
    </row>
    <row r="30" spans="1:15" x14ac:dyDescent="0.2">
      <c r="A30" s="37">
        <v>1320</v>
      </c>
      <c r="B30" s="55">
        <v>36</v>
      </c>
      <c r="C30" s="56" t="s">
        <v>23</v>
      </c>
      <c r="D30" s="57">
        <f>'Headloss Calcs'!$A$29</f>
        <v>9</v>
      </c>
      <c r="E30" s="53">
        <f t="shared" si="9"/>
        <v>13.92602495543672</v>
      </c>
      <c r="F30" s="38">
        <f>'Headloss Calcs'!$H$18</f>
        <v>100</v>
      </c>
      <c r="G30" s="53">
        <f t="shared" si="10"/>
        <v>7.0686</v>
      </c>
      <c r="H30" s="53">
        <f t="shared" si="11"/>
        <v>9.4247999999999994</v>
      </c>
      <c r="I30" s="53">
        <f t="shared" si="12"/>
        <v>0.75</v>
      </c>
      <c r="J30" s="53">
        <f t="shared" si="13"/>
        <v>1.9701249123499307</v>
      </c>
      <c r="K30" s="53">
        <f t="shared" si="14"/>
        <v>0.77474713835385012</v>
      </c>
      <c r="L30" s="53"/>
      <c r="M30" s="58">
        <f t="shared" si="15"/>
        <v>0</v>
      </c>
      <c r="N30" s="58">
        <f t="shared" si="16"/>
        <v>0.77474713835385012</v>
      </c>
      <c r="O30" s="59">
        <f t="shared" si="17"/>
        <v>3.1893936505488281</v>
      </c>
    </row>
    <row r="31" spans="1:15" x14ac:dyDescent="0.2">
      <c r="A31" s="37"/>
      <c r="B31" s="55">
        <v>36</v>
      </c>
      <c r="C31" s="56" t="s">
        <v>48</v>
      </c>
      <c r="D31" s="57">
        <f>'Headloss Calcs'!$A$29</f>
        <v>9</v>
      </c>
      <c r="E31" s="53">
        <f t="shared" si="9"/>
        <v>13.92602495543672</v>
      </c>
      <c r="F31" s="38">
        <f>'Headloss Calcs'!$H$18</f>
        <v>100</v>
      </c>
      <c r="G31" s="53">
        <f t="shared" si="10"/>
        <v>7.0686</v>
      </c>
      <c r="H31" s="53">
        <f t="shared" si="11"/>
        <v>9.4247999999999994</v>
      </c>
      <c r="I31" s="53">
        <f t="shared" si="12"/>
        <v>0.75</v>
      </c>
      <c r="J31" s="53">
        <f t="shared" si="13"/>
        <v>1.9701249123499307</v>
      </c>
      <c r="K31" s="53">
        <f t="shared" si="14"/>
        <v>0</v>
      </c>
      <c r="L31" s="53">
        <v>0.4</v>
      </c>
      <c r="M31" s="58">
        <f t="shared" si="15"/>
        <v>2.4108025902247341E-2</v>
      </c>
      <c r="N31" s="58">
        <f t="shared" si="16"/>
        <v>2.4108025902247341E-2</v>
      </c>
      <c r="O31" s="59">
        <f t="shared" si="17"/>
        <v>3.2135016764510755</v>
      </c>
    </row>
    <row r="32" spans="1:15" x14ac:dyDescent="0.2">
      <c r="A32" s="37">
        <v>1320</v>
      </c>
      <c r="B32" s="55">
        <v>36</v>
      </c>
      <c r="C32" s="56" t="s">
        <v>23</v>
      </c>
      <c r="D32" s="57">
        <f>'Headloss Calcs'!$A$29</f>
        <v>9</v>
      </c>
      <c r="E32" s="53">
        <f t="shared" si="9"/>
        <v>13.92602495543672</v>
      </c>
      <c r="F32" s="38">
        <f>'Headloss Calcs'!$H$18</f>
        <v>100</v>
      </c>
      <c r="G32" s="53">
        <f t="shared" si="10"/>
        <v>7.0686</v>
      </c>
      <c r="H32" s="53">
        <f t="shared" si="11"/>
        <v>9.4247999999999994</v>
      </c>
      <c r="I32" s="53">
        <f t="shared" si="12"/>
        <v>0.75</v>
      </c>
      <c r="J32" s="53">
        <f t="shared" si="13"/>
        <v>1.9701249123499307</v>
      </c>
      <c r="K32" s="53">
        <f t="shared" si="14"/>
        <v>0.77474713835385012</v>
      </c>
      <c r="L32" s="53"/>
      <c r="M32" s="58">
        <f t="shared" si="15"/>
        <v>0</v>
      </c>
      <c r="N32" s="58">
        <f t="shared" si="16"/>
        <v>0.77474713835385012</v>
      </c>
      <c r="O32" s="59">
        <f t="shared" si="17"/>
        <v>3.9882488148049258</v>
      </c>
    </row>
    <row r="33" spans="1:15" x14ac:dyDescent="0.2">
      <c r="A33" s="37"/>
      <c r="B33" s="55">
        <v>36</v>
      </c>
      <c r="C33" s="56" t="s">
        <v>39</v>
      </c>
      <c r="D33" s="57">
        <f>'Headloss Calcs'!$A$29</f>
        <v>9</v>
      </c>
      <c r="E33" s="53">
        <f t="shared" si="9"/>
        <v>13.92602495543672</v>
      </c>
      <c r="F33" s="38">
        <f>'Headloss Calcs'!$H$18</f>
        <v>100</v>
      </c>
      <c r="G33" s="53">
        <f t="shared" si="10"/>
        <v>7.0686</v>
      </c>
      <c r="H33" s="53">
        <f t="shared" si="11"/>
        <v>9.4247999999999994</v>
      </c>
      <c r="I33" s="53">
        <f t="shared" si="12"/>
        <v>0.75</v>
      </c>
      <c r="J33" s="53">
        <f t="shared" si="13"/>
        <v>1.9701249123499307</v>
      </c>
      <c r="K33" s="53">
        <f t="shared" si="14"/>
        <v>0</v>
      </c>
      <c r="L33" s="53">
        <v>0.4</v>
      </c>
      <c r="M33" s="58">
        <f t="shared" si="15"/>
        <v>2.4108025902247341E-2</v>
      </c>
      <c r="N33" s="58">
        <f t="shared" si="16"/>
        <v>2.4108025902247341E-2</v>
      </c>
      <c r="O33" s="59">
        <f t="shared" si="17"/>
        <v>4.0123568407071728</v>
      </c>
    </row>
    <row r="34" spans="1:15" x14ac:dyDescent="0.2">
      <c r="A34" s="37">
        <v>1320</v>
      </c>
      <c r="B34" s="55">
        <v>36</v>
      </c>
      <c r="C34" s="56" t="s">
        <v>23</v>
      </c>
      <c r="D34" s="57">
        <f>'Headloss Calcs'!$A$29</f>
        <v>9</v>
      </c>
      <c r="E34" s="53">
        <f t="shared" si="9"/>
        <v>13.92602495543672</v>
      </c>
      <c r="F34" s="38">
        <f>'Headloss Calcs'!$H$18</f>
        <v>100</v>
      </c>
      <c r="G34" s="53">
        <f t="shared" si="10"/>
        <v>7.0686</v>
      </c>
      <c r="H34" s="53">
        <f t="shared" si="11"/>
        <v>9.4247999999999994</v>
      </c>
      <c r="I34" s="53">
        <f t="shared" si="12"/>
        <v>0.75</v>
      </c>
      <c r="J34" s="53">
        <f t="shared" si="13"/>
        <v>1.9701249123499307</v>
      </c>
      <c r="K34" s="53">
        <f t="shared" si="14"/>
        <v>0.77474713835385012</v>
      </c>
      <c r="L34" s="53"/>
      <c r="M34" s="58">
        <f t="shared" si="15"/>
        <v>0</v>
      </c>
      <c r="N34" s="58">
        <f t="shared" si="16"/>
        <v>0.77474713835385012</v>
      </c>
      <c r="O34" s="59">
        <f t="shared" si="17"/>
        <v>4.7871039790610226</v>
      </c>
    </row>
    <row r="35" spans="1:15" x14ac:dyDescent="0.2">
      <c r="A35" s="37"/>
      <c r="B35" s="55">
        <v>36</v>
      </c>
      <c r="C35" s="56" t="s">
        <v>45</v>
      </c>
      <c r="D35" s="57">
        <f>'Headloss Calcs'!$A$29</f>
        <v>9</v>
      </c>
      <c r="E35" s="53">
        <f t="shared" si="9"/>
        <v>13.92602495543672</v>
      </c>
      <c r="F35" s="38">
        <f>'Headloss Calcs'!$H$18</f>
        <v>100</v>
      </c>
      <c r="G35" s="53">
        <f t="shared" si="10"/>
        <v>7.0686</v>
      </c>
      <c r="H35" s="53">
        <f t="shared" si="11"/>
        <v>9.4247999999999994</v>
      </c>
      <c r="I35" s="53">
        <f t="shared" si="12"/>
        <v>0.75</v>
      </c>
      <c r="J35" s="53">
        <f t="shared" si="13"/>
        <v>1.9701249123499307</v>
      </c>
      <c r="K35" s="53">
        <f t="shared" si="14"/>
        <v>0</v>
      </c>
      <c r="L35" s="53">
        <v>0.2</v>
      </c>
      <c r="M35" s="58">
        <f t="shared" si="15"/>
        <v>1.2054012951123671E-2</v>
      </c>
      <c r="N35" s="58">
        <f t="shared" si="16"/>
        <v>1.2054012951123671E-2</v>
      </c>
      <c r="O35" s="59">
        <f t="shared" si="17"/>
        <v>4.7991579920121463</v>
      </c>
    </row>
    <row r="36" spans="1:15" x14ac:dyDescent="0.2">
      <c r="A36" s="37">
        <v>1320</v>
      </c>
      <c r="B36" s="55">
        <v>36</v>
      </c>
      <c r="C36" s="56" t="s">
        <v>23</v>
      </c>
      <c r="D36" s="57">
        <f>'Headloss Calcs'!$A$29</f>
        <v>9</v>
      </c>
      <c r="E36" s="53">
        <f t="shared" si="9"/>
        <v>13.92602495543672</v>
      </c>
      <c r="F36" s="38">
        <f>'Headloss Calcs'!$H$18</f>
        <v>100</v>
      </c>
      <c r="G36" s="53">
        <f t="shared" si="10"/>
        <v>7.0686</v>
      </c>
      <c r="H36" s="53">
        <f t="shared" si="11"/>
        <v>9.4247999999999994</v>
      </c>
      <c r="I36" s="53">
        <f t="shared" si="12"/>
        <v>0.75</v>
      </c>
      <c r="J36" s="53">
        <f t="shared" si="13"/>
        <v>1.9701249123499307</v>
      </c>
      <c r="K36" s="53">
        <f t="shared" si="14"/>
        <v>0.77474713835385012</v>
      </c>
      <c r="L36" s="53"/>
      <c r="M36" s="58">
        <f t="shared" si="15"/>
        <v>0</v>
      </c>
      <c r="N36" s="58">
        <f t="shared" si="16"/>
        <v>0.77474713835385012</v>
      </c>
      <c r="O36" s="59">
        <f t="shared" si="17"/>
        <v>5.5739051303659961</v>
      </c>
    </row>
    <row r="37" spans="1:15" ht="12" customHeight="1" x14ac:dyDescent="0.2">
      <c r="A37" s="37"/>
      <c r="B37" s="55">
        <v>36</v>
      </c>
      <c r="C37" s="56" t="s">
        <v>44</v>
      </c>
      <c r="D37" s="57">
        <f>'Headloss Calcs'!$A$29</f>
        <v>9</v>
      </c>
      <c r="E37" s="53">
        <f t="shared" si="9"/>
        <v>13.92602495543672</v>
      </c>
      <c r="F37" s="38">
        <f>'Headloss Calcs'!$H$18</f>
        <v>100</v>
      </c>
      <c r="G37" s="53">
        <f t="shared" si="10"/>
        <v>7.0686</v>
      </c>
      <c r="H37" s="53">
        <f t="shared" si="11"/>
        <v>9.4247999999999994</v>
      </c>
      <c r="I37" s="53">
        <f t="shared" si="12"/>
        <v>0.75</v>
      </c>
      <c r="J37" s="53">
        <f t="shared" si="13"/>
        <v>1.9701249123499307</v>
      </c>
      <c r="K37" s="53">
        <f t="shared" si="14"/>
        <v>0</v>
      </c>
      <c r="L37" s="53">
        <v>1</v>
      </c>
      <c r="M37" s="58">
        <f t="shared" si="15"/>
        <v>6.0270064755618351E-2</v>
      </c>
      <c r="N37" s="58">
        <f t="shared" si="16"/>
        <v>6.0270064755618351E-2</v>
      </c>
      <c r="O37" s="59">
        <f t="shared" si="17"/>
        <v>5.6341751951216148</v>
      </c>
    </row>
    <row r="38" spans="1:15" ht="13.5" thickBot="1" x14ac:dyDescent="0.25">
      <c r="A38" s="39"/>
      <c r="B38" s="40"/>
      <c r="C38" s="41"/>
      <c r="D38" s="40"/>
      <c r="E38" s="42"/>
      <c r="F38" s="40"/>
      <c r="G38" s="54"/>
      <c r="H38" s="54"/>
      <c r="I38" s="54"/>
      <c r="J38" s="54"/>
      <c r="K38" s="54"/>
      <c r="L38" s="54"/>
      <c r="M38" s="60"/>
      <c r="N38" s="60" t="s">
        <v>40</v>
      </c>
      <c r="O38" s="61">
        <f>O37</f>
        <v>5.6341751951216148</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50"/>
  <sheetViews>
    <sheetView topLeftCell="C13" workbookViewId="0">
      <selection activeCell="F39" sqref="F39"/>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Calcs'!$A$30</f>
        <v>10</v>
      </c>
      <c r="E3" s="53">
        <f t="shared" ref="E3:E18" si="0">D3*1000000/(7.48*24*60*60)</f>
        <v>15.473361061596355</v>
      </c>
      <c r="F3" s="38">
        <f>'Headloss Calcs'!$E$18</f>
        <v>140</v>
      </c>
      <c r="G3" s="53">
        <f t="shared" ref="G3:G18" si="1">3.1416/4*(B3/12)^2</f>
        <v>7.0686</v>
      </c>
      <c r="H3" s="53">
        <f t="shared" ref="H3:H18" si="2">3.1416*(B3/12)</f>
        <v>9.4247999999999994</v>
      </c>
      <c r="I3" s="53">
        <f t="shared" ref="I3:I18" si="3">G3/H3</f>
        <v>0.75</v>
      </c>
      <c r="J3" s="53">
        <f t="shared" ref="J3:J18" si="4">E3/G3</f>
        <v>2.1890276803888118</v>
      </c>
      <c r="K3" s="53">
        <f t="shared" ref="K3:K18" si="5">(J3/(1.318*F3*I3^0.63))^1.85*A3</f>
        <v>0</v>
      </c>
      <c r="L3" s="53">
        <v>0.25</v>
      </c>
      <c r="M3" s="58">
        <f t="shared" ref="M3:M18" si="6">L3*(J3^2)/(2*32.2)</f>
        <v>1.8601871838153809E-2</v>
      </c>
      <c r="N3" s="58">
        <f t="shared" ref="N3:N18" si="7">K3+M3</f>
        <v>1.8601871838153809E-2</v>
      </c>
      <c r="O3" s="59">
        <f>N3</f>
        <v>1.8601871838153809E-2</v>
      </c>
    </row>
    <row r="4" spans="1:15" x14ac:dyDescent="0.2">
      <c r="A4" s="37"/>
      <c r="B4" s="55">
        <v>36</v>
      </c>
      <c r="C4" s="56" t="s">
        <v>47</v>
      </c>
      <c r="D4" s="57">
        <f>'Headloss Calcs'!$A$30</f>
        <v>10</v>
      </c>
      <c r="E4" s="53">
        <f t="shared" si="0"/>
        <v>15.473361061596355</v>
      </c>
      <c r="F4" s="38">
        <f>'Headloss Calcs'!$E$18</f>
        <v>140</v>
      </c>
      <c r="G4" s="53">
        <f t="shared" si="1"/>
        <v>7.0686</v>
      </c>
      <c r="H4" s="53">
        <f t="shared" si="2"/>
        <v>9.4247999999999994</v>
      </c>
      <c r="I4" s="53">
        <f t="shared" si="3"/>
        <v>0.75</v>
      </c>
      <c r="J4" s="53">
        <f t="shared" si="4"/>
        <v>2.1890276803888118</v>
      </c>
      <c r="K4" s="53">
        <f t="shared" si="5"/>
        <v>0</v>
      </c>
      <c r="L4" s="53">
        <v>0.25</v>
      </c>
      <c r="M4" s="58">
        <f t="shared" si="6"/>
        <v>1.8601871838153809E-2</v>
      </c>
      <c r="N4" s="58">
        <f t="shared" si="7"/>
        <v>1.8601871838153809E-2</v>
      </c>
      <c r="O4" s="59">
        <f t="shared" ref="O4:O18" si="8">N4+O3</f>
        <v>3.7203743676307618E-2</v>
      </c>
    </row>
    <row r="5" spans="1:15" x14ac:dyDescent="0.2">
      <c r="A5" s="37">
        <v>1320</v>
      </c>
      <c r="B5" s="55">
        <v>36</v>
      </c>
      <c r="C5" s="56" t="s">
        <v>23</v>
      </c>
      <c r="D5" s="57">
        <f>'Headloss Calcs'!$A$30</f>
        <v>10</v>
      </c>
      <c r="E5" s="53">
        <f t="shared" si="0"/>
        <v>15.473361061596355</v>
      </c>
      <c r="F5" s="38">
        <f>'Headloss Calcs'!$E$18</f>
        <v>140</v>
      </c>
      <c r="G5" s="53">
        <f t="shared" si="1"/>
        <v>7.0686</v>
      </c>
      <c r="H5" s="53">
        <f t="shared" si="2"/>
        <v>9.4247999999999994</v>
      </c>
      <c r="I5" s="53">
        <f t="shared" si="3"/>
        <v>0.75</v>
      </c>
      <c r="J5" s="53">
        <f t="shared" si="4"/>
        <v>2.1890276803888118</v>
      </c>
      <c r="K5" s="53">
        <f t="shared" si="5"/>
        <v>0.50521294781763815</v>
      </c>
      <c r="L5" s="53"/>
      <c r="M5" s="58">
        <f t="shared" si="6"/>
        <v>0</v>
      </c>
      <c r="N5" s="58">
        <f t="shared" si="7"/>
        <v>0.50521294781763815</v>
      </c>
      <c r="O5" s="59">
        <f t="shared" si="8"/>
        <v>0.54241669149394578</v>
      </c>
    </row>
    <row r="6" spans="1:15" x14ac:dyDescent="0.2">
      <c r="A6" s="37"/>
      <c r="B6" s="55">
        <v>36</v>
      </c>
      <c r="C6" s="56" t="s">
        <v>45</v>
      </c>
      <c r="D6" s="57">
        <f>'Headloss Calcs'!$A$30</f>
        <v>10</v>
      </c>
      <c r="E6" s="53">
        <f t="shared" si="0"/>
        <v>15.473361061596355</v>
      </c>
      <c r="F6" s="38">
        <f>'Headloss Calcs'!$E$18</f>
        <v>140</v>
      </c>
      <c r="G6" s="53">
        <f t="shared" si="1"/>
        <v>7.0686</v>
      </c>
      <c r="H6" s="53">
        <f t="shared" si="2"/>
        <v>9.4247999999999994</v>
      </c>
      <c r="I6" s="53">
        <f t="shared" si="3"/>
        <v>0.75</v>
      </c>
      <c r="J6" s="53">
        <f t="shared" si="4"/>
        <v>2.1890276803888118</v>
      </c>
      <c r="K6" s="53">
        <f t="shared" si="5"/>
        <v>0</v>
      </c>
      <c r="L6" s="53">
        <v>0.2</v>
      </c>
      <c r="M6" s="58">
        <f t="shared" si="6"/>
        <v>1.4881497470523048E-2</v>
      </c>
      <c r="N6" s="58">
        <f t="shared" si="7"/>
        <v>1.4881497470523048E-2</v>
      </c>
      <c r="O6" s="59">
        <f t="shared" si="8"/>
        <v>0.55729818896446881</v>
      </c>
    </row>
    <row r="7" spans="1:15" x14ac:dyDescent="0.2">
      <c r="A7" s="37">
        <v>1320</v>
      </c>
      <c r="B7" s="55">
        <v>36</v>
      </c>
      <c r="C7" s="69" t="s">
        <v>23</v>
      </c>
      <c r="D7" s="57">
        <f>'Headloss Calcs'!$A$30</f>
        <v>10</v>
      </c>
      <c r="E7" s="53">
        <f t="shared" si="0"/>
        <v>15.473361061596355</v>
      </c>
      <c r="F7" s="38">
        <f>'Headloss Calcs'!$E$18</f>
        <v>140</v>
      </c>
      <c r="G7" s="53">
        <f t="shared" si="1"/>
        <v>7.0686</v>
      </c>
      <c r="H7" s="53">
        <f t="shared" si="2"/>
        <v>9.4247999999999994</v>
      </c>
      <c r="I7" s="53">
        <f t="shared" si="3"/>
        <v>0.75</v>
      </c>
      <c r="J7" s="53">
        <f t="shared" si="4"/>
        <v>2.1890276803888118</v>
      </c>
      <c r="K7" s="53">
        <f t="shared" si="5"/>
        <v>0.50521294781763815</v>
      </c>
      <c r="L7" s="53"/>
      <c r="M7" s="58">
        <f t="shared" si="6"/>
        <v>0</v>
      </c>
      <c r="N7" s="58">
        <f t="shared" si="7"/>
        <v>0.50521294781763815</v>
      </c>
      <c r="O7" s="59">
        <f t="shared" si="8"/>
        <v>1.062511136782107</v>
      </c>
    </row>
    <row r="8" spans="1:15" x14ac:dyDescent="0.2">
      <c r="A8" s="37"/>
      <c r="B8" s="55">
        <v>36</v>
      </c>
      <c r="C8" s="56" t="s">
        <v>39</v>
      </c>
      <c r="D8" s="57">
        <f>'Headloss Calcs'!$A$30</f>
        <v>10</v>
      </c>
      <c r="E8" s="53">
        <f t="shared" si="0"/>
        <v>15.473361061596355</v>
      </c>
      <c r="F8" s="38">
        <f>'Headloss Calcs'!$E$18</f>
        <v>140</v>
      </c>
      <c r="G8" s="53">
        <f t="shared" si="1"/>
        <v>7.0686</v>
      </c>
      <c r="H8" s="53">
        <f t="shared" si="2"/>
        <v>9.4247999999999994</v>
      </c>
      <c r="I8" s="53">
        <f t="shared" si="3"/>
        <v>0.75</v>
      </c>
      <c r="J8" s="53">
        <f t="shared" si="4"/>
        <v>2.1890276803888118</v>
      </c>
      <c r="K8" s="53">
        <f t="shared" si="5"/>
        <v>0</v>
      </c>
      <c r="L8" s="53">
        <v>0.4</v>
      </c>
      <c r="M8" s="58">
        <f t="shared" si="6"/>
        <v>2.9762994941046096E-2</v>
      </c>
      <c r="N8" s="58">
        <f t="shared" si="7"/>
        <v>2.9762994941046096E-2</v>
      </c>
      <c r="O8" s="59">
        <f t="shared" si="8"/>
        <v>1.092274131723153</v>
      </c>
    </row>
    <row r="9" spans="1:15" x14ac:dyDescent="0.2">
      <c r="A9" s="37">
        <v>1320</v>
      </c>
      <c r="B9" s="55">
        <v>36</v>
      </c>
      <c r="C9" s="56" t="s">
        <v>23</v>
      </c>
      <c r="D9" s="57">
        <f>'Headloss Calcs'!$A$30</f>
        <v>10</v>
      </c>
      <c r="E9" s="53">
        <f t="shared" si="0"/>
        <v>15.473361061596355</v>
      </c>
      <c r="F9" s="38">
        <f>'Headloss Calcs'!$E$18</f>
        <v>140</v>
      </c>
      <c r="G9" s="53">
        <f t="shared" si="1"/>
        <v>7.0686</v>
      </c>
      <c r="H9" s="53">
        <f t="shared" si="2"/>
        <v>9.4247999999999994</v>
      </c>
      <c r="I9" s="53">
        <f t="shared" si="3"/>
        <v>0.75</v>
      </c>
      <c r="J9" s="53">
        <f t="shared" si="4"/>
        <v>2.1890276803888118</v>
      </c>
      <c r="K9" s="53">
        <f t="shared" si="5"/>
        <v>0.50521294781763815</v>
      </c>
      <c r="L9" s="53"/>
      <c r="M9" s="58">
        <f t="shared" si="6"/>
        <v>0</v>
      </c>
      <c r="N9" s="58">
        <f t="shared" si="7"/>
        <v>0.50521294781763815</v>
      </c>
      <c r="O9" s="59">
        <f t="shared" si="8"/>
        <v>1.5974870795407912</v>
      </c>
    </row>
    <row r="10" spans="1:15" x14ac:dyDescent="0.2">
      <c r="A10" s="37"/>
      <c r="B10" s="55">
        <v>36</v>
      </c>
      <c r="C10" s="56" t="s">
        <v>39</v>
      </c>
      <c r="D10" s="57">
        <f>'Headloss Calcs'!$A$30</f>
        <v>10</v>
      </c>
      <c r="E10" s="53">
        <f t="shared" si="0"/>
        <v>15.473361061596355</v>
      </c>
      <c r="F10" s="38">
        <f>'Headloss Calcs'!$E$18</f>
        <v>140</v>
      </c>
      <c r="G10" s="53">
        <f t="shared" si="1"/>
        <v>7.0686</v>
      </c>
      <c r="H10" s="53">
        <f t="shared" si="2"/>
        <v>9.4247999999999994</v>
      </c>
      <c r="I10" s="53">
        <f t="shared" si="3"/>
        <v>0.75</v>
      </c>
      <c r="J10" s="53">
        <f t="shared" si="4"/>
        <v>2.1890276803888118</v>
      </c>
      <c r="K10" s="53">
        <f t="shared" si="5"/>
        <v>0</v>
      </c>
      <c r="L10" s="53">
        <v>0.4</v>
      </c>
      <c r="M10" s="58">
        <f t="shared" si="6"/>
        <v>2.9762994941046096E-2</v>
      </c>
      <c r="N10" s="58">
        <f t="shared" si="7"/>
        <v>2.9762994941046096E-2</v>
      </c>
      <c r="O10" s="59">
        <f t="shared" si="8"/>
        <v>1.6272500744818372</v>
      </c>
    </row>
    <row r="11" spans="1:15" x14ac:dyDescent="0.2">
      <c r="A11" s="37">
        <v>1320</v>
      </c>
      <c r="B11" s="55">
        <v>36</v>
      </c>
      <c r="C11" s="56" t="s">
        <v>23</v>
      </c>
      <c r="D11" s="57">
        <f>'Headloss Calcs'!$A$30</f>
        <v>10</v>
      </c>
      <c r="E11" s="53">
        <f t="shared" si="0"/>
        <v>15.473361061596355</v>
      </c>
      <c r="F11" s="38">
        <f>'Headloss Calcs'!$E$18</f>
        <v>140</v>
      </c>
      <c r="G11" s="53">
        <f t="shared" si="1"/>
        <v>7.0686</v>
      </c>
      <c r="H11" s="53">
        <f t="shared" si="2"/>
        <v>9.4247999999999994</v>
      </c>
      <c r="I11" s="53">
        <f t="shared" si="3"/>
        <v>0.75</v>
      </c>
      <c r="J11" s="53">
        <f t="shared" si="4"/>
        <v>2.1890276803888118</v>
      </c>
      <c r="K11" s="53">
        <f t="shared" si="5"/>
        <v>0.50521294781763815</v>
      </c>
      <c r="L11" s="53"/>
      <c r="M11" s="58">
        <f t="shared" si="6"/>
        <v>0</v>
      </c>
      <c r="N11" s="58">
        <f t="shared" si="7"/>
        <v>0.50521294781763815</v>
      </c>
      <c r="O11" s="59">
        <f t="shared" si="8"/>
        <v>2.1324630222994756</v>
      </c>
    </row>
    <row r="12" spans="1:15" x14ac:dyDescent="0.2">
      <c r="A12" s="37"/>
      <c r="B12" s="55">
        <v>36</v>
      </c>
      <c r="C12" s="56" t="s">
        <v>48</v>
      </c>
      <c r="D12" s="57">
        <f>'Headloss Calcs'!$A$30</f>
        <v>10</v>
      </c>
      <c r="E12" s="53">
        <f t="shared" si="0"/>
        <v>15.473361061596355</v>
      </c>
      <c r="F12" s="38">
        <f>'Headloss Calcs'!$E$18</f>
        <v>140</v>
      </c>
      <c r="G12" s="53">
        <f t="shared" si="1"/>
        <v>7.0686</v>
      </c>
      <c r="H12" s="53">
        <f t="shared" si="2"/>
        <v>9.4247999999999994</v>
      </c>
      <c r="I12" s="53">
        <f t="shared" si="3"/>
        <v>0.75</v>
      </c>
      <c r="J12" s="53">
        <f t="shared" si="4"/>
        <v>2.1890276803888118</v>
      </c>
      <c r="K12" s="53">
        <f t="shared" si="5"/>
        <v>0</v>
      </c>
      <c r="L12" s="53">
        <v>0.4</v>
      </c>
      <c r="M12" s="58">
        <f t="shared" si="6"/>
        <v>2.9762994941046096E-2</v>
      </c>
      <c r="N12" s="58">
        <f t="shared" si="7"/>
        <v>2.9762994941046096E-2</v>
      </c>
      <c r="O12" s="59">
        <f t="shared" si="8"/>
        <v>2.1622260172405219</v>
      </c>
    </row>
    <row r="13" spans="1:15" x14ac:dyDescent="0.2">
      <c r="A13" s="37">
        <v>1320</v>
      </c>
      <c r="B13" s="55">
        <v>36</v>
      </c>
      <c r="C13" s="56" t="s">
        <v>23</v>
      </c>
      <c r="D13" s="57">
        <f>'Headloss Calcs'!$A$30</f>
        <v>10</v>
      </c>
      <c r="E13" s="53">
        <f t="shared" si="0"/>
        <v>15.473361061596355</v>
      </c>
      <c r="F13" s="38">
        <f>'Headloss Calcs'!$E$18</f>
        <v>140</v>
      </c>
      <c r="G13" s="53">
        <f t="shared" si="1"/>
        <v>7.0686</v>
      </c>
      <c r="H13" s="53">
        <f t="shared" si="2"/>
        <v>9.4247999999999994</v>
      </c>
      <c r="I13" s="53">
        <f t="shared" si="3"/>
        <v>0.75</v>
      </c>
      <c r="J13" s="53">
        <f t="shared" si="4"/>
        <v>2.1890276803888118</v>
      </c>
      <c r="K13" s="53">
        <f t="shared" si="5"/>
        <v>0.50521294781763815</v>
      </c>
      <c r="L13" s="53"/>
      <c r="M13" s="58">
        <f t="shared" si="6"/>
        <v>0</v>
      </c>
      <c r="N13" s="58">
        <f t="shared" si="7"/>
        <v>0.50521294781763815</v>
      </c>
      <c r="O13" s="59">
        <f t="shared" si="8"/>
        <v>2.6674389650581602</v>
      </c>
    </row>
    <row r="14" spans="1:15" x14ac:dyDescent="0.2">
      <c r="A14" s="37"/>
      <c r="B14" s="55">
        <v>36</v>
      </c>
      <c r="C14" s="56" t="s">
        <v>39</v>
      </c>
      <c r="D14" s="57">
        <f>'Headloss Calcs'!$A$30</f>
        <v>10</v>
      </c>
      <c r="E14" s="53">
        <f t="shared" si="0"/>
        <v>15.473361061596355</v>
      </c>
      <c r="F14" s="38">
        <f>'Headloss Calcs'!$E$18</f>
        <v>140</v>
      </c>
      <c r="G14" s="53">
        <f t="shared" si="1"/>
        <v>7.0686</v>
      </c>
      <c r="H14" s="53">
        <f t="shared" si="2"/>
        <v>9.4247999999999994</v>
      </c>
      <c r="I14" s="53">
        <f t="shared" si="3"/>
        <v>0.75</v>
      </c>
      <c r="J14" s="53">
        <f t="shared" si="4"/>
        <v>2.1890276803888118</v>
      </c>
      <c r="K14" s="53">
        <f t="shared" si="5"/>
        <v>0</v>
      </c>
      <c r="L14" s="53">
        <v>0.4</v>
      </c>
      <c r="M14" s="58">
        <f t="shared" si="6"/>
        <v>2.9762994941046096E-2</v>
      </c>
      <c r="N14" s="58">
        <f t="shared" si="7"/>
        <v>2.9762994941046096E-2</v>
      </c>
      <c r="O14" s="59">
        <f t="shared" si="8"/>
        <v>2.6972019599992065</v>
      </c>
    </row>
    <row r="15" spans="1:15" x14ac:dyDescent="0.2">
      <c r="A15" s="37">
        <v>1320</v>
      </c>
      <c r="B15" s="55">
        <v>36</v>
      </c>
      <c r="C15" s="56" t="s">
        <v>23</v>
      </c>
      <c r="D15" s="57">
        <f>'Headloss Calcs'!$A$30</f>
        <v>10</v>
      </c>
      <c r="E15" s="53">
        <f t="shared" si="0"/>
        <v>15.473361061596355</v>
      </c>
      <c r="F15" s="38">
        <f>'Headloss Calcs'!$E$18</f>
        <v>140</v>
      </c>
      <c r="G15" s="53">
        <f t="shared" si="1"/>
        <v>7.0686</v>
      </c>
      <c r="H15" s="53">
        <f t="shared" si="2"/>
        <v>9.4247999999999994</v>
      </c>
      <c r="I15" s="53">
        <f t="shared" si="3"/>
        <v>0.75</v>
      </c>
      <c r="J15" s="53">
        <f t="shared" si="4"/>
        <v>2.1890276803888118</v>
      </c>
      <c r="K15" s="53">
        <f t="shared" si="5"/>
        <v>0.50521294781763815</v>
      </c>
      <c r="L15" s="53"/>
      <c r="M15" s="58">
        <f t="shared" si="6"/>
        <v>0</v>
      </c>
      <c r="N15" s="58">
        <f t="shared" si="7"/>
        <v>0.50521294781763815</v>
      </c>
      <c r="O15" s="59">
        <f t="shared" si="8"/>
        <v>3.2024149078168449</v>
      </c>
    </row>
    <row r="16" spans="1:15" x14ac:dyDescent="0.2">
      <c r="A16" s="37"/>
      <c r="B16" s="55">
        <v>36</v>
      </c>
      <c r="C16" s="56" t="s">
        <v>45</v>
      </c>
      <c r="D16" s="57">
        <f>'Headloss Calcs'!$A$30</f>
        <v>10</v>
      </c>
      <c r="E16" s="53">
        <f t="shared" si="0"/>
        <v>15.473361061596355</v>
      </c>
      <c r="F16" s="38">
        <f>'Headloss Calcs'!$E$18</f>
        <v>140</v>
      </c>
      <c r="G16" s="53">
        <f t="shared" si="1"/>
        <v>7.0686</v>
      </c>
      <c r="H16" s="53">
        <f t="shared" si="2"/>
        <v>9.4247999999999994</v>
      </c>
      <c r="I16" s="53">
        <f t="shared" si="3"/>
        <v>0.75</v>
      </c>
      <c r="J16" s="53">
        <f t="shared" si="4"/>
        <v>2.1890276803888118</v>
      </c>
      <c r="K16" s="53">
        <f t="shared" si="5"/>
        <v>0</v>
      </c>
      <c r="L16" s="53">
        <v>0.2</v>
      </c>
      <c r="M16" s="58">
        <f t="shared" si="6"/>
        <v>1.4881497470523048E-2</v>
      </c>
      <c r="N16" s="58">
        <f t="shared" si="7"/>
        <v>1.4881497470523048E-2</v>
      </c>
      <c r="O16" s="59">
        <f t="shared" si="8"/>
        <v>3.2172964052873678</v>
      </c>
    </row>
    <row r="17" spans="1:15" x14ac:dyDescent="0.2">
      <c r="A17" s="37">
        <v>1320</v>
      </c>
      <c r="B17" s="55">
        <v>36</v>
      </c>
      <c r="C17" s="56" t="s">
        <v>23</v>
      </c>
      <c r="D17" s="57">
        <f>'Headloss Calcs'!$A$30</f>
        <v>10</v>
      </c>
      <c r="E17" s="53">
        <f t="shared" si="0"/>
        <v>15.473361061596355</v>
      </c>
      <c r="F17" s="38">
        <f>'Headloss Calcs'!$E$18</f>
        <v>140</v>
      </c>
      <c r="G17" s="53">
        <f t="shared" si="1"/>
        <v>7.0686</v>
      </c>
      <c r="H17" s="53">
        <f t="shared" si="2"/>
        <v>9.4247999999999994</v>
      </c>
      <c r="I17" s="53">
        <f t="shared" si="3"/>
        <v>0.75</v>
      </c>
      <c r="J17" s="53">
        <f t="shared" si="4"/>
        <v>2.1890276803888118</v>
      </c>
      <c r="K17" s="53">
        <f t="shared" si="5"/>
        <v>0.50521294781763815</v>
      </c>
      <c r="L17" s="53"/>
      <c r="M17" s="58">
        <f t="shared" si="6"/>
        <v>0</v>
      </c>
      <c r="N17" s="58">
        <f t="shared" si="7"/>
        <v>0.50521294781763815</v>
      </c>
      <c r="O17" s="59">
        <f t="shared" si="8"/>
        <v>3.7225093531050062</v>
      </c>
    </row>
    <row r="18" spans="1:15" ht="12" customHeight="1" x14ac:dyDescent="0.2">
      <c r="A18" s="37"/>
      <c r="B18" s="55">
        <v>36</v>
      </c>
      <c r="C18" s="56" t="s">
        <v>44</v>
      </c>
      <c r="D18" s="57">
        <f>'Headloss Calcs'!$A$30</f>
        <v>10</v>
      </c>
      <c r="E18" s="53">
        <f t="shared" si="0"/>
        <v>15.473361061596355</v>
      </c>
      <c r="F18" s="38">
        <f>'Headloss Calcs'!$E$18</f>
        <v>140</v>
      </c>
      <c r="G18" s="53">
        <f t="shared" si="1"/>
        <v>7.0686</v>
      </c>
      <c r="H18" s="53">
        <f t="shared" si="2"/>
        <v>9.4247999999999994</v>
      </c>
      <c r="I18" s="53">
        <f t="shared" si="3"/>
        <v>0.75</v>
      </c>
      <c r="J18" s="53">
        <f t="shared" si="4"/>
        <v>2.1890276803888118</v>
      </c>
      <c r="K18" s="53">
        <f t="shared" si="5"/>
        <v>0</v>
      </c>
      <c r="L18" s="53">
        <v>1</v>
      </c>
      <c r="M18" s="58">
        <f t="shared" si="6"/>
        <v>7.4407487352615237E-2</v>
      </c>
      <c r="N18" s="58">
        <f t="shared" si="7"/>
        <v>7.4407487352615237E-2</v>
      </c>
      <c r="O18" s="59">
        <f t="shared" si="8"/>
        <v>3.7969168404576212</v>
      </c>
    </row>
    <row r="19" spans="1:15" ht="13.5" thickBot="1" x14ac:dyDescent="0.25">
      <c r="A19" s="39"/>
      <c r="B19" s="40"/>
      <c r="C19" s="41"/>
      <c r="D19" s="40"/>
      <c r="E19" s="42"/>
      <c r="F19" s="40"/>
      <c r="G19" s="54"/>
      <c r="H19" s="54"/>
      <c r="I19" s="54"/>
      <c r="J19" s="54"/>
      <c r="K19" s="54"/>
      <c r="L19" s="54"/>
      <c r="M19" s="60"/>
      <c r="N19" s="60" t="s">
        <v>40</v>
      </c>
      <c r="O19" s="61">
        <f>O18</f>
        <v>3.7969168404576212</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Calcs'!$A$30</f>
        <v>10</v>
      </c>
      <c r="E22" s="53">
        <f t="shared" ref="E22:E37" si="9">D22*1000000/(7.48*24*60*60)</f>
        <v>15.473361061596355</v>
      </c>
      <c r="F22" s="38">
        <f>'Headloss Calcs'!$H$18</f>
        <v>100</v>
      </c>
      <c r="G22" s="53">
        <f t="shared" ref="G22:G37" si="10">3.1416/4*(B22/12)^2</f>
        <v>7.0686</v>
      </c>
      <c r="H22" s="53">
        <f t="shared" ref="H22:H37" si="11">3.1416*(B22/12)</f>
        <v>9.4247999999999994</v>
      </c>
      <c r="I22" s="53">
        <f t="shared" ref="I22:I37" si="12">G22/H22</f>
        <v>0.75</v>
      </c>
      <c r="J22" s="53">
        <f t="shared" ref="J22:J37" si="13">E22/G22</f>
        <v>2.1890276803888118</v>
      </c>
      <c r="K22" s="53">
        <f t="shared" ref="K22:K37" si="14">(J22/(1.318*F22*I22^0.63))^1.85*A22</f>
        <v>0</v>
      </c>
      <c r="L22" s="53">
        <v>0.25</v>
      </c>
      <c r="M22" s="58">
        <f t="shared" ref="M22:M37" si="15">L22*(J22^2)/(2*32.2)</f>
        <v>1.8601871838153809E-2</v>
      </c>
      <c r="N22" s="58">
        <f t="shared" ref="N22:N37" si="16">K22+M22</f>
        <v>1.8601871838153809E-2</v>
      </c>
      <c r="O22" s="59">
        <f>N22</f>
        <v>1.8601871838153809E-2</v>
      </c>
    </row>
    <row r="23" spans="1:15" x14ac:dyDescent="0.2">
      <c r="A23" s="37"/>
      <c r="B23" s="55">
        <v>36</v>
      </c>
      <c r="C23" s="56" t="s">
        <v>47</v>
      </c>
      <c r="D23" s="57">
        <f>'Headloss Calcs'!$A$30</f>
        <v>10</v>
      </c>
      <c r="E23" s="53">
        <f t="shared" si="9"/>
        <v>15.473361061596355</v>
      </c>
      <c r="F23" s="38">
        <f>'Headloss Calcs'!$H$18</f>
        <v>100</v>
      </c>
      <c r="G23" s="53">
        <f t="shared" si="10"/>
        <v>7.0686</v>
      </c>
      <c r="H23" s="53">
        <f t="shared" si="11"/>
        <v>9.4247999999999994</v>
      </c>
      <c r="I23" s="53">
        <f t="shared" si="12"/>
        <v>0.75</v>
      </c>
      <c r="J23" s="53">
        <f t="shared" si="13"/>
        <v>2.1890276803888118</v>
      </c>
      <c r="K23" s="53">
        <f t="shared" si="14"/>
        <v>0</v>
      </c>
      <c r="L23" s="53">
        <v>0.25</v>
      </c>
      <c r="M23" s="58">
        <f t="shared" si="15"/>
        <v>1.8601871838153809E-2</v>
      </c>
      <c r="N23" s="58">
        <f t="shared" si="16"/>
        <v>1.8601871838153809E-2</v>
      </c>
      <c r="O23" s="59">
        <f t="shared" ref="O23:O37" si="17">N23+O22</f>
        <v>3.7203743676307618E-2</v>
      </c>
    </row>
    <row r="24" spans="1:15" x14ac:dyDescent="0.2">
      <c r="A24" s="37">
        <v>1320</v>
      </c>
      <c r="B24" s="55">
        <v>36</v>
      </c>
      <c r="C24" s="56" t="s">
        <v>23</v>
      </c>
      <c r="D24" s="57">
        <f>'Headloss Calcs'!$A$30</f>
        <v>10</v>
      </c>
      <c r="E24" s="53">
        <f t="shared" si="9"/>
        <v>15.473361061596355</v>
      </c>
      <c r="F24" s="38">
        <f>'Headloss Calcs'!$H$18</f>
        <v>100</v>
      </c>
      <c r="G24" s="53">
        <f t="shared" si="10"/>
        <v>7.0686</v>
      </c>
      <c r="H24" s="53">
        <f t="shared" si="11"/>
        <v>9.4247999999999994</v>
      </c>
      <c r="I24" s="53">
        <f t="shared" si="12"/>
        <v>0.75</v>
      </c>
      <c r="J24" s="53">
        <f t="shared" si="13"/>
        <v>2.1890276803888118</v>
      </c>
      <c r="K24" s="53">
        <f t="shared" si="14"/>
        <v>0.94148051952398137</v>
      </c>
      <c r="L24" s="53"/>
      <c r="M24" s="58">
        <f t="shared" si="15"/>
        <v>0</v>
      </c>
      <c r="N24" s="58">
        <f t="shared" si="16"/>
        <v>0.94148051952398137</v>
      </c>
      <c r="O24" s="59">
        <f t="shared" si="17"/>
        <v>0.97868426320028901</v>
      </c>
    </row>
    <row r="25" spans="1:15" x14ac:dyDescent="0.2">
      <c r="A25" s="37"/>
      <c r="B25" s="55">
        <v>36</v>
      </c>
      <c r="C25" s="56" t="s">
        <v>45</v>
      </c>
      <c r="D25" s="57">
        <f>'Headloss Calcs'!$A$30</f>
        <v>10</v>
      </c>
      <c r="E25" s="53">
        <f t="shared" si="9"/>
        <v>15.473361061596355</v>
      </c>
      <c r="F25" s="38">
        <f>'Headloss Calcs'!$H$18</f>
        <v>100</v>
      </c>
      <c r="G25" s="53">
        <f t="shared" si="10"/>
        <v>7.0686</v>
      </c>
      <c r="H25" s="53">
        <f t="shared" si="11"/>
        <v>9.4247999999999994</v>
      </c>
      <c r="I25" s="53">
        <f t="shared" si="12"/>
        <v>0.75</v>
      </c>
      <c r="J25" s="53">
        <f t="shared" si="13"/>
        <v>2.1890276803888118</v>
      </c>
      <c r="K25" s="53">
        <f t="shared" si="14"/>
        <v>0</v>
      </c>
      <c r="L25" s="53">
        <v>0.2</v>
      </c>
      <c r="M25" s="58">
        <f t="shared" si="15"/>
        <v>1.4881497470523048E-2</v>
      </c>
      <c r="N25" s="58">
        <f t="shared" si="16"/>
        <v>1.4881497470523048E-2</v>
      </c>
      <c r="O25" s="59">
        <f t="shared" si="17"/>
        <v>0.99356576067081204</v>
      </c>
    </row>
    <row r="26" spans="1:15" x14ac:dyDescent="0.2">
      <c r="A26" s="37">
        <v>1320</v>
      </c>
      <c r="B26" s="55">
        <v>36</v>
      </c>
      <c r="C26" s="69" t="s">
        <v>23</v>
      </c>
      <c r="D26" s="57">
        <f>'Headloss Calcs'!$A$30</f>
        <v>10</v>
      </c>
      <c r="E26" s="53">
        <f t="shared" si="9"/>
        <v>15.473361061596355</v>
      </c>
      <c r="F26" s="38">
        <f>'Headloss Calcs'!$H$18</f>
        <v>100</v>
      </c>
      <c r="G26" s="53">
        <f t="shared" si="10"/>
        <v>7.0686</v>
      </c>
      <c r="H26" s="53">
        <f t="shared" si="11"/>
        <v>9.4247999999999994</v>
      </c>
      <c r="I26" s="53">
        <f t="shared" si="12"/>
        <v>0.75</v>
      </c>
      <c r="J26" s="53">
        <f t="shared" si="13"/>
        <v>2.1890276803888118</v>
      </c>
      <c r="K26" s="53">
        <f t="shared" si="14"/>
        <v>0.94148051952398137</v>
      </c>
      <c r="L26" s="53"/>
      <c r="M26" s="58">
        <f t="shared" si="15"/>
        <v>0</v>
      </c>
      <c r="N26" s="58">
        <f t="shared" si="16"/>
        <v>0.94148051952398137</v>
      </c>
      <c r="O26" s="59">
        <f t="shared" si="17"/>
        <v>1.9350462801947934</v>
      </c>
    </row>
    <row r="27" spans="1:15" x14ac:dyDescent="0.2">
      <c r="A27" s="37"/>
      <c r="B27" s="55">
        <v>36</v>
      </c>
      <c r="C27" s="56" t="s">
        <v>39</v>
      </c>
      <c r="D27" s="57">
        <f>'Headloss Calcs'!$A$30</f>
        <v>10</v>
      </c>
      <c r="E27" s="53">
        <f t="shared" si="9"/>
        <v>15.473361061596355</v>
      </c>
      <c r="F27" s="38">
        <f>'Headloss Calcs'!$H$18</f>
        <v>100</v>
      </c>
      <c r="G27" s="53">
        <f t="shared" si="10"/>
        <v>7.0686</v>
      </c>
      <c r="H27" s="53">
        <f t="shared" si="11"/>
        <v>9.4247999999999994</v>
      </c>
      <c r="I27" s="53">
        <f t="shared" si="12"/>
        <v>0.75</v>
      </c>
      <c r="J27" s="53">
        <f t="shared" si="13"/>
        <v>2.1890276803888118</v>
      </c>
      <c r="K27" s="53">
        <f t="shared" si="14"/>
        <v>0</v>
      </c>
      <c r="L27" s="53">
        <v>0.4</v>
      </c>
      <c r="M27" s="58">
        <f t="shared" si="15"/>
        <v>2.9762994941046096E-2</v>
      </c>
      <c r="N27" s="58">
        <f t="shared" si="16"/>
        <v>2.9762994941046096E-2</v>
      </c>
      <c r="O27" s="59">
        <f t="shared" si="17"/>
        <v>1.9648092751358395</v>
      </c>
    </row>
    <row r="28" spans="1:15" x14ac:dyDescent="0.2">
      <c r="A28" s="37">
        <v>1320</v>
      </c>
      <c r="B28" s="55">
        <v>36</v>
      </c>
      <c r="C28" s="56" t="s">
        <v>23</v>
      </c>
      <c r="D28" s="57">
        <f>'Headloss Calcs'!$A$30</f>
        <v>10</v>
      </c>
      <c r="E28" s="53">
        <f t="shared" si="9"/>
        <v>15.473361061596355</v>
      </c>
      <c r="F28" s="38">
        <f>'Headloss Calcs'!$H$18</f>
        <v>100</v>
      </c>
      <c r="G28" s="53">
        <f t="shared" si="10"/>
        <v>7.0686</v>
      </c>
      <c r="H28" s="53">
        <f t="shared" si="11"/>
        <v>9.4247999999999994</v>
      </c>
      <c r="I28" s="53">
        <f t="shared" si="12"/>
        <v>0.75</v>
      </c>
      <c r="J28" s="53">
        <f t="shared" si="13"/>
        <v>2.1890276803888118</v>
      </c>
      <c r="K28" s="53">
        <f t="shared" si="14"/>
        <v>0.94148051952398137</v>
      </c>
      <c r="L28" s="53"/>
      <c r="M28" s="58">
        <f t="shared" si="15"/>
        <v>0</v>
      </c>
      <c r="N28" s="58">
        <f t="shared" si="16"/>
        <v>0.94148051952398137</v>
      </c>
      <c r="O28" s="59">
        <f t="shared" si="17"/>
        <v>2.9062897946598207</v>
      </c>
    </row>
    <row r="29" spans="1:15" x14ac:dyDescent="0.2">
      <c r="A29" s="37"/>
      <c r="B29" s="55">
        <v>36</v>
      </c>
      <c r="C29" s="56" t="s">
        <v>39</v>
      </c>
      <c r="D29" s="57">
        <f>'Headloss Calcs'!$A$30</f>
        <v>10</v>
      </c>
      <c r="E29" s="53">
        <f t="shared" si="9"/>
        <v>15.473361061596355</v>
      </c>
      <c r="F29" s="38">
        <f>'Headloss Calcs'!$H$18</f>
        <v>100</v>
      </c>
      <c r="G29" s="53">
        <f t="shared" si="10"/>
        <v>7.0686</v>
      </c>
      <c r="H29" s="53">
        <f t="shared" si="11"/>
        <v>9.4247999999999994</v>
      </c>
      <c r="I29" s="53">
        <f t="shared" si="12"/>
        <v>0.75</v>
      </c>
      <c r="J29" s="53">
        <f t="shared" si="13"/>
        <v>2.1890276803888118</v>
      </c>
      <c r="K29" s="53">
        <f t="shared" si="14"/>
        <v>0</v>
      </c>
      <c r="L29" s="53">
        <v>0.4</v>
      </c>
      <c r="M29" s="58">
        <f t="shared" si="15"/>
        <v>2.9762994941046096E-2</v>
      </c>
      <c r="N29" s="58">
        <f t="shared" si="16"/>
        <v>2.9762994941046096E-2</v>
      </c>
      <c r="O29" s="59">
        <f t="shared" si="17"/>
        <v>2.936052789600867</v>
      </c>
    </row>
    <row r="30" spans="1:15" x14ac:dyDescent="0.2">
      <c r="A30" s="37">
        <v>1320</v>
      </c>
      <c r="B30" s="55">
        <v>36</v>
      </c>
      <c r="C30" s="56" t="s">
        <v>23</v>
      </c>
      <c r="D30" s="57">
        <f>'Headloss Calcs'!$A$30</f>
        <v>10</v>
      </c>
      <c r="E30" s="53">
        <f t="shared" si="9"/>
        <v>15.473361061596355</v>
      </c>
      <c r="F30" s="38">
        <f>'Headloss Calcs'!$H$18</f>
        <v>100</v>
      </c>
      <c r="G30" s="53">
        <f t="shared" si="10"/>
        <v>7.0686</v>
      </c>
      <c r="H30" s="53">
        <f t="shared" si="11"/>
        <v>9.4247999999999994</v>
      </c>
      <c r="I30" s="53">
        <f t="shared" si="12"/>
        <v>0.75</v>
      </c>
      <c r="J30" s="53">
        <f t="shared" si="13"/>
        <v>2.1890276803888118</v>
      </c>
      <c r="K30" s="53">
        <f t="shared" si="14"/>
        <v>0.94148051952398137</v>
      </c>
      <c r="L30" s="53"/>
      <c r="M30" s="58">
        <f t="shared" si="15"/>
        <v>0</v>
      </c>
      <c r="N30" s="58">
        <f t="shared" si="16"/>
        <v>0.94148051952398137</v>
      </c>
      <c r="O30" s="59">
        <f t="shared" si="17"/>
        <v>3.8775333091248485</v>
      </c>
    </row>
    <row r="31" spans="1:15" x14ac:dyDescent="0.2">
      <c r="A31" s="37"/>
      <c r="B31" s="55">
        <v>36</v>
      </c>
      <c r="C31" s="56" t="s">
        <v>48</v>
      </c>
      <c r="D31" s="57">
        <f>'Headloss Calcs'!$A$30</f>
        <v>10</v>
      </c>
      <c r="E31" s="53">
        <f t="shared" si="9"/>
        <v>15.473361061596355</v>
      </c>
      <c r="F31" s="38">
        <f>'Headloss Calcs'!$H$18</f>
        <v>100</v>
      </c>
      <c r="G31" s="53">
        <f t="shared" si="10"/>
        <v>7.0686</v>
      </c>
      <c r="H31" s="53">
        <f t="shared" si="11"/>
        <v>9.4247999999999994</v>
      </c>
      <c r="I31" s="53">
        <f t="shared" si="12"/>
        <v>0.75</v>
      </c>
      <c r="J31" s="53">
        <f t="shared" si="13"/>
        <v>2.1890276803888118</v>
      </c>
      <c r="K31" s="53">
        <f t="shared" si="14"/>
        <v>0</v>
      </c>
      <c r="L31" s="53">
        <v>0.4</v>
      </c>
      <c r="M31" s="58">
        <f t="shared" si="15"/>
        <v>2.9762994941046096E-2</v>
      </c>
      <c r="N31" s="58">
        <f t="shared" si="16"/>
        <v>2.9762994941046096E-2</v>
      </c>
      <c r="O31" s="59">
        <f t="shared" si="17"/>
        <v>3.9072963040658948</v>
      </c>
    </row>
    <row r="32" spans="1:15" x14ac:dyDescent="0.2">
      <c r="A32" s="37">
        <v>1320</v>
      </c>
      <c r="B32" s="55">
        <v>36</v>
      </c>
      <c r="C32" s="56" t="s">
        <v>23</v>
      </c>
      <c r="D32" s="57">
        <f>'Headloss Calcs'!$A$30</f>
        <v>10</v>
      </c>
      <c r="E32" s="53">
        <f t="shared" si="9"/>
        <v>15.473361061596355</v>
      </c>
      <c r="F32" s="38">
        <f>'Headloss Calcs'!$H$18</f>
        <v>100</v>
      </c>
      <c r="G32" s="53">
        <f t="shared" si="10"/>
        <v>7.0686</v>
      </c>
      <c r="H32" s="53">
        <f t="shared" si="11"/>
        <v>9.4247999999999994</v>
      </c>
      <c r="I32" s="53">
        <f t="shared" si="12"/>
        <v>0.75</v>
      </c>
      <c r="J32" s="53">
        <f t="shared" si="13"/>
        <v>2.1890276803888118</v>
      </c>
      <c r="K32" s="53">
        <f t="shared" si="14"/>
        <v>0.94148051952398137</v>
      </c>
      <c r="L32" s="53"/>
      <c r="M32" s="58">
        <f t="shared" si="15"/>
        <v>0</v>
      </c>
      <c r="N32" s="58">
        <f t="shared" si="16"/>
        <v>0.94148051952398137</v>
      </c>
      <c r="O32" s="59">
        <f t="shared" si="17"/>
        <v>4.8487768235898763</v>
      </c>
    </row>
    <row r="33" spans="1:15" x14ac:dyDescent="0.2">
      <c r="A33" s="37"/>
      <c r="B33" s="55">
        <v>36</v>
      </c>
      <c r="C33" s="56" t="s">
        <v>39</v>
      </c>
      <c r="D33" s="57">
        <f>'Headloss Calcs'!$A$30</f>
        <v>10</v>
      </c>
      <c r="E33" s="53">
        <f t="shared" si="9"/>
        <v>15.473361061596355</v>
      </c>
      <c r="F33" s="38">
        <f>'Headloss Calcs'!$H$18</f>
        <v>100</v>
      </c>
      <c r="G33" s="53">
        <f t="shared" si="10"/>
        <v>7.0686</v>
      </c>
      <c r="H33" s="53">
        <f t="shared" si="11"/>
        <v>9.4247999999999994</v>
      </c>
      <c r="I33" s="53">
        <f t="shared" si="12"/>
        <v>0.75</v>
      </c>
      <c r="J33" s="53">
        <f t="shared" si="13"/>
        <v>2.1890276803888118</v>
      </c>
      <c r="K33" s="53">
        <f t="shared" si="14"/>
        <v>0</v>
      </c>
      <c r="L33" s="53">
        <v>0.4</v>
      </c>
      <c r="M33" s="58">
        <f t="shared" si="15"/>
        <v>2.9762994941046096E-2</v>
      </c>
      <c r="N33" s="58">
        <f t="shared" si="16"/>
        <v>2.9762994941046096E-2</v>
      </c>
      <c r="O33" s="59">
        <f t="shared" si="17"/>
        <v>4.8785398185309221</v>
      </c>
    </row>
    <row r="34" spans="1:15" x14ac:dyDescent="0.2">
      <c r="A34" s="37">
        <v>1320</v>
      </c>
      <c r="B34" s="55">
        <v>36</v>
      </c>
      <c r="C34" s="56" t="s">
        <v>23</v>
      </c>
      <c r="D34" s="57">
        <f>'Headloss Calcs'!$A$30</f>
        <v>10</v>
      </c>
      <c r="E34" s="53">
        <f t="shared" si="9"/>
        <v>15.473361061596355</v>
      </c>
      <c r="F34" s="38">
        <f>'Headloss Calcs'!$H$18</f>
        <v>100</v>
      </c>
      <c r="G34" s="53">
        <f t="shared" si="10"/>
        <v>7.0686</v>
      </c>
      <c r="H34" s="53">
        <f t="shared" si="11"/>
        <v>9.4247999999999994</v>
      </c>
      <c r="I34" s="53">
        <f t="shared" si="12"/>
        <v>0.75</v>
      </c>
      <c r="J34" s="53">
        <f t="shared" si="13"/>
        <v>2.1890276803888118</v>
      </c>
      <c r="K34" s="53">
        <f t="shared" si="14"/>
        <v>0.94148051952398137</v>
      </c>
      <c r="L34" s="53"/>
      <c r="M34" s="58">
        <f t="shared" si="15"/>
        <v>0</v>
      </c>
      <c r="N34" s="58">
        <f t="shared" si="16"/>
        <v>0.94148051952398137</v>
      </c>
      <c r="O34" s="59">
        <f t="shared" si="17"/>
        <v>5.8200203380549036</v>
      </c>
    </row>
    <row r="35" spans="1:15" x14ac:dyDescent="0.2">
      <c r="A35" s="37"/>
      <c r="B35" s="55">
        <v>36</v>
      </c>
      <c r="C35" s="56" t="s">
        <v>45</v>
      </c>
      <c r="D35" s="57">
        <f>'Headloss Calcs'!$A$30</f>
        <v>10</v>
      </c>
      <c r="E35" s="53">
        <f t="shared" si="9"/>
        <v>15.473361061596355</v>
      </c>
      <c r="F35" s="38">
        <f>'Headloss Calcs'!$H$18</f>
        <v>100</v>
      </c>
      <c r="G35" s="53">
        <f t="shared" si="10"/>
        <v>7.0686</v>
      </c>
      <c r="H35" s="53">
        <f t="shared" si="11"/>
        <v>9.4247999999999994</v>
      </c>
      <c r="I35" s="53">
        <f t="shared" si="12"/>
        <v>0.75</v>
      </c>
      <c r="J35" s="53">
        <f t="shared" si="13"/>
        <v>2.1890276803888118</v>
      </c>
      <c r="K35" s="53">
        <f t="shared" si="14"/>
        <v>0</v>
      </c>
      <c r="L35" s="53">
        <v>0.2</v>
      </c>
      <c r="M35" s="58">
        <f t="shared" si="15"/>
        <v>1.4881497470523048E-2</v>
      </c>
      <c r="N35" s="58">
        <f t="shared" si="16"/>
        <v>1.4881497470523048E-2</v>
      </c>
      <c r="O35" s="59">
        <f t="shared" si="17"/>
        <v>5.834901835525427</v>
      </c>
    </row>
    <row r="36" spans="1:15" x14ac:dyDescent="0.2">
      <c r="A36" s="37">
        <v>1320</v>
      </c>
      <c r="B36" s="55">
        <v>36</v>
      </c>
      <c r="C36" s="56" t="s">
        <v>23</v>
      </c>
      <c r="D36" s="57">
        <f>'Headloss Calcs'!$A$30</f>
        <v>10</v>
      </c>
      <c r="E36" s="53">
        <f t="shared" si="9"/>
        <v>15.473361061596355</v>
      </c>
      <c r="F36" s="38">
        <f>'Headloss Calcs'!$H$18</f>
        <v>100</v>
      </c>
      <c r="G36" s="53">
        <f t="shared" si="10"/>
        <v>7.0686</v>
      </c>
      <c r="H36" s="53">
        <f t="shared" si="11"/>
        <v>9.4247999999999994</v>
      </c>
      <c r="I36" s="53">
        <f t="shared" si="12"/>
        <v>0.75</v>
      </c>
      <c r="J36" s="53">
        <f t="shared" si="13"/>
        <v>2.1890276803888118</v>
      </c>
      <c r="K36" s="53">
        <f t="shared" si="14"/>
        <v>0.94148051952398137</v>
      </c>
      <c r="L36" s="53"/>
      <c r="M36" s="58">
        <f t="shared" si="15"/>
        <v>0</v>
      </c>
      <c r="N36" s="58">
        <f t="shared" si="16"/>
        <v>0.94148051952398137</v>
      </c>
      <c r="O36" s="59">
        <f t="shared" si="17"/>
        <v>6.7763823550494084</v>
      </c>
    </row>
    <row r="37" spans="1:15" ht="12" customHeight="1" x14ac:dyDescent="0.2">
      <c r="A37" s="37"/>
      <c r="B37" s="55">
        <v>36</v>
      </c>
      <c r="C37" s="56" t="s">
        <v>44</v>
      </c>
      <c r="D37" s="57">
        <f>'Headloss Calcs'!$A$30</f>
        <v>10</v>
      </c>
      <c r="E37" s="53">
        <f t="shared" si="9"/>
        <v>15.473361061596355</v>
      </c>
      <c r="F37" s="38">
        <f>'Headloss Calcs'!$H$18</f>
        <v>100</v>
      </c>
      <c r="G37" s="53">
        <f t="shared" si="10"/>
        <v>7.0686</v>
      </c>
      <c r="H37" s="53">
        <f t="shared" si="11"/>
        <v>9.4247999999999994</v>
      </c>
      <c r="I37" s="53">
        <f t="shared" si="12"/>
        <v>0.75</v>
      </c>
      <c r="J37" s="53">
        <f t="shared" si="13"/>
        <v>2.1890276803888118</v>
      </c>
      <c r="K37" s="53">
        <f t="shared" si="14"/>
        <v>0</v>
      </c>
      <c r="L37" s="53">
        <v>1</v>
      </c>
      <c r="M37" s="58">
        <f t="shared" si="15"/>
        <v>7.4407487352615237E-2</v>
      </c>
      <c r="N37" s="58">
        <f t="shared" si="16"/>
        <v>7.4407487352615237E-2</v>
      </c>
      <c r="O37" s="59">
        <f t="shared" si="17"/>
        <v>6.8507898424020235</v>
      </c>
    </row>
    <row r="38" spans="1:15" ht="13.5" thickBot="1" x14ac:dyDescent="0.25">
      <c r="A38" s="39"/>
      <c r="B38" s="40"/>
      <c r="C38" s="41"/>
      <c r="D38" s="40"/>
      <c r="E38" s="42"/>
      <c r="F38" s="40"/>
      <c r="G38" s="54"/>
      <c r="H38" s="54"/>
      <c r="I38" s="54"/>
      <c r="J38" s="54"/>
      <c r="K38" s="54"/>
      <c r="L38" s="54"/>
      <c r="M38" s="60"/>
      <c r="N38" s="60" t="s">
        <v>40</v>
      </c>
      <c r="O38" s="61">
        <f>O37</f>
        <v>6.8507898424020235</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0"/>
  <sheetViews>
    <sheetView topLeftCell="C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Calcs'!$A$31</f>
        <v>11</v>
      </c>
      <c r="E3" s="53">
        <f t="shared" ref="E3:E18" si="0">D3*1000000/(7.48*24*60*60)</f>
        <v>17.020697167755991</v>
      </c>
      <c r="F3" s="38">
        <f>'Headloss Calcs'!$E$18</f>
        <v>140</v>
      </c>
      <c r="G3" s="53">
        <f t="shared" ref="G3:G18" si="1">3.1416/4*(B3/12)^2</f>
        <v>7.0686</v>
      </c>
      <c r="H3" s="53">
        <f t="shared" ref="H3:H18" si="2">3.1416*(B3/12)</f>
        <v>9.4247999999999994</v>
      </c>
      <c r="I3" s="53">
        <f t="shared" ref="I3:I18" si="3">G3/H3</f>
        <v>0.75</v>
      </c>
      <c r="J3" s="53">
        <f t="shared" ref="J3:J18" si="4">E3/G3</f>
        <v>2.4079304484276931</v>
      </c>
      <c r="K3" s="53">
        <f t="shared" ref="K3:K18" si="5">(J3/(1.318*F3*I3^0.63))^1.85*A3</f>
        <v>0</v>
      </c>
      <c r="L3" s="53">
        <v>0.25</v>
      </c>
      <c r="M3" s="58">
        <f t="shared" ref="M3:M18" si="6">L3*(J3^2)/(2*32.2)</f>
        <v>2.2508264924166112E-2</v>
      </c>
      <c r="N3" s="58">
        <f t="shared" ref="N3:N18" si="7">K3+M3</f>
        <v>2.2508264924166112E-2</v>
      </c>
      <c r="O3" s="59">
        <f>N3</f>
        <v>2.2508264924166112E-2</v>
      </c>
    </row>
    <row r="4" spans="1:15" x14ac:dyDescent="0.2">
      <c r="A4" s="37"/>
      <c r="B4" s="55">
        <v>36</v>
      </c>
      <c r="C4" s="56" t="s">
        <v>47</v>
      </c>
      <c r="D4" s="57">
        <f>'Headloss Calcs'!$A$31</f>
        <v>11</v>
      </c>
      <c r="E4" s="53">
        <f t="shared" si="0"/>
        <v>17.020697167755991</v>
      </c>
      <c r="F4" s="38">
        <f>'Headloss Calcs'!$E$18</f>
        <v>140</v>
      </c>
      <c r="G4" s="53">
        <f t="shared" si="1"/>
        <v>7.0686</v>
      </c>
      <c r="H4" s="53">
        <f t="shared" si="2"/>
        <v>9.4247999999999994</v>
      </c>
      <c r="I4" s="53">
        <f t="shared" si="3"/>
        <v>0.75</v>
      </c>
      <c r="J4" s="53">
        <f t="shared" si="4"/>
        <v>2.4079304484276931</v>
      </c>
      <c r="K4" s="53">
        <f t="shared" si="5"/>
        <v>0</v>
      </c>
      <c r="L4" s="53">
        <v>0.25</v>
      </c>
      <c r="M4" s="58">
        <f t="shared" si="6"/>
        <v>2.2508264924166112E-2</v>
      </c>
      <c r="N4" s="58">
        <f t="shared" si="7"/>
        <v>2.2508264924166112E-2</v>
      </c>
      <c r="O4" s="59">
        <f t="shared" ref="O4:O18" si="8">N4+O3</f>
        <v>4.5016529848332223E-2</v>
      </c>
    </row>
    <row r="5" spans="1:15" x14ac:dyDescent="0.2">
      <c r="A5" s="37">
        <v>1320</v>
      </c>
      <c r="B5" s="55">
        <v>36</v>
      </c>
      <c r="C5" s="56" t="s">
        <v>23</v>
      </c>
      <c r="D5" s="57">
        <f>'Headloss Calcs'!$A$31</f>
        <v>11</v>
      </c>
      <c r="E5" s="53">
        <f t="shared" si="0"/>
        <v>17.020697167755991</v>
      </c>
      <c r="F5" s="38">
        <f>'Headloss Calcs'!$E$18</f>
        <v>140</v>
      </c>
      <c r="G5" s="53">
        <f t="shared" si="1"/>
        <v>7.0686</v>
      </c>
      <c r="H5" s="53">
        <f t="shared" si="2"/>
        <v>9.4247999999999994</v>
      </c>
      <c r="I5" s="53">
        <f t="shared" si="3"/>
        <v>0.75</v>
      </c>
      <c r="J5" s="53">
        <f t="shared" si="4"/>
        <v>2.4079304484276931</v>
      </c>
      <c r="K5" s="53">
        <f t="shared" si="5"/>
        <v>0.60263026645499429</v>
      </c>
      <c r="L5" s="53"/>
      <c r="M5" s="58">
        <f t="shared" si="6"/>
        <v>0</v>
      </c>
      <c r="N5" s="58">
        <f t="shared" si="7"/>
        <v>0.60263026645499429</v>
      </c>
      <c r="O5" s="59">
        <f t="shared" si="8"/>
        <v>0.64764679630332656</v>
      </c>
    </row>
    <row r="6" spans="1:15" x14ac:dyDescent="0.2">
      <c r="A6" s="37"/>
      <c r="B6" s="55">
        <v>36</v>
      </c>
      <c r="C6" s="56" t="s">
        <v>45</v>
      </c>
      <c r="D6" s="57">
        <f>'Headloss Calcs'!$A$31</f>
        <v>11</v>
      </c>
      <c r="E6" s="53">
        <f t="shared" si="0"/>
        <v>17.020697167755991</v>
      </c>
      <c r="F6" s="38">
        <f>'Headloss Calcs'!$E$18</f>
        <v>140</v>
      </c>
      <c r="G6" s="53">
        <f t="shared" si="1"/>
        <v>7.0686</v>
      </c>
      <c r="H6" s="53">
        <f t="shared" si="2"/>
        <v>9.4247999999999994</v>
      </c>
      <c r="I6" s="53">
        <f t="shared" si="3"/>
        <v>0.75</v>
      </c>
      <c r="J6" s="53">
        <f t="shared" si="4"/>
        <v>2.4079304484276931</v>
      </c>
      <c r="K6" s="53">
        <f t="shared" si="5"/>
        <v>0</v>
      </c>
      <c r="L6" s="53">
        <v>0.2</v>
      </c>
      <c r="M6" s="58">
        <f t="shared" si="6"/>
        <v>1.8006611939332891E-2</v>
      </c>
      <c r="N6" s="58">
        <f t="shared" si="7"/>
        <v>1.8006611939332891E-2</v>
      </c>
      <c r="O6" s="59">
        <f t="shared" si="8"/>
        <v>0.66565340824265939</v>
      </c>
    </row>
    <row r="7" spans="1:15" x14ac:dyDescent="0.2">
      <c r="A7" s="37">
        <v>1320</v>
      </c>
      <c r="B7" s="55">
        <v>36</v>
      </c>
      <c r="C7" s="69" t="s">
        <v>23</v>
      </c>
      <c r="D7" s="57">
        <f>'Headloss Calcs'!$A$31</f>
        <v>11</v>
      </c>
      <c r="E7" s="53">
        <f t="shared" si="0"/>
        <v>17.020697167755991</v>
      </c>
      <c r="F7" s="38">
        <f>'Headloss Calcs'!$E$18</f>
        <v>140</v>
      </c>
      <c r="G7" s="53">
        <f t="shared" si="1"/>
        <v>7.0686</v>
      </c>
      <c r="H7" s="53">
        <f t="shared" si="2"/>
        <v>9.4247999999999994</v>
      </c>
      <c r="I7" s="53">
        <f t="shared" si="3"/>
        <v>0.75</v>
      </c>
      <c r="J7" s="53">
        <f t="shared" si="4"/>
        <v>2.4079304484276931</v>
      </c>
      <c r="K7" s="53">
        <f t="shared" si="5"/>
        <v>0.60263026645499429</v>
      </c>
      <c r="L7" s="53"/>
      <c r="M7" s="58">
        <f t="shared" si="6"/>
        <v>0</v>
      </c>
      <c r="N7" s="58">
        <f t="shared" si="7"/>
        <v>0.60263026645499429</v>
      </c>
      <c r="O7" s="59">
        <f t="shared" si="8"/>
        <v>1.2682836746976536</v>
      </c>
    </row>
    <row r="8" spans="1:15" x14ac:dyDescent="0.2">
      <c r="A8" s="37"/>
      <c r="B8" s="55">
        <v>36</v>
      </c>
      <c r="C8" s="56" t="s">
        <v>39</v>
      </c>
      <c r="D8" s="57">
        <f>'Headloss Calcs'!$A$31</f>
        <v>11</v>
      </c>
      <c r="E8" s="53">
        <f t="shared" si="0"/>
        <v>17.020697167755991</v>
      </c>
      <c r="F8" s="38">
        <f>'Headloss Calcs'!$E$18</f>
        <v>140</v>
      </c>
      <c r="G8" s="53">
        <f t="shared" si="1"/>
        <v>7.0686</v>
      </c>
      <c r="H8" s="53">
        <f t="shared" si="2"/>
        <v>9.4247999999999994</v>
      </c>
      <c r="I8" s="53">
        <f t="shared" si="3"/>
        <v>0.75</v>
      </c>
      <c r="J8" s="53">
        <f t="shared" si="4"/>
        <v>2.4079304484276931</v>
      </c>
      <c r="K8" s="53">
        <f t="shared" si="5"/>
        <v>0</v>
      </c>
      <c r="L8" s="53">
        <v>0.4</v>
      </c>
      <c r="M8" s="58">
        <f t="shared" si="6"/>
        <v>3.6013223878665783E-2</v>
      </c>
      <c r="N8" s="58">
        <f t="shared" si="7"/>
        <v>3.6013223878665783E-2</v>
      </c>
      <c r="O8" s="59">
        <f t="shared" si="8"/>
        <v>1.3042968985763193</v>
      </c>
    </row>
    <row r="9" spans="1:15" x14ac:dyDescent="0.2">
      <c r="A9" s="37">
        <v>1320</v>
      </c>
      <c r="B9" s="55">
        <v>36</v>
      </c>
      <c r="C9" s="56" t="s">
        <v>23</v>
      </c>
      <c r="D9" s="57">
        <f>'Headloss Calcs'!$A$31</f>
        <v>11</v>
      </c>
      <c r="E9" s="53">
        <f t="shared" si="0"/>
        <v>17.020697167755991</v>
      </c>
      <c r="F9" s="38">
        <f>'Headloss Calcs'!$E$18</f>
        <v>140</v>
      </c>
      <c r="G9" s="53">
        <f t="shared" si="1"/>
        <v>7.0686</v>
      </c>
      <c r="H9" s="53">
        <f t="shared" si="2"/>
        <v>9.4247999999999994</v>
      </c>
      <c r="I9" s="53">
        <f t="shared" si="3"/>
        <v>0.75</v>
      </c>
      <c r="J9" s="53">
        <f t="shared" si="4"/>
        <v>2.4079304484276931</v>
      </c>
      <c r="K9" s="53">
        <f t="shared" si="5"/>
        <v>0.60263026645499429</v>
      </c>
      <c r="L9" s="53"/>
      <c r="M9" s="58">
        <f t="shared" si="6"/>
        <v>0</v>
      </c>
      <c r="N9" s="58">
        <f t="shared" si="7"/>
        <v>0.60263026645499429</v>
      </c>
      <c r="O9" s="59">
        <f t="shared" si="8"/>
        <v>1.9069271650313135</v>
      </c>
    </row>
    <row r="10" spans="1:15" x14ac:dyDescent="0.2">
      <c r="A10" s="37"/>
      <c r="B10" s="55">
        <v>36</v>
      </c>
      <c r="C10" s="56" t="s">
        <v>39</v>
      </c>
      <c r="D10" s="57">
        <f>'Headloss Calcs'!$A$31</f>
        <v>11</v>
      </c>
      <c r="E10" s="53">
        <f t="shared" si="0"/>
        <v>17.020697167755991</v>
      </c>
      <c r="F10" s="38">
        <f>'Headloss Calcs'!$E$18</f>
        <v>140</v>
      </c>
      <c r="G10" s="53">
        <f t="shared" si="1"/>
        <v>7.0686</v>
      </c>
      <c r="H10" s="53">
        <f t="shared" si="2"/>
        <v>9.4247999999999994</v>
      </c>
      <c r="I10" s="53">
        <f t="shared" si="3"/>
        <v>0.75</v>
      </c>
      <c r="J10" s="53">
        <f t="shared" si="4"/>
        <v>2.4079304484276931</v>
      </c>
      <c r="K10" s="53">
        <f t="shared" si="5"/>
        <v>0</v>
      </c>
      <c r="L10" s="53">
        <v>0.4</v>
      </c>
      <c r="M10" s="58">
        <f t="shared" si="6"/>
        <v>3.6013223878665783E-2</v>
      </c>
      <c r="N10" s="58">
        <f t="shared" si="7"/>
        <v>3.6013223878665783E-2</v>
      </c>
      <c r="O10" s="59">
        <f t="shared" si="8"/>
        <v>1.9429403889099792</v>
      </c>
    </row>
    <row r="11" spans="1:15" x14ac:dyDescent="0.2">
      <c r="A11" s="37">
        <v>1320</v>
      </c>
      <c r="B11" s="55">
        <v>36</v>
      </c>
      <c r="C11" s="56" t="s">
        <v>23</v>
      </c>
      <c r="D11" s="57">
        <f>'Headloss Calcs'!$A$31</f>
        <v>11</v>
      </c>
      <c r="E11" s="53">
        <f t="shared" si="0"/>
        <v>17.020697167755991</v>
      </c>
      <c r="F11" s="38">
        <f>'Headloss Calcs'!$E$18</f>
        <v>140</v>
      </c>
      <c r="G11" s="53">
        <f t="shared" si="1"/>
        <v>7.0686</v>
      </c>
      <c r="H11" s="53">
        <f t="shared" si="2"/>
        <v>9.4247999999999994</v>
      </c>
      <c r="I11" s="53">
        <f t="shared" si="3"/>
        <v>0.75</v>
      </c>
      <c r="J11" s="53">
        <f t="shared" si="4"/>
        <v>2.4079304484276931</v>
      </c>
      <c r="K11" s="53">
        <f t="shared" si="5"/>
        <v>0.60263026645499429</v>
      </c>
      <c r="L11" s="53"/>
      <c r="M11" s="58">
        <f t="shared" si="6"/>
        <v>0</v>
      </c>
      <c r="N11" s="58">
        <f t="shared" si="7"/>
        <v>0.60263026645499429</v>
      </c>
      <c r="O11" s="59">
        <f t="shared" si="8"/>
        <v>2.5455706553649735</v>
      </c>
    </row>
    <row r="12" spans="1:15" x14ac:dyDescent="0.2">
      <c r="A12" s="37"/>
      <c r="B12" s="55">
        <v>36</v>
      </c>
      <c r="C12" s="56" t="s">
        <v>48</v>
      </c>
      <c r="D12" s="57">
        <f>'Headloss Calcs'!$A$31</f>
        <v>11</v>
      </c>
      <c r="E12" s="53">
        <f t="shared" si="0"/>
        <v>17.020697167755991</v>
      </c>
      <c r="F12" s="38">
        <f>'Headloss Calcs'!$E$18</f>
        <v>140</v>
      </c>
      <c r="G12" s="53">
        <f t="shared" si="1"/>
        <v>7.0686</v>
      </c>
      <c r="H12" s="53">
        <f t="shared" si="2"/>
        <v>9.4247999999999994</v>
      </c>
      <c r="I12" s="53">
        <f t="shared" si="3"/>
        <v>0.75</v>
      </c>
      <c r="J12" s="53">
        <f t="shared" si="4"/>
        <v>2.4079304484276931</v>
      </c>
      <c r="K12" s="53">
        <f t="shared" si="5"/>
        <v>0</v>
      </c>
      <c r="L12" s="53">
        <v>0.4</v>
      </c>
      <c r="M12" s="58">
        <f t="shared" si="6"/>
        <v>3.6013223878665783E-2</v>
      </c>
      <c r="N12" s="58">
        <f t="shared" si="7"/>
        <v>3.6013223878665783E-2</v>
      </c>
      <c r="O12" s="59">
        <f t="shared" si="8"/>
        <v>2.5815838792436394</v>
      </c>
    </row>
    <row r="13" spans="1:15" x14ac:dyDescent="0.2">
      <c r="A13" s="37">
        <v>1320</v>
      </c>
      <c r="B13" s="55">
        <v>36</v>
      </c>
      <c r="C13" s="56" t="s">
        <v>23</v>
      </c>
      <c r="D13" s="57">
        <f>'Headloss Calcs'!$A$31</f>
        <v>11</v>
      </c>
      <c r="E13" s="53">
        <f t="shared" si="0"/>
        <v>17.020697167755991</v>
      </c>
      <c r="F13" s="38">
        <f>'Headloss Calcs'!$E$18</f>
        <v>140</v>
      </c>
      <c r="G13" s="53">
        <f t="shared" si="1"/>
        <v>7.0686</v>
      </c>
      <c r="H13" s="53">
        <f t="shared" si="2"/>
        <v>9.4247999999999994</v>
      </c>
      <c r="I13" s="53">
        <f t="shared" si="3"/>
        <v>0.75</v>
      </c>
      <c r="J13" s="53">
        <f t="shared" si="4"/>
        <v>2.4079304484276931</v>
      </c>
      <c r="K13" s="53">
        <f t="shared" si="5"/>
        <v>0.60263026645499429</v>
      </c>
      <c r="L13" s="53"/>
      <c r="M13" s="58">
        <f t="shared" si="6"/>
        <v>0</v>
      </c>
      <c r="N13" s="58">
        <f t="shared" si="7"/>
        <v>0.60263026645499429</v>
      </c>
      <c r="O13" s="59">
        <f t="shared" si="8"/>
        <v>3.1842141456986335</v>
      </c>
    </row>
    <row r="14" spans="1:15" x14ac:dyDescent="0.2">
      <c r="A14" s="37"/>
      <c r="B14" s="55">
        <v>36</v>
      </c>
      <c r="C14" s="56" t="s">
        <v>39</v>
      </c>
      <c r="D14" s="57">
        <f>'Headloss Calcs'!$A$31</f>
        <v>11</v>
      </c>
      <c r="E14" s="53">
        <f t="shared" si="0"/>
        <v>17.020697167755991</v>
      </c>
      <c r="F14" s="38">
        <f>'Headloss Calcs'!$E$18</f>
        <v>140</v>
      </c>
      <c r="G14" s="53">
        <f t="shared" si="1"/>
        <v>7.0686</v>
      </c>
      <c r="H14" s="53">
        <f t="shared" si="2"/>
        <v>9.4247999999999994</v>
      </c>
      <c r="I14" s="53">
        <f t="shared" si="3"/>
        <v>0.75</v>
      </c>
      <c r="J14" s="53">
        <f t="shared" si="4"/>
        <v>2.4079304484276931</v>
      </c>
      <c r="K14" s="53">
        <f t="shared" si="5"/>
        <v>0</v>
      </c>
      <c r="L14" s="53">
        <v>0.4</v>
      </c>
      <c r="M14" s="58">
        <f t="shared" si="6"/>
        <v>3.6013223878665783E-2</v>
      </c>
      <c r="N14" s="58">
        <f t="shared" si="7"/>
        <v>3.6013223878665783E-2</v>
      </c>
      <c r="O14" s="59">
        <f t="shared" si="8"/>
        <v>3.2202273695772994</v>
      </c>
    </row>
    <row r="15" spans="1:15" x14ac:dyDescent="0.2">
      <c r="A15" s="37">
        <v>1320</v>
      </c>
      <c r="B15" s="55">
        <v>36</v>
      </c>
      <c r="C15" s="56" t="s">
        <v>23</v>
      </c>
      <c r="D15" s="57">
        <f>'Headloss Calcs'!$A$31</f>
        <v>11</v>
      </c>
      <c r="E15" s="53">
        <f t="shared" si="0"/>
        <v>17.020697167755991</v>
      </c>
      <c r="F15" s="38">
        <f>'Headloss Calcs'!$E$18</f>
        <v>140</v>
      </c>
      <c r="G15" s="53">
        <f t="shared" si="1"/>
        <v>7.0686</v>
      </c>
      <c r="H15" s="53">
        <f t="shared" si="2"/>
        <v>9.4247999999999994</v>
      </c>
      <c r="I15" s="53">
        <f t="shared" si="3"/>
        <v>0.75</v>
      </c>
      <c r="J15" s="53">
        <f t="shared" si="4"/>
        <v>2.4079304484276931</v>
      </c>
      <c r="K15" s="53">
        <f t="shared" si="5"/>
        <v>0.60263026645499429</v>
      </c>
      <c r="L15" s="53"/>
      <c r="M15" s="58">
        <f t="shared" si="6"/>
        <v>0</v>
      </c>
      <c r="N15" s="58">
        <f t="shared" si="7"/>
        <v>0.60263026645499429</v>
      </c>
      <c r="O15" s="59">
        <f t="shared" si="8"/>
        <v>3.8228576360322934</v>
      </c>
    </row>
    <row r="16" spans="1:15" x14ac:dyDescent="0.2">
      <c r="A16" s="37"/>
      <c r="B16" s="55">
        <v>36</v>
      </c>
      <c r="C16" s="56" t="s">
        <v>45</v>
      </c>
      <c r="D16" s="57">
        <f>'Headloss Calcs'!$A$31</f>
        <v>11</v>
      </c>
      <c r="E16" s="53">
        <f t="shared" si="0"/>
        <v>17.020697167755991</v>
      </c>
      <c r="F16" s="38">
        <f>'Headloss Calcs'!$E$18</f>
        <v>140</v>
      </c>
      <c r="G16" s="53">
        <f t="shared" si="1"/>
        <v>7.0686</v>
      </c>
      <c r="H16" s="53">
        <f t="shared" si="2"/>
        <v>9.4247999999999994</v>
      </c>
      <c r="I16" s="53">
        <f t="shared" si="3"/>
        <v>0.75</v>
      </c>
      <c r="J16" s="53">
        <f t="shared" si="4"/>
        <v>2.4079304484276931</v>
      </c>
      <c r="K16" s="53">
        <f t="shared" si="5"/>
        <v>0</v>
      </c>
      <c r="L16" s="53">
        <v>0.2</v>
      </c>
      <c r="M16" s="58">
        <f t="shared" si="6"/>
        <v>1.8006611939332891E-2</v>
      </c>
      <c r="N16" s="58">
        <f t="shared" si="7"/>
        <v>1.8006611939332891E-2</v>
      </c>
      <c r="O16" s="59">
        <f t="shared" si="8"/>
        <v>3.8408642479716262</v>
      </c>
    </row>
    <row r="17" spans="1:15" x14ac:dyDescent="0.2">
      <c r="A17" s="37">
        <v>1320</v>
      </c>
      <c r="B17" s="55">
        <v>36</v>
      </c>
      <c r="C17" s="56" t="s">
        <v>23</v>
      </c>
      <c r="D17" s="57">
        <f>'Headloss Calcs'!$A$31</f>
        <v>11</v>
      </c>
      <c r="E17" s="53">
        <f t="shared" si="0"/>
        <v>17.020697167755991</v>
      </c>
      <c r="F17" s="38">
        <f>'Headloss Calcs'!$E$18</f>
        <v>140</v>
      </c>
      <c r="G17" s="53">
        <f t="shared" si="1"/>
        <v>7.0686</v>
      </c>
      <c r="H17" s="53">
        <f t="shared" si="2"/>
        <v>9.4247999999999994</v>
      </c>
      <c r="I17" s="53">
        <f t="shared" si="3"/>
        <v>0.75</v>
      </c>
      <c r="J17" s="53">
        <f t="shared" si="4"/>
        <v>2.4079304484276931</v>
      </c>
      <c r="K17" s="53">
        <f t="shared" si="5"/>
        <v>0.60263026645499429</v>
      </c>
      <c r="L17" s="53"/>
      <c r="M17" s="58">
        <f t="shared" si="6"/>
        <v>0</v>
      </c>
      <c r="N17" s="58">
        <f t="shared" si="7"/>
        <v>0.60263026645499429</v>
      </c>
      <c r="O17" s="59">
        <f t="shared" si="8"/>
        <v>4.4434945144266207</v>
      </c>
    </row>
    <row r="18" spans="1:15" ht="12" customHeight="1" x14ac:dyDescent="0.2">
      <c r="A18" s="37"/>
      <c r="B18" s="55">
        <v>36</v>
      </c>
      <c r="C18" s="56" t="s">
        <v>44</v>
      </c>
      <c r="D18" s="57">
        <f>'Headloss Calcs'!$A$31</f>
        <v>11</v>
      </c>
      <c r="E18" s="53">
        <f t="shared" si="0"/>
        <v>17.020697167755991</v>
      </c>
      <c r="F18" s="38">
        <f>'Headloss Calcs'!$E$18</f>
        <v>140</v>
      </c>
      <c r="G18" s="53">
        <f t="shared" si="1"/>
        <v>7.0686</v>
      </c>
      <c r="H18" s="53">
        <f t="shared" si="2"/>
        <v>9.4247999999999994</v>
      </c>
      <c r="I18" s="53">
        <f t="shared" si="3"/>
        <v>0.75</v>
      </c>
      <c r="J18" s="53">
        <f t="shared" si="4"/>
        <v>2.4079304484276931</v>
      </c>
      <c r="K18" s="53">
        <f t="shared" si="5"/>
        <v>0</v>
      </c>
      <c r="L18" s="53">
        <v>1</v>
      </c>
      <c r="M18" s="58">
        <f t="shared" si="6"/>
        <v>9.0033059696664447E-2</v>
      </c>
      <c r="N18" s="58">
        <f t="shared" si="7"/>
        <v>9.0033059696664447E-2</v>
      </c>
      <c r="O18" s="59">
        <f t="shared" si="8"/>
        <v>4.5335275741232852</v>
      </c>
    </row>
    <row r="19" spans="1:15" ht="13.5" thickBot="1" x14ac:dyDescent="0.25">
      <c r="A19" s="39"/>
      <c r="B19" s="40"/>
      <c r="C19" s="41"/>
      <c r="D19" s="40"/>
      <c r="E19" s="42"/>
      <c r="F19" s="40"/>
      <c r="G19" s="54"/>
      <c r="H19" s="54"/>
      <c r="I19" s="54"/>
      <c r="J19" s="54"/>
      <c r="K19" s="54"/>
      <c r="L19" s="54"/>
      <c r="M19" s="60"/>
      <c r="N19" s="60" t="s">
        <v>40</v>
      </c>
      <c r="O19" s="61">
        <f>O18</f>
        <v>4.5335275741232852</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Calcs'!$A$31</f>
        <v>11</v>
      </c>
      <c r="E22" s="53">
        <f t="shared" ref="E22:E37" si="9">D22*1000000/(7.48*24*60*60)</f>
        <v>17.020697167755991</v>
      </c>
      <c r="F22" s="38">
        <f>'Headloss Calcs'!$H$18</f>
        <v>100</v>
      </c>
      <c r="G22" s="53">
        <f t="shared" ref="G22:G37" si="10">3.1416/4*(B22/12)^2</f>
        <v>7.0686</v>
      </c>
      <c r="H22" s="53">
        <f t="shared" ref="H22:H37" si="11">3.1416*(B22/12)</f>
        <v>9.4247999999999994</v>
      </c>
      <c r="I22" s="53">
        <f t="shared" ref="I22:I37" si="12">G22/H22</f>
        <v>0.75</v>
      </c>
      <c r="J22" s="53">
        <f t="shared" ref="J22:J37" si="13">E22/G22</f>
        <v>2.4079304484276931</v>
      </c>
      <c r="K22" s="53">
        <f t="shared" ref="K22:K37" si="14">(J22/(1.318*F22*I22^0.63))^1.85*A22</f>
        <v>0</v>
      </c>
      <c r="L22" s="53">
        <v>0.25</v>
      </c>
      <c r="M22" s="58">
        <f t="shared" ref="M22:M37" si="15">L22*(J22^2)/(2*32.2)</f>
        <v>2.2508264924166112E-2</v>
      </c>
      <c r="N22" s="58">
        <f t="shared" ref="N22:N37" si="16">K22+M22</f>
        <v>2.2508264924166112E-2</v>
      </c>
      <c r="O22" s="59">
        <f>N22</f>
        <v>2.2508264924166112E-2</v>
      </c>
    </row>
    <row r="23" spans="1:15" x14ac:dyDescent="0.2">
      <c r="A23" s="37"/>
      <c r="B23" s="55">
        <v>36</v>
      </c>
      <c r="C23" s="56" t="s">
        <v>47</v>
      </c>
      <c r="D23" s="57">
        <f>'Headloss Calcs'!$A$31</f>
        <v>11</v>
      </c>
      <c r="E23" s="53">
        <f t="shared" si="9"/>
        <v>17.020697167755991</v>
      </c>
      <c r="F23" s="38">
        <f>'Headloss Calcs'!$H$18</f>
        <v>100</v>
      </c>
      <c r="G23" s="53">
        <f t="shared" si="10"/>
        <v>7.0686</v>
      </c>
      <c r="H23" s="53">
        <f t="shared" si="11"/>
        <v>9.4247999999999994</v>
      </c>
      <c r="I23" s="53">
        <f t="shared" si="12"/>
        <v>0.75</v>
      </c>
      <c r="J23" s="53">
        <f t="shared" si="13"/>
        <v>2.4079304484276931</v>
      </c>
      <c r="K23" s="53">
        <f t="shared" si="14"/>
        <v>0</v>
      </c>
      <c r="L23" s="53">
        <v>0.25</v>
      </c>
      <c r="M23" s="58">
        <f t="shared" si="15"/>
        <v>2.2508264924166112E-2</v>
      </c>
      <c r="N23" s="58">
        <f t="shared" si="16"/>
        <v>2.2508264924166112E-2</v>
      </c>
      <c r="O23" s="59">
        <f t="shared" ref="O23:O37" si="17">N23+O22</f>
        <v>4.5016529848332223E-2</v>
      </c>
    </row>
    <row r="24" spans="1:15" x14ac:dyDescent="0.2">
      <c r="A24" s="37">
        <v>1320</v>
      </c>
      <c r="B24" s="55">
        <v>36</v>
      </c>
      <c r="C24" s="56" t="s">
        <v>23</v>
      </c>
      <c r="D24" s="57">
        <f>'Headloss Calcs'!$A$31</f>
        <v>11</v>
      </c>
      <c r="E24" s="53">
        <f t="shared" si="9"/>
        <v>17.020697167755991</v>
      </c>
      <c r="F24" s="38">
        <f>'Headloss Calcs'!$H$18</f>
        <v>100</v>
      </c>
      <c r="G24" s="53">
        <f t="shared" si="10"/>
        <v>7.0686</v>
      </c>
      <c r="H24" s="53">
        <f t="shared" si="11"/>
        <v>9.4247999999999994</v>
      </c>
      <c r="I24" s="53">
        <f t="shared" si="12"/>
        <v>0.75</v>
      </c>
      <c r="J24" s="53">
        <f t="shared" si="13"/>
        <v>2.4079304484276931</v>
      </c>
      <c r="K24" s="53">
        <f t="shared" si="14"/>
        <v>1.1230208148737304</v>
      </c>
      <c r="L24" s="53"/>
      <c r="M24" s="58">
        <f t="shared" si="15"/>
        <v>0</v>
      </c>
      <c r="N24" s="58">
        <f t="shared" si="16"/>
        <v>1.1230208148737304</v>
      </c>
      <c r="O24" s="59">
        <f t="shared" si="17"/>
        <v>1.1680373447220627</v>
      </c>
    </row>
    <row r="25" spans="1:15" x14ac:dyDescent="0.2">
      <c r="A25" s="37"/>
      <c r="B25" s="55">
        <v>36</v>
      </c>
      <c r="C25" s="56" t="s">
        <v>45</v>
      </c>
      <c r="D25" s="57">
        <f>'Headloss Calcs'!$A$31</f>
        <v>11</v>
      </c>
      <c r="E25" s="53">
        <f t="shared" si="9"/>
        <v>17.020697167755991</v>
      </c>
      <c r="F25" s="38">
        <f>'Headloss Calcs'!$H$18</f>
        <v>100</v>
      </c>
      <c r="G25" s="53">
        <f t="shared" si="10"/>
        <v>7.0686</v>
      </c>
      <c r="H25" s="53">
        <f t="shared" si="11"/>
        <v>9.4247999999999994</v>
      </c>
      <c r="I25" s="53">
        <f t="shared" si="12"/>
        <v>0.75</v>
      </c>
      <c r="J25" s="53">
        <f t="shared" si="13"/>
        <v>2.4079304484276931</v>
      </c>
      <c r="K25" s="53">
        <f t="shared" si="14"/>
        <v>0</v>
      </c>
      <c r="L25" s="53">
        <v>0.2</v>
      </c>
      <c r="M25" s="58">
        <f t="shared" si="15"/>
        <v>1.8006611939332891E-2</v>
      </c>
      <c r="N25" s="58">
        <f t="shared" si="16"/>
        <v>1.8006611939332891E-2</v>
      </c>
      <c r="O25" s="59">
        <f t="shared" si="17"/>
        <v>1.1860439566613956</v>
      </c>
    </row>
    <row r="26" spans="1:15" x14ac:dyDescent="0.2">
      <c r="A26" s="37">
        <v>1320</v>
      </c>
      <c r="B26" s="55">
        <v>36</v>
      </c>
      <c r="C26" s="69" t="s">
        <v>23</v>
      </c>
      <c r="D26" s="57">
        <f>'Headloss Calcs'!$A$31</f>
        <v>11</v>
      </c>
      <c r="E26" s="53">
        <f t="shared" si="9"/>
        <v>17.020697167755991</v>
      </c>
      <c r="F26" s="38">
        <f>'Headloss Calcs'!$H$18</f>
        <v>100</v>
      </c>
      <c r="G26" s="53">
        <f t="shared" si="10"/>
        <v>7.0686</v>
      </c>
      <c r="H26" s="53">
        <f t="shared" si="11"/>
        <v>9.4247999999999994</v>
      </c>
      <c r="I26" s="53">
        <f t="shared" si="12"/>
        <v>0.75</v>
      </c>
      <c r="J26" s="53">
        <f t="shared" si="13"/>
        <v>2.4079304484276931</v>
      </c>
      <c r="K26" s="53">
        <f t="shared" si="14"/>
        <v>1.1230208148737304</v>
      </c>
      <c r="L26" s="53"/>
      <c r="M26" s="58">
        <f t="shared" si="15"/>
        <v>0</v>
      </c>
      <c r="N26" s="58">
        <f t="shared" si="16"/>
        <v>1.1230208148737304</v>
      </c>
      <c r="O26" s="59">
        <f t="shared" si="17"/>
        <v>2.3090647715351258</v>
      </c>
    </row>
    <row r="27" spans="1:15" x14ac:dyDescent="0.2">
      <c r="A27" s="37"/>
      <c r="B27" s="55">
        <v>36</v>
      </c>
      <c r="C27" s="56" t="s">
        <v>39</v>
      </c>
      <c r="D27" s="57">
        <f>'Headloss Calcs'!$A$31</f>
        <v>11</v>
      </c>
      <c r="E27" s="53">
        <f t="shared" si="9"/>
        <v>17.020697167755991</v>
      </c>
      <c r="F27" s="38">
        <f>'Headloss Calcs'!$H$18</f>
        <v>100</v>
      </c>
      <c r="G27" s="53">
        <f t="shared" si="10"/>
        <v>7.0686</v>
      </c>
      <c r="H27" s="53">
        <f t="shared" si="11"/>
        <v>9.4247999999999994</v>
      </c>
      <c r="I27" s="53">
        <f t="shared" si="12"/>
        <v>0.75</v>
      </c>
      <c r="J27" s="53">
        <f t="shared" si="13"/>
        <v>2.4079304484276931</v>
      </c>
      <c r="K27" s="53">
        <f t="shared" si="14"/>
        <v>0</v>
      </c>
      <c r="L27" s="53">
        <v>0.4</v>
      </c>
      <c r="M27" s="58">
        <f t="shared" si="15"/>
        <v>3.6013223878665783E-2</v>
      </c>
      <c r="N27" s="58">
        <f t="shared" si="16"/>
        <v>3.6013223878665783E-2</v>
      </c>
      <c r="O27" s="59">
        <f t="shared" si="17"/>
        <v>2.3450779954137917</v>
      </c>
    </row>
    <row r="28" spans="1:15" x14ac:dyDescent="0.2">
      <c r="A28" s="37">
        <v>1320</v>
      </c>
      <c r="B28" s="55">
        <v>36</v>
      </c>
      <c r="C28" s="56" t="s">
        <v>23</v>
      </c>
      <c r="D28" s="57">
        <f>'Headloss Calcs'!$A$31</f>
        <v>11</v>
      </c>
      <c r="E28" s="53">
        <f t="shared" si="9"/>
        <v>17.020697167755991</v>
      </c>
      <c r="F28" s="38">
        <f>'Headloss Calcs'!$H$18</f>
        <v>100</v>
      </c>
      <c r="G28" s="53">
        <f t="shared" si="10"/>
        <v>7.0686</v>
      </c>
      <c r="H28" s="53">
        <f t="shared" si="11"/>
        <v>9.4247999999999994</v>
      </c>
      <c r="I28" s="53">
        <f t="shared" si="12"/>
        <v>0.75</v>
      </c>
      <c r="J28" s="53">
        <f t="shared" si="13"/>
        <v>2.4079304484276931</v>
      </c>
      <c r="K28" s="53">
        <f t="shared" si="14"/>
        <v>1.1230208148737304</v>
      </c>
      <c r="L28" s="53"/>
      <c r="M28" s="58">
        <f t="shared" si="15"/>
        <v>0</v>
      </c>
      <c r="N28" s="58">
        <f t="shared" si="16"/>
        <v>1.1230208148737304</v>
      </c>
      <c r="O28" s="59">
        <f t="shared" si="17"/>
        <v>3.4680988102875219</v>
      </c>
    </row>
    <row r="29" spans="1:15" x14ac:dyDescent="0.2">
      <c r="A29" s="37"/>
      <c r="B29" s="55">
        <v>36</v>
      </c>
      <c r="C29" s="56" t="s">
        <v>39</v>
      </c>
      <c r="D29" s="57">
        <f>'Headloss Calcs'!$A$31</f>
        <v>11</v>
      </c>
      <c r="E29" s="53">
        <f t="shared" si="9"/>
        <v>17.020697167755991</v>
      </c>
      <c r="F29" s="38">
        <f>'Headloss Calcs'!$H$18</f>
        <v>100</v>
      </c>
      <c r="G29" s="53">
        <f t="shared" si="10"/>
        <v>7.0686</v>
      </c>
      <c r="H29" s="53">
        <f t="shared" si="11"/>
        <v>9.4247999999999994</v>
      </c>
      <c r="I29" s="53">
        <f t="shared" si="12"/>
        <v>0.75</v>
      </c>
      <c r="J29" s="53">
        <f t="shared" si="13"/>
        <v>2.4079304484276931</v>
      </c>
      <c r="K29" s="53">
        <f t="shared" si="14"/>
        <v>0</v>
      </c>
      <c r="L29" s="53">
        <v>0.4</v>
      </c>
      <c r="M29" s="58">
        <f t="shared" si="15"/>
        <v>3.6013223878665783E-2</v>
      </c>
      <c r="N29" s="58">
        <f t="shared" si="16"/>
        <v>3.6013223878665783E-2</v>
      </c>
      <c r="O29" s="59">
        <f t="shared" si="17"/>
        <v>3.5041120341661878</v>
      </c>
    </row>
    <row r="30" spans="1:15" x14ac:dyDescent="0.2">
      <c r="A30" s="37">
        <v>1320</v>
      </c>
      <c r="B30" s="55">
        <v>36</v>
      </c>
      <c r="C30" s="56" t="s">
        <v>23</v>
      </c>
      <c r="D30" s="57">
        <f>'Headloss Calcs'!$A$31</f>
        <v>11</v>
      </c>
      <c r="E30" s="53">
        <f t="shared" si="9"/>
        <v>17.020697167755991</v>
      </c>
      <c r="F30" s="38">
        <f>'Headloss Calcs'!$H$18</f>
        <v>100</v>
      </c>
      <c r="G30" s="53">
        <f t="shared" si="10"/>
        <v>7.0686</v>
      </c>
      <c r="H30" s="53">
        <f t="shared" si="11"/>
        <v>9.4247999999999994</v>
      </c>
      <c r="I30" s="53">
        <f t="shared" si="12"/>
        <v>0.75</v>
      </c>
      <c r="J30" s="53">
        <f t="shared" si="13"/>
        <v>2.4079304484276931</v>
      </c>
      <c r="K30" s="53">
        <f t="shared" si="14"/>
        <v>1.1230208148737304</v>
      </c>
      <c r="L30" s="53"/>
      <c r="M30" s="58">
        <f t="shared" si="15"/>
        <v>0</v>
      </c>
      <c r="N30" s="58">
        <f t="shared" si="16"/>
        <v>1.1230208148737304</v>
      </c>
      <c r="O30" s="59">
        <f t="shared" si="17"/>
        <v>4.627132849039918</v>
      </c>
    </row>
    <row r="31" spans="1:15" x14ac:dyDescent="0.2">
      <c r="A31" s="37"/>
      <c r="B31" s="55">
        <v>36</v>
      </c>
      <c r="C31" s="56" t="s">
        <v>48</v>
      </c>
      <c r="D31" s="57">
        <f>'Headloss Calcs'!$A$31</f>
        <v>11</v>
      </c>
      <c r="E31" s="53">
        <f t="shared" si="9"/>
        <v>17.020697167755991</v>
      </c>
      <c r="F31" s="38">
        <f>'Headloss Calcs'!$H$18</f>
        <v>100</v>
      </c>
      <c r="G31" s="53">
        <f t="shared" si="10"/>
        <v>7.0686</v>
      </c>
      <c r="H31" s="53">
        <f t="shared" si="11"/>
        <v>9.4247999999999994</v>
      </c>
      <c r="I31" s="53">
        <f t="shared" si="12"/>
        <v>0.75</v>
      </c>
      <c r="J31" s="53">
        <f t="shared" si="13"/>
        <v>2.4079304484276931</v>
      </c>
      <c r="K31" s="53">
        <f t="shared" si="14"/>
        <v>0</v>
      </c>
      <c r="L31" s="53">
        <v>0.4</v>
      </c>
      <c r="M31" s="58">
        <f t="shared" si="15"/>
        <v>3.6013223878665783E-2</v>
      </c>
      <c r="N31" s="58">
        <f t="shared" si="16"/>
        <v>3.6013223878665783E-2</v>
      </c>
      <c r="O31" s="59">
        <f t="shared" si="17"/>
        <v>4.6631460729185834</v>
      </c>
    </row>
    <row r="32" spans="1:15" x14ac:dyDescent="0.2">
      <c r="A32" s="37">
        <v>1320</v>
      </c>
      <c r="B32" s="55">
        <v>36</v>
      </c>
      <c r="C32" s="56" t="s">
        <v>23</v>
      </c>
      <c r="D32" s="57">
        <f>'Headloss Calcs'!$A$31</f>
        <v>11</v>
      </c>
      <c r="E32" s="53">
        <f t="shared" si="9"/>
        <v>17.020697167755991</v>
      </c>
      <c r="F32" s="38">
        <f>'Headloss Calcs'!$H$18</f>
        <v>100</v>
      </c>
      <c r="G32" s="53">
        <f t="shared" si="10"/>
        <v>7.0686</v>
      </c>
      <c r="H32" s="53">
        <f t="shared" si="11"/>
        <v>9.4247999999999994</v>
      </c>
      <c r="I32" s="53">
        <f t="shared" si="12"/>
        <v>0.75</v>
      </c>
      <c r="J32" s="53">
        <f t="shared" si="13"/>
        <v>2.4079304484276931</v>
      </c>
      <c r="K32" s="53">
        <f t="shared" si="14"/>
        <v>1.1230208148737304</v>
      </c>
      <c r="L32" s="53"/>
      <c r="M32" s="58">
        <f t="shared" si="15"/>
        <v>0</v>
      </c>
      <c r="N32" s="58">
        <f t="shared" si="16"/>
        <v>1.1230208148737304</v>
      </c>
      <c r="O32" s="59">
        <f t="shared" si="17"/>
        <v>5.786166887792314</v>
      </c>
    </row>
    <row r="33" spans="1:15" x14ac:dyDescent="0.2">
      <c r="A33" s="37"/>
      <c r="B33" s="55">
        <v>36</v>
      </c>
      <c r="C33" s="56" t="s">
        <v>39</v>
      </c>
      <c r="D33" s="57">
        <f>'Headloss Calcs'!$A$31</f>
        <v>11</v>
      </c>
      <c r="E33" s="53">
        <f t="shared" si="9"/>
        <v>17.020697167755991</v>
      </c>
      <c r="F33" s="38">
        <f>'Headloss Calcs'!$H$18</f>
        <v>100</v>
      </c>
      <c r="G33" s="53">
        <f t="shared" si="10"/>
        <v>7.0686</v>
      </c>
      <c r="H33" s="53">
        <f t="shared" si="11"/>
        <v>9.4247999999999994</v>
      </c>
      <c r="I33" s="53">
        <f t="shared" si="12"/>
        <v>0.75</v>
      </c>
      <c r="J33" s="53">
        <f t="shared" si="13"/>
        <v>2.4079304484276931</v>
      </c>
      <c r="K33" s="53">
        <f t="shared" si="14"/>
        <v>0</v>
      </c>
      <c r="L33" s="53">
        <v>0.4</v>
      </c>
      <c r="M33" s="58">
        <f t="shared" si="15"/>
        <v>3.6013223878665783E-2</v>
      </c>
      <c r="N33" s="58">
        <f t="shared" si="16"/>
        <v>3.6013223878665783E-2</v>
      </c>
      <c r="O33" s="59">
        <f t="shared" si="17"/>
        <v>5.8221801116709795</v>
      </c>
    </row>
    <row r="34" spans="1:15" x14ac:dyDescent="0.2">
      <c r="A34" s="37">
        <v>1320</v>
      </c>
      <c r="B34" s="55">
        <v>36</v>
      </c>
      <c r="C34" s="56" t="s">
        <v>23</v>
      </c>
      <c r="D34" s="57">
        <f>'Headloss Calcs'!$A$31</f>
        <v>11</v>
      </c>
      <c r="E34" s="53">
        <f t="shared" si="9"/>
        <v>17.020697167755991</v>
      </c>
      <c r="F34" s="38">
        <f>'Headloss Calcs'!$H$18</f>
        <v>100</v>
      </c>
      <c r="G34" s="53">
        <f t="shared" si="10"/>
        <v>7.0686</v>
      </c>
      <c r="H34" s="53">
        <f t="shared" si="11"/>
        <v>9.4247999999999994</v>
      </c>
      <c r="I34" s="53">
        <f t="shared" si="12"/>
        <v>0.75</v>
      </c>
      <c r="J34" s="53">
        <f t="shared" si="13"/>
        <v>2.4079304484276931</v>
      </c>
      <c r="K34" s="53">
        <f t="shared" si="14"/>
        <v>1.1230208148737304</v>
      </c>
      <c r="L34" s="53"/>
      <c r="M34" s="58">
        <f t="shared" si="15"/>
        <v>0</v>
      </c>
      <c r="N34" s="58">
        <f t="shared" si="16"/>
        <v>1.1230208148737304</v>
      </c>
      <c r="O34" s="59">
        <f t="shared" si="17"/>
        <v>6.9452009265447101</v>
      </c>
    </row>
    <row r="35" spans="1:15" x14ac:dyDescent="0.2">
      <c r="A35" s="37"/>
      <c r="B35" s="55">
        <v>36</v>
      </c>
      <c r="C35" s="56" t="s">
        <v>45</v>
      </c>
      <c r="D35" s="57">
        <f>'Headloss Calcs'!$A$31</f>
        <v>11</v>
      </c>
      <c r="E35" s="53">
        <f t="shared" si="9"/>
        <v>17.020697167755991</v>
      </c>
      <c r="F35" s="38">
        <f>'Headloss Calcs'!$H$18</f>
        <v>100</v>
      </c>
      <c r="G35" s="53">
        <f t="shared" si="10"/>
        <v>7.0686</v>
      </c>
      <c r="H35" s="53">
        <f t="shared" si="11"/>
        <v>9.4247999999999994</v>
      </c>
      <c r="I35" s="53">
        <f t="shared" si="12"/>
        <v>0.75</v>
      </c>
      <c r="J35" s="53">
        <f t="shared" si="13"/>
        <v>2.4079304484276931</v>
      </c>
      <c r="K35" s="53">
        <f t="shared" si="14"/>
        <v>0</v>
      </c>
      <c r="L35" s="53">
        <v>0.2</v>
      </c>
      <c r="M35" s="58">
        <f t="shared" si="15"/>
        <v>1.8006611939332891E-2</v>
      </c>
      <c r="N35" s="58">
        <f t="shared" si="16"/>
        <v>1.8006611939332891E-2</v>
      </c>
      <c r="O35" s="59">
        <f t="shared" si="17"/>
        <v>6.9632075384840428</v>
      </c>
    </row>
    <row r="36" spans="1:15" x14ac:dyDescent="0.2">
      <c r="A36" s="37">
        <v>1320</v>
      </c>
      <c r="B36" s="55">
        <v>36</v>
      </c>
      <c r="C36" s="56" t="s">
        <v>23</v>
      </c>
      <c r="D36" s="57">
        <f>'Headloss Calcs'!$A$31</f>
        <v>11</v>
      </c>
      <c r="E36" s="53">
        <f t="shared" si="9"/>
        <v>17.020697167755991</v>
      </c>
      <c r="F36" s="38">
        <f>'Headloss Calcs'!$H$18</f>
        <v>100</v>
      </c>
      <c r="G36" s="53">
        <f t="shared" si="10"/>
        <v>7.0686</v>
      </c>
      <c r="H36" s="53">
        <f t="shared" si="11"/>
        <v>9.4247999999999994</v>
      </c>
      <c r="I36" s="53">
        <f t="shared" si="12"/>
        <v>0.75</v>
      </c>
      <c r="J36" s="53">
        <f t="shared" si="13"/>
        <v>2.4079304484276931</v>
      </c>
      <c r="K36" s="53">
        <f t="shared" si="14"/>
        <v>1.1230208148737304</v>
      </c>
      <c r="L36" s="53"/>
      <c r="M36" s="58">
        <f t="shared" si="15"/>
        <v>0</v>
      </c>
      <c r="N36" s="58">
        <f t="shared" si="16"/>
        <v>1.1230208148737304</v>
      </c>
      <c r="O36" s="59">
        <f t="shared" si="17"/>
        <v>8.0862283533577735</v>
      </c>
    </row>
    <row r="37" spans="1:15" ht="12" customHeight="1" x14ac:dyDescent="0.2">
      <c r="A37" s="37"/>
      <c r="B37" s="55">
        <v>36</v>
      </c>
      <c r="C37" s="56" t="s">
        <v>44</v>
      </c>
      <c r="D37" s="57">
        <f>'Headloss Calcs'!$A$31</f>
        <v>11</v>
      </c>
      <c r="E37" s="53">
        <f t="shared" si="9"/>
        <v>17.020697167755991</v>
      </c>
      <c r="F37" s="38">
        <f>'Headloss Calcs'!$H$18</f>
        <v>100</v>
      </c>
      <c r="G37" s="53">
        <f t="shared" si="10"/>
        <v>7.0686</v>
      </c>
      <c r="H37" s="53">
        <f t="shared" si="11"/>
        <v>9.4247999999999994</v>
      </c>
      <c r="I37" s="53">
        <f t="shared" si="12"/>
        <v>0.75</v>
      </c>
      <c r="J37" s="53">
        <f t="shared" si="13"/>
        <v>2.4079304484276931</v>
      </c>
      <c r="K37" s="53">
        <f t="shared" si="14"/>
        <v>0</v>
      </c>
      <c r="L37" s="53">
        <v>1</v>
      </c>
      <c r="M37" s="58">
        <f t="shared" si="15"/>
        <v>9.0033059696664447E-2</v>
      </c>
      <c r="N37" s="58">
        <f t="shared" si="16"/>
        <v>9.0033059696664447E-2</v>
      </c>
      <c r="O37" s="59">
        <f t="shared" si="17"/>
        <v>8.1762614130544371</v>
      </c>
    </row>
    <row r="38" spans="1:15" ht="13.5" thickBot="1" x14ac:dyDescent="0.25">
      <c r="A38" s="39"/>
      <c r="B38" s="40"/>
      <c r="C38" s="41"/>
      <c r="D38" s="40"/>
      <c r="E38" s="42"/>
      <c r="F38" s="40"/>
      <c r="G38" s="54"/>
      <c r="H38" s="54"/>
      <c r="I38" s="54"/>
      <c r="J38" s="54"/>
      <c r="K38" s="54"/>
      <c r="L38" s="54"/>
      <c r="M38" s="60"/>
      <c r="N38" s="60" t="s">
        <v>40</v>
      </c>
      <c r="O38" s="61">
        <f>O37</f>
        <v>8.1762614130544371</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50"/>
  <sheetViews>
    <sheetView topLeftCell="C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Calcs'!$A$32</f>
        <v>12</v>
      </c>
      <c r="E3" s="53">
        <f t="shared" ref="E3:E18" si="0">D3*1000000/(7.48*24*60*60)</f>
        <v>18.568033273915628</v>
      </c>
      <c r="F3" s="38">
        <f>'Headloss Calcs'!$E$18</f>
        <v>140</v>
      </c>
      <c r="G3" s="53">
        <f t="shared" ref="G3:G18" si="1">3.1416/4*(B3/12)^2</f>
        <v>7.0686</v>
      </c>
      <c r="H3" s="53">
        <f t="shared" ref="H3:H18" si="2">3.1416*(B3/12)</f>
        <v>9.4247999999999994</v>
      </c>
      <c r="I3" s="53">
        <f t="shared" ref="I3:I18" si="3">G3/H3</f>
        <v>0.75</v>
      </c>
      <c r="J3" s="53">
        <f t="shared" ref="J3:J18" si="4">E3/G3</f>
        <v>2.6268332164665744</v>
      </c>
      <c r="K3" s="53">
        <f t="shared" ref="K3:K18" si="5">(J3/(1.318*F3*I3^0.63))^1.85*A3</f>
        <v>0</v>
      </c>
      <c r="L3" s="53">
        <v>0.25</v>
      </c>
      <c r="M3" s="58">
        <f t="shared" ref="M3:M18" si="6">L3*(J3^2)/(2*32.2)</f>
        <v>2.678669544694149E-2</v>
      </c>
      <c r="N3" s="58">
        <f t="shared" ref="N3:N18" si="7">K3+M3</f>
        <v>2.678669544694149E-2</v>
      </c>
      <c r="O3" s="59">
        <f>N3</f>
        <v>2.678669544694149E-2</v>
      </c>
    </row>
    <row r="4" spans="1:15" x14ac:dyDescent="0.2">
      <c r="A4" s="37"/>
      <c r="B4" s="55">
        <v>36</v>
      </c>
      <c r="C4" s="56" t="s">
        <v>47</v>
      </c>
      <c r="D4" s="57">
        <f>'Headloss Calcs'!$A$32</f>
        <v>12</v>
      </c>
      <c r="E4" s="53">
        <f t="shared" si="0"/>
        <v>18.568033273915628</v>
      </c>
      <c r="F4" s="38">
        <f>'Headloss Calcs'!$E$18</f>
        <v>140</v>
      </c>
      <c r="G4" s="53">
        <f t="shared" si="1"/>
        <v>7.0686</v>
      </c>
      <c r="H4" s="53">
        <f t="shared" si="2"/>
        <v>9.4247999999999994</v>
      </c>
      <c r="I4" s="53">
        <f t="shared" si="3"/>
        <v>0.75</v>
      </c>
      <c r="J4" s="53">
        <f t="shared" si="4"/>
        <v>2.6268332164665744</v>
      </c>
      <c r="K4" s="53">
        <f t="shared" si="5"/>
        <v>0</v>
      </c>
      <c r="L4" s="53">
        <v>0.25</v>
      </c>
      <c r="M4" s="58">
        <f t="shared" si="6"/>
        <v>2.678669544694149E-2</v>
      </c>
      <c r="N4" s="58">
        <f t="shared" si="7"/>
        <v>2.678669544694149E-2</v>
      </c>
      <c r="O4" s="59">
        <f t="shared" ref="O4:O18" si="8">N4+O3</f>
        <v>5.357339089388298E-2</v>
      </c>
    </row>
    <row r="5" spans="1:15" x14ac:dyDescent="0.2">
      <c r="A5" s="37">
        <v>1320</v>
      </c>
      <c r="B5" s="55">
        <v>36</v>
      </c>
      <c r="C5" s="56" t="s">
        <v>23</v>
      </c>
      <c r="D5" s="57">
        <f>'Headloss Calcs'!$A$32</f>
        <v>12</v>
      </c>
      <c r="E5" s="53">
        <f t="shared" si="0"/>
        <v>18.568033273915628</v>
      </c>
      <c r="F5" s="38">
        <f>'Headloss Calcs'!$E$18</f>
        <v>140</v>
      </c>
      <c r="G5" s="53">
        <f t="shared" si="1"/>
        <v>7.0686</v>
      </c>
      <c r="H5" s="53">
        <f t="shared" si="2"/>
        <v>9.4247999999999994</v>
      </c>
      <c r="I5" s="53">
        <f t="shared" si="3"/>
        <v>0.75</v>
      </c>
      <c r="J5" s="53">
        <f t="shared" si="4"/>
        <v>2.6268332164665744</v>
      </c>
      <c r="K5" s="53">
        <f t="shared" si="5"/>
        <v>0.70788022050922805</v>
      </c>
      <c r="L5" s="53"/>
      <c r="M5" s="58">
        <f t="shared" si="6"/>
        <v>0</v>
      </c>
      <c r="N5" s="58">
        <f t="shared" si="7"/>
        <v>0.70788022050922805</v>
      </c>
      <c r="O5" s="59">
        <f t="shared" si="8"/>
        <v>0.76145361140311107</v>
      </c>
    </row>
    <row r="6" spans="1:15" x14ac:dyDescent="0.2">
      <c r="A6" s="37"/>
      <c r="B6" s="55">
        <v>36</v>
      </c>
      <c r="C6" s="56" t="s">
        <v>45</v>
      </c>
      <c r="D6" s="57">
        <f>'Headloss Calcs'!$A$32</f>
        <v>12</v>
      </c>
      <c r="E6" s="53">
        <f t="shared" si="0"/>
        <v>18.568033273915628</v>
      </c>
      <c r="F6" s="38">
        <f>'Headloss Calcs'!$E$18</f>
        <v>140</v>
      </c>
      <c r="G6" s="53">
        <f t="shared" si="1"/>
        <v>7.0686</v>
      </c>
      <c r="H6" s="53">
        <f t="shared" si="2"/>
        <v>9.4247999999999994</v>
      </c>
      <c r="I6" s="53">
        <f t="shared" si="3"/>
        <v>0.75</v>
      </c>
      <c r="J6" s="53">
        <f t="shared" si="4"/>
        <v>2.6268332164665744</v>
      </c>
      <c r="K6" s="53">
        <f t="shared" si="5"/>
        <v>0</v>
      </c>
      <c r="L6" s="53">
        <v>0.2</v>
      </c>
      <c r="M6" s="58">
        <f t="shared" si="6"/>
        <v>2.1429356357553195E-2</v>
      </c>
      <c r="N6" s="58">
        <f t="shared" si="7"/>
        <v>2.1429356357553195E-2</v>
      </c>
      <c r="O6" s="59">
        <f t="shared" si="8"/>
        <v>0.78288296776066424</v>
      </c>
    </row>
    <row r="7" spans="1:15" x14ac:dyDescent="0.2">
      <c r="A7" s="37">
        <v>1320</v>
      </c>
      <c r="B7" s="55">
        <v>36</v>
      </c>
      <c r="C7" s="69" t="s">
        <v>23</v>
      </c>
      <c r="D7" s="57">
        <f>'Headloss Calcs'!$A$32</f>
        <v>12</v>
      </c>
      <c r="E7" s="53">
        <f t="shared" si="0"/>
        <v>18.568033273915628</v>
      </c>
      <c r="F7" s="38">
        <f>'Headloss Calcs'!$E$18</f>
        <v>140</v>
      </c>
      <c r="G7" s="53">
        <f t="shared" si="1"/>
        <v>7.0686</v>
      </c>
      <c r="H7" s="53">
        <f t="shared" si="2"/>
        <v>9.4247999999999994</v>
      </c>
      <c r="I7" s="53">
        <f t="shared" si="3"/>
        <v>0.75</v>
      </c>
      <c r="J7" s="53">
        <f t="shared" si="4"/>
        <v>2.6268332164665744</v>
      </c>
      <c r="K7" s="53">
        <f t="shared" si="5"/>
        <v>0.70788022050922805</v>
      </c>
      <c r="L7" s="53"/>
      <c r="M7" s="58">
        <f t="shared" si="6"/>
        <v>0</v>
      </c>
      <c r="N7" s="58">
        <f t="shared" si="7"/>
        <v>0.70788022050922805</v>
      </c>
      <c r="O7" s="59">
        <f t="shared" si="8"/>
        <v>1.4907631882698924</v>
      </c>
    </row>
    <row r="8" spans="1:15" x14ac:dyDescent="0.2">
      <c r="A8" s="37"/>
      <c r="B8" s="55">
        <v>36</v>
      </c>
      <c r="C8" s="56" t="s">
        <v>39</v>
      </c>
      <c r="D8" s="57">
        <f>'Headloss Calcs'!$A$32</f>
        <v>12</v>
      </c>
      <c r="E8" s="53">
        <f t="shared" si="0"/>
        <v>18.568033273915628</v>
      </c>
      <c r="F8" s="38">
        <f>'Headloss Calcs'!$E$18</f>
        <v>140</v>
      </c>
      <c r="G8" s="53">
        <f t="shared" si="1"/>
        <v>7.0686</v>
      </c>
      <c r="H8" s="53">
        <f t="shared" si="2"/>
        <v>9.4247999999999994</v>
      </c>
      <c r="I8" s="53">
        <f t="shared" si="3"/>
        <v>0.75</v>
      </c>
      <c r="J8" s="53">
        <f t="shared" si="4"/>
        <v>2.6268332164665744</v>
      </c>
      <c r="K8" s="53">
        <f t="shared" si="5"/>
        <v>0</v>
      </c>
      <c r="L8" s="53">
        <v>0.4</v>
      </c>
      <c r="M8" s="58">
        <f t="shared" si="6"/>
        <v>4.2858712715106391E-2</v>
      </c>
      <c r="N8" s="58">
        <f t="shared" si="7"/>
        <v>4.2858712715106391E-2</v>
      </c>
      <c r="O8" s="59">
        <f t="shared" si="8"/>
        <v>1.5336219009849987</v>
      </c>
    </row>
    <row r="9" spans="1:15" x14ac:dyDescent="0.2">
      <c r="A9" s="37">
        <v>1320</v>
      </c>
      <c r="B9" s="55">
        <v>36</v>
      </c>
      <c r="C9" s="56" t="s">
        <v>23</v>
      </c>
      <c r="D9" s="57">
        <f>'Headloss Calcs'!$A$32</f>
        <v>12</v>
      </c>
      <c r="E9" s="53">
        <f t="shared" si="0"/>
        <v>18.568033273915628</v>
      </c>
      <c r="F9" s="38">
        <f>'Headloss Calcs'!$E$18</f>
        <v>140</v>
      </c>
      <c r="G9" s="53">
        <f t="shared" si="1"/>
        <v>7.0686</v>
      </c>
      <c r="H9" s="53">
        <f t="shared" si="2"/>
        <v>9.4247999999999994</v>
      </c>
      <c r="I9" s="53">
        <f t="shared" si="3"/>
        <v>0.75</v>
      </c>
      <c r="J9" s="53">
        <f t="shared" si="4"/>
        <v>2.6268332164665744</v>
      </c>
      <c r="K9" s="53">
        <f t="shared" si="5"/>
        <v>0.70788022050922805</v>
      </c>
      <c r="L9" s="53"/>
      <c r="M9" s="58">
        <f t="shared" si="6"/>
        <v>0</v>
      </c>
      <c r="N9" s="58">
        <f t="shared" si="7"/>
        <v>0.70788022050922805</v>
      </c>
      <c r="O9" s="59">
        <f t="shared" si="8"/>
        <v>2.2415021214942268</v>
      </c>
    </row>
    <row r="10" spans="1:15" x14ac:dyDescent="0.2">
      <c r="A10" s="37"/>
      <c r="B10" s="55">
        <v>36</v>
      </c>
      <c r="C10" s="56" t="s">
        <v>39</v>
      </c>
      <c r="D10" s="57">
        <f>'Headloss Calcs'!$A$32</f>
        <v>12</v>
      </c>
      <c r="E10" s="53">
        <f t="shared" si="0"/>
        <v>18.568033273915628</v>
      </c>
      <c r="F10" s="38">
        <f>'Headloss Calcs'!$E$18</f>
        <v>140</v>
      </c>
      <c r="G10" s="53">
        <f t="shared" si="1"/>
        <v>7.0686</v>
      </c>
      <c r="H10" s="53">
        <f t="shared" si="2"/>
        <v>9.4247999999999994</v>
      </c>
      <c r="I10" s="53">
        <f t="shared" si="3"/>
        <v>0.75</v>
      </c>
      <c r="J10" s="53">
        <f t="shared" si="4"/>
        <v>2.6268332164665744</v>
      </c>
      <c r="K10" s="53">
        <f t="shared" si="5"/>
        <v>0</v>
      </c>
      <c r="L10" s="53">
        <v>0.4</v>
      </c>
      <c r="M10" s="58">
        <f t="shared" si="6"/>
        <v>4.2858712715106391E-2</v>
      </c>
      <c r="N10" s="58">
        <f t="shared" si="7"/>
        <v>4.2858712715106391E-2</v>
      </c>
      <c r="O10" s="59">
        <f t="shared" si="8"/>
        <v>2.2843608342093331</v>
      </c>
    </row>
    <row r="11" spans="1:15" x14ac:dyDescent="0.2">
      <c r="A11" s="37">
        <v>1320</v>
      </c>
      <c r="B11" s="55">
        <v>36</v>
      </c>
      <c r="C11" s="56" t="s">
        <v>23</v>
      </c>
      <c r="D11" s="57">
        <f>'Headloss Calcs'!$A$32</f>
        <v>12</v>
      </c>
      <c r="E11" s="53">
        <f t="shared" si="0"/>
        <v>18.568033273915628</v>
      </c>
      <c r="F11" s="38">
        <f>'Headloss Calcs'!$E$18</f>
        <v>140</v>
      </c>
      <c r="G11" s="53">
        <f t="shared" si="1"/>
        <v>7.0686</v>
      </c>
      <c r="H11" s="53">
        <f t="shared" si="2"/>
        <v>9.4247999999999994</v>
      </c>
      <c r="I11" s="53">
        <f t="shared" si="3"/>
        <v>0.75</v>
      </c>
      <c r="J11" s="53">
        <f t="shared" si="4"/>
        <v>2.6268332164665744</v>
      </c>
      <c r="K11" s="53">
        <f t="shared" si="5"/>
        <v>0.70788022050922805</v>
      </c>
      <c r="L11" s="53"/>
      <c r="M11" s="58">
        <f t="shared" si="6"/>
        <v>0</v>
      </c>
      <c r="N11" s="58">
        <f t="shared" si="7"/>
        <v>0.70788022050922805</v>
      </c>
      <c r="O11" s="59">
        <f t="shared" si="8"/>
        <v>2.9922410547185612</v>
      </c>
    </row>
    <row r="12" spans="1:15" x14ac:dyDescent="0.2">
      <c r="A12" s="37"/>
      <c r="B12" s="55">
        <v>36</v>
      </c>
      <c r="C12" s="56" t="s">
        <v>48</v>
      </c>
      <c r="D12" s="57">
        <f>'Headloss Calcs'!$A$32</f>
        <v>12</v>
      </c>
      <c r="E12" s="53">
        <f t="shared" si="0"/>
        <v>18.568033273915628</v>
      </c>
      <c r="F12" s="38">
        <f>'Headloss Calcs'!$E$18</f>
        <v>140</v>
      </c>
      <c r="G12" s="53">
        <f t="shared" si="1"/>
        <v>7.0686</v>
      </c>
      <c r="H12" s="53">
        <f t="shared" si="2"/>
        <v>9.4247999999999994</v>
      </c>
      <c r="I12" s="53">
        <f t="shared" si="3"/>
        <v>0.75</v>
      </c>
      <c r="J12" s="53">
        <f t="shared" si="4"/>
        <v>2.6268332164665744</v>
      </c>
      <c r="K12" s="53">
        <f t="shared" si="5"/>
        <v>0</v>
      </c>
      <c r="L12" s="53">
        <v>0.4</v>
      </c>
      <c r="M12" s="58">
        <f t="shared" si="6"/>
        <v>4.2858712715106391E-2</v>
      </c>
      <c r="N12" s="58">
        <f t="shared" si="7"/>
        <v>4.2858712715106391E-2</v>
      </c>
      <c r="O12" s="59">
        <f t="shared" si="8"/>
        <v>3.0350997674336675</v>
      </c>
    </row>
    <row r="13" spans="1:15" x14ac:dyDescent="0.2">
      <c r="A13" s="37">
        <v>1320</v>
      </c>
      <c r="B13" s="55">
        <v>36</v>
      </c>
      <c r="C13" s="56" t="s">
        <v>23</v>
      </c>
      <c r="D13" s="57">
        <f>'Headloss Calcs'!$A$32</f>
        <v>12</v>
      </c>
      <c r="E13" s="53">
        <f t="shared" si="0"/>
        <v>18.568033273915628</v>
      </c>
      <c r="F13" s="38">
        <f>'Headloss Calcs'!$E$18</f>
        <v>140</v>
      </c>
      <c r="G13" s="53">
        <f t="shared" si="1"/>
        <v>7.0686</v>
      </c>
      <c r="H13" s="53">
        <f t="shared" si="2"/>
        <v>9.4247999999999994</v>
      </c>
      <c r="I13" s="53">
        <f t="shared" si="3"/>
        <v>0.75</v>
      </c>
      <c r="J13" s="53">
        <f t="shared" si="4"/>
        <v>2.6268332164665744</v>
      </c>
      <c r="K13" s="53">
        <f t="shared" si="5"/>
        <v>0.70788022050922805</v>
      </c>
      <c r="L13" s="53"/>
      <c r="M13" s="58">
        <f t="shared" si="6"/>
        <v>0</v>
      </c>
      <c r="N13" s="58">
        <f t="shared" si="7"/>
        <v>0.70788022050922805</v>
      </c>
      <c r="O13" s="59">
        <f t="shared" si="8"/>
        <v>3.7429799879428955</v>
      </c>
    </row>
    <row r="14" spans="1:15" x14ac:dyDescent="0.2">
      <c r="A14" s="37"/>
      <c r="B14" s="55">
        <v>36</v>
      </c>
      <c r="C14" s="56" t="s">
        <v>39</v>
      </c>
      <c r="D14" s="57">
        <f>'Headloss Calcs'!$A$32</f>
        <v>12</v>
      </c>
      <c r="E14" s="53">
        <f t="shared" si="0"/>
        <v>18.568033273915628</v>
      </c>
      <c r="F14" s="38">
        <f>'Headloss Calcs'!$E$18</f>
        <v>140</v>
      </c>
      <c r="G14" s="53">
        <f t="shared" si="1"/>
        <v>7.0686</v>
      </c>
      <c r="H14" s="53">
        <f t="shared" si="2"/>
        <v>9.4247999999999994</v>
      </c>
      <c r="I14" s="53">
        <f t="shared" si="3"/>
        <v>0.75</v>
      </c>
      <c r="J14" s="53">
        <f t="shared" si="4"/>
        <v>2.6268332164665744</v>
      </c>
      <c r="K14" s="53">
        <f t="shared" si="5"/>
        <v>0</v>
      </c>
      <c r="L14" s="53">
        <v>0.4</v>
      </c>
      <c r="M14" s="58">
        <f t="shared" si="6"/>
        <v>4.2858712715106391E-2</v>
      </c>
      <c r="N14" s="58">
        <f t="shared" si="7"/>
        <v>4.2858712715106391E-2</v>
      </c>
      <c r="O14" s="59">
        <f t="shared" si="8"/>
        <v>3.7858387006580019</v>
      </c>
    </row>
    <row r="15" spans="1:15" x14ac:dyDescent="0.2">
      <c r="A15" s="37">
        <v>1320</v>
      </c>
      <c r="B15" s="55">
        <v>36</v>
      </c>
      <c r="C15" s="56" t="s">
        <v>23</v>
      </c>
      <c r="D15" s="57">
        <f>'Headloss Calcs'!$A$32</f>
        <v>12</v>
      </c>
      <c r="E15" s="53">
        <f t="shared" si="0"/>
        <v>18.568033273915628</v>
      </c>
      <c r="F15" s="38">
        <f>'Headloss Calcs'!$E$18</f>
        <v>140</v>
      </c>
      <c r="G15" s="53">
        <f t="shared" si="1"/>
        <v>7.0686</v>
      </c>
      <c r="H15" s="53">
        <f t="shared" si="2"/>
        <v>9.4247999999999994</v>
      </c>
      <c r="I15" s="53">
        <f t="shared" si="3"/>
        <v>0.75</v>
      </c>
      <c r="J15" s="53">
        <f t="shared" si="4"/>
        <v>2.6268332164665744</v>
      </c>
      <c r="K15" s="53">
        <f t="shared" si="5"/>
        <v>0.70788022050922805</v>
      </c>
      <c r="L15" s="53"/>
      <c r="M15" s="58">
        <f t="shared" si="6"/>
        <v>0</v>
      </c>
      <c r="N15" s="58">
        <f t="shared" si="7"/>
        <v>0.70788022050922805</v>
      </c>
      <c r="O15" s="59">
        <f t="shared" si="8"/>
        <v>4.4937189211672299</v>
      </c>
    </row>
    <row r="16" spans="1:15" x14ac:dyDescent="0.2">
      <c r="A16" s="37"/>
      <c r="B16" s="55">
        <v>36</v>
      </c>
      <c r="C16" s="56" t="s">
        <v>45</v>
      </c>
      <c r="D16" s="57">
        <f>'Headloss Calcs'!$A$32</f>
        <v>12</v>
      </c>
      <c r="E16" s="53">
        <f t="shared" si="0"/>
        <v>18.568033273915628</v>
      </c>
      <c r="F16" s="38">
        <f>'Headloss Calcs'!$E$18</f>
        <v>140</v>
      </c>
      <c r="G16" s="53">
        <f t="shared" si="1"/>
        <v>7.0686</v>
      </c>
      <c r="H16" s="53">
        <f t="shared" si="2"/>
        <v>9.4247999999999994</v>
      </c>
      <c r="I16" s="53">
        <f t="shared" si="3"/>
        <v>0.75</v>
      </c>
      <c r="J16" s="53">
        <f t="shared" si="4"/>
        <v>2.6268332164665744</v>
      </c>
      <c r="K16" s="53">
        <f t="shared" si="5"/>
        <v>0</v>
      </c>
      <c r="L16" s="53">
        <v>0.2</v>
      </c>
      <c r="M16" s="58">
        <f t="shared" si="6"/>
        <v>2.1429356357553195E-2</v>
      </c>
      <c r="N16" s="58">
        <f t="shared" si="7"/>
        <v>2.1429356357553195E-2</v>
      </c>
      <c r="O16" s="59">
        <f t="shared" si="8"/>
        <v>4.5151482775247835</v>
      </c>
    </row>
    <row r="17" spans="1:15" x14ac:dyDescent="0.2">
      <c r="A17" s="37">
        <v>1320</v>
      </c>
      <c r="B17" s="55">
        <v>36</v>
      </c>
      <c r="C17" s="56" t="s">
        <v>23</v>
      </c>
      <c r="D17" s="57">
        <f>'Headloss Calcs'!$A$32</f>
        <v>12</v>
      </c>
      <c r="E17" s="53">
        <f t="shared" si="0"/>
        <v>18.568033273915628</v>
      </c>
      <c r="F17" s="38">
        <f>'Headloss Calcs'!$E$18</f>
        <v>140</v>
      </c>
      <c r="G17" s="53">
        <f t="shared" si="1"/>
        <v>7.0686</v>
      </c>
      <c r="H17" s="53">
        <f t="shared" si="2"/>
        <v>9.4247999999999994</v>
      </c>
      <c r="I17" s="53">
        <f t="shared" si="3"/>
        <v>0.75</v>
      </c>
      <c r="J17" s="53">
        <f t="shared" si="4"/>
        <v>2.6268332164665744</v>
      </c>
      <c r="K17" s="53">
        <f t="shared" si="5"/>
        <v>0.70788022050922805</v>
      </c>
      <c r="L17" s="53"/>
      <c r="M17" s="58">
        <f t="shared" si="6"/>
        <v>0</v>
      </c>
      <c r="N17" s="58">
        <f t="shared" si="7"/>
        <v>0.70788022050922805</v>
      </c>
      <c r="O17" s="59">
        <f t="shared" si="8"/>
        <v>5.2230284980340116</v>
      </c>
    </row>
    <row r="18" spans="1:15" ht="12" customHeight="1" x14ac:dyDescent="0.2">
      <c r="A18" s="37"/>
      <c r="B18" s="55">
        <v>36</v>
      </c>
      <c r="C18" s="56" t="s">
        <v>44</v>
      </c>
      <c r="D18" s="57">
        <f>'Headloss Calcs'!$A$32</f>
        <v>12</v>
      </c>
      <c r="E18" s="53">
        <f t="shared" si="0"/>
        <v>18.568033273915628</v>
      </c>
      <c r="F18" s="38">
        <f>'Headloss Calcs'!$E$18</f>
        <v>140</v>
      </c>
      <c r="G18" s="53">
        <f t="shared" si="1"/>
        <v>7.0686</v>
      </c>
      <c r="H18" s="53">
        <f t="shared" si="2"/>
        <v>9.4247999999999994</v>
      </c>
      <c r="I18" s="53">
        <f t="shared" si="3"/>
        <v>0.75</v>
      </c>
      <c r="J18" s="53">
        <f t="shared" si="4"/>
        <v>2.6268332164665744</v>
      </c>
      <c r="K18" s="53">
        <f t="shared" si="5"/>
        <v>0</v>
      </c>
      <c r="L18" s="53">
        <v>1</v>
      </c>
      <c r="M18" s="58">
        <f t="shared" si="6"/>
        <v>0.10714678178776596</v>
      </c>
      <c r="N18" s="58">
        <f t="shared" si="7"/>
        <v>0.10714678178776596</v>
      </c>
      <c r="O18" s="59">
        <f t="shared" si="8"/>
        <v>5.3301752798217779</v>
      </c>
    </row>
    <row r="19" spans="1:15" ht="13.5" thickBot="1" x14ac:dyDescent="0.25">
      <c r="A19" s="39"/>
      <c r="B19" s="40"/>
      <c r="C19" s="41"/>
      <c r="D19" s="40"/>
      <c r="E19" s="42"/>
      <c r="F19" s="40"/>
      <c r="G19" s="54"/>
      <c r="H19" s="54"/>
      <c r="I19" s="54"/>
      <c r="J19" s="54"/>
      <c r="K19" s="54"/>
      <c r="L19" s="54"/>
      <c r="M19" s="60"/>
      <c r="N19" s="60" t="s">
        <v>40</v>
      </c>
      <c r="O19" s="61">
        <f>O18</f>
        <v>5.3301752798217779</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Calcs'!$A$32</f>
        <v>12</v>
      </c>
      <c r="E22" s="53">
        <f t="shared" ref="E22:E37" si="9">D22*1000000/(7.48*24*60*60)</f>
        <v>18.568033273915628</v>
      </c>
      <c r="F22" s="38">
        <f>'Headloss Calcs'!$H$18</f>
        <v>100</v>
      </c>
      <c r="G22" s="53">
        <f t="shared" ref="G22:G37" si="10">3.1416/4*(B22/12)^2</f>
        <v>7.0686</v>
      </c>
      <c r="H22" s="53">
        <f t="shared" ref="H22:H37" si="11">3.1416*(B22/12)</f>
        <v>9.4247999999999994</v>
      </c>
      <c r="I22" s="53">
        <f t="shared" ref="I22:I37" si="12">G22/H22</f>
        <v>0.75</v>
      </c>
      <c r="J22" s="53">
        <f t="shared" ref="J22:J37" si="13">E22/G22</f>
        <v>2.6268332164665744</v>
      </c>
      <c r="K22" s="53">
        <f t="shared" ref="K22:K37" si="14">(J22/(1.318*F22*I22^0.63))^1.85*A22</f>
        <v>0</v>
      </c>
      <c r="L22" s="53">
        <v>0.25</v>
      </c>
      <c r="M22" s="58">
        <f t="shared" ref="M22:M37" si="15">L22*(J22^2)/(2*32.2)</f>
        <v>2.678669544694149E-2</v>
      </c>
      <c r="N22" s="58">
        <f t="shared" ref="N22:N37" si="16">K22+M22</f>
        <v>2.678669544694149E-2</v>
      </c>
      <c r="O22" s="59">
        <f>N22</f>
        <v>2.678669544694149E-2</v>
      </c>
    </row>
    <row r="23" spans="1:15" x14ac:dyDescent="0.2">
      <c r="A23" s="37"/>
      <c r="B23" s="55">
        <v>36</v>
      </c>
      <c r="C23" s="56" t="s">
        <v>47</v>
      </c>
      <c r="D23" s="57">
        <f>'Headloss Calcs'!$A$32</f>
        <v>12</v>
      </c>
      <c r="E23" s="53">
        <f t="shared" si="9"/>
        <v>18.568033273915628</v>
      </c>
      <c r="F23" s="38">
        <f>'Headloss Calcs'!$H$18</f>
        <v>100</v>
      </c>
      <c r="G23" s="53">
        <f t="shared" si="10"/>
        <v>7.0686</v>
      </c>
      <c r="H23" s="53">
        <f t="shared" si="11"/>
        <v>9.4247999999999994</v>
      </c>
      <c r="I23" s="53">
        <f t="shared" si="12"/>
        <v>0.75</v>
      </c>
      <c r="J23" s="53">
        <f t="shared" si="13"/>
        <v>2.6268332164665744</v>
      </c>
      <c r="K23" s="53">
        <f t="shared" si="14"/>
        <v>0</v>
      </c>
      <c r="L23" s="53">
        <v>0.25</v>
      </c>
      <c r="M23" s="58">
        <f t="shared" si="15"/>
        <v>2.678669544694149E-2</v>
      </c>
      <c r="N23" s="58">
        <f t="shared" si="16"/>
        <v>2.678669544694149E-2</v>
      </c>
      <c r="O23" s="59">
        <f t="shared" ref="O23:O37" si="17">N23+O22</f>
        <v>5.357339089388298E-2</v>
      </c>
    </row>
    <row r="24" spans="1:15" x14ac:dyDescent="0.2">
      <c r="A24" s="37">
        <v>1320</v>
      </c>
      <c r="B24" s="55">
        <v>36</v>
      </c>
      <c r="C24" s="56" t="s">
        <v>23</v>
      </c>
      <c r="D24" s="57">
        <f>'Headloss Calcs'!$A$32</f>
        <v>12</v>
      </c>
      <c r="E24" s="53">
        <f t="shared" si="9"/>
        <v>18.568033273915628</v>
      </c>
      <c r="F24" s="38">
        <f>'Headloss Calcs'!$H$18</f>
        <v>100</v>
      </c>
      <c r="G24" s="53">
        <f t="shared" si="10"/>
        <v>7.0686</v>
      </c>
      <c r="H24" s="53">
        <f t="shared" si="11"/>
        <v>9.4247999999999994</v>
      </c>
      <c r="I24" s="53">
        <f t="shared" si="12"/>
        <v>0.75</v>
      </c>
      <c r="J24" s="53">
        <f t="shared" si="13"/>
        <v>2.6268332164665744</v>
      </c>
      <c r="K24" s="53">
        <f t="shared" si="14"/>
        <v>1.3191574773462507</v>
      </c>
      <c r="L24" s="53"/>
      <c r="M24" s="58">
        <f t="shared" si="15"/>
        <v>0</v>
      </c>
      <c r="N24" s="58">
        <f t="shared" si="16"/>
        <v>1.3191574773462507</v>
      </c>
      <c r="O24" s="59">
        <f t="shared" si="17"/>
        <v>1.3727308682401336</v>
      </c>
    </row>
    <row r="25" spans="1:15" x14ac:dyDescent="0.2">
      <c r="A25" s="37"/>
      <c r="B25" s="55">
        <v>36</v>
      </c>
      <c r="C25" s="56" t="s">
        <v>45</v>
      </c>
      <c r="D25" s="57">
        <f>'Headloss Calcs'!$A$32</f>
        <v>12</v>
      </c>
      <c r="E25" s="53">
        <f t="shared" si="9"/>
        <v>18.568033273915628</v>
      </c>
      <c r="F25" s="38">
        <f>'Headloss Calcs'!$H$18</f>
        <v>100</v>
      </c>
      <c r="G25" s="53">
        <f t="shared" si="10"/>
        <v>7.0686</v>
      </c>
      <c r="H25" s="53">
        <f t="shared" si="11"/>
        <v>9.4247999999999994</v>
      </c>
      <c r="I25" s="53">
        <f t="shared" si="12"/>
        <v>0.75</v>
      </c>
      <c r="J25" s="53">
        <f t="shared" si="13"/>
        <v>2.6268332164665744</v>
      </c>
      <c r="K25" s="53">
        <f t="shared" si="14"/>
        <v>0</v>
      </c>
      <c r="L25" s="53">
        <v>0.2</v>
      </c>
      <c r="M25" s="58">
        <f t="shared" si="15"/>
        <v>2.1429356357553195E-2</v>
      </c>
      <c r="N25" s="58">
        <f t="shared" si="16"/>
        <v>2.1429356357553195E-2</v>
      </c>
      <c r="O25" s="59">
        <f t="shared" si="17"/>
        <v>1.3941602245976867</v>
      </c>
    </row>
    <row r="26" spans="1:15" x14ac:dyDescent="0.2">
      <c r="A26" s="37">
        <v>1320</v>
      </c>
      <c r="B26" s="55">
        <v>36</v>
      </c>
      <c r="C26" s="69" t="s">
        <v>23</v>
      </c>
      <c r="D26" s="57">
        <f>'Headloss Calcs'!$A$32</f>
        <v>12</v>
      </c>
      <c r="E26" s="53">
        <f t="shared" si="9"/>
        <v>18.568033273915628</v>
      </c>
      <c r="F26" s="38">
        <f>'Headloss Calcs'!$H$18</f>
        <v>100</v>
      </c>
      <c r="G26" s="53">
        <f t="shared" si="10"/>
        <v>7.0686</v>
      </c>
      <c r="H26" s="53">
        <f t="shared" si="11"/>
        <v>9.4247999999999994</v>
      </c>
      <c r="I26" s="53">
        <f t="shared" si="12"/>
        <v>0.75</v>
      </c>
      <c r="J26" s="53">
        <f t="shared" si="13"/>
        <v>2.6268332164665744</v>
      </c>
      <c r="K26" s="53">
        <f t="shared" si="14"/>
        <v>1.3191574773462507</v>
      </c>
      <c r="L26" s="53"/>
      <c r="M26" s="58">
        <f t="shared" si="15"/>
        <v>0</v>
      </c>
      <c r="N26" s="58">
        <f t="shared" si="16"/>
        <v>1.3191574773462507</v>
      </c>
      <c r="O26" s="59">
        <f t="shared" si="17"/>
        <v>2.7133177019439376</v>
      </c>
    </row>
    <row r="27" spans="1:15" x14ac:dyDescent="0.2">
      <c r="A27" s="37"/>
      <c r="B27" s="55">
        <v>36</v>
      </c>
      <c r="C27" s="56" t="s">
        <v>39</v>
      </c>
      <c r="D27" s="57">
        <f>'Headloss Calcs'!$A$32</f>
        <v>12</v>
      </c>
      <c r="E27" s="53">
        <f t="shared" si="9"/>
        <v>18.568033273915628</v>
      </c>
      <c r="F27" s="38">
        <f>'Headloss Calcs'!$H$18</f>
        <v>100</v>
      </c>
      <c r="G27" s="53">
        <f t="shared" si="10"/>
        <v>7.0686</v>
      </c>
      <c r="H27" s="53">
        <f t="shared" si="11"/>
        <v>9.4247999999999994</v>
      </c>
      <c r="I27" s="53">
        <f t="shared" si="12"/>
        <v>0.75</v>
      </c>
      <c r="J27" s="53">
        <f t="shared" si="13"/>
        <v>2.6268332164665744</v>
      </c>
      <c r="K27" s="53">
        <f t="shared" si="14"/>
        <v>0</v>
      </c>
      <c r="L27" s="53">
        <v>0.4</v>
      </c>
      <c r="M27" s="58">
        <f t="shared" si="15"/>
        <v>4.2858712715106391E-2</v>
      </c>
      <c r="N27" s="58">
        <f t="shared" si="16"/>
        <v>4.2858712715106391E-2</v>
      </c>
      <c r="O27" s="59">
        <f t="shared" si="17"/>
        <v>2.7561764146590439</v>
      </c>
    </row>
    <row r="28" spans="1:15" x14ac:dyDescent="0.2">
      <c r="A28" s="37">
        <v>1320</v>
      </c>
      <c r="B28" s="55">
        <v>36</v>
      </c>
      <c r="C28" s="56" t="s">
        <v>23</v>
      </c>
      <c r="D28" s="57">
        <f>'Headloss Calcs'!$A$32</f>
        <v>12</v>
      </c>
      <c r="E28" s="53">
        <f t="shared" si="9"/>
        <v>18.568033273915628</v>
      </c>
      <c r="F28" s="38">
        <f>'Headloss Calcs'!$H$18</f>
        <v>100</v>
      </c>
      <c r="G28" s="53">
        <f t="shared" si="10"/>
        <v>7.0686</v>
      </c>
      <c r="H28" s="53">
        <f t="shared" si="11"/>
        <v>9.4247999999999994</v>
      </c>
      <c r="I28" s="53">
        <f t="shared" si="12"/>
        <v>0.75</v>
      </c>
      <c r="J28" s="53">
        <f t="shared" si="13"/>
        <v>2.6268332164665744</v>
      </c>
      <c r="K28" s="53">
        <f t="shared" si="14"/>
        <v>1.3191574773462507</v>
      </c>
      <c r="L28" s="53"/>
      <c r="M28" s="58">
        <f t="shared" si="15"/>
        <v>0</v>
      </c>
      <c r="N28" s="58">
        <f t="shared" si="16"/>
        <v>1.3191574773462507</v>
      </c>
      <c r="O28" s="59">
        <f t="shared" si="17"/>
        <v>4.0753338920052951</v>
      </c>
    </row>
    <row r="29" spans="1:15" x14ac:dyDescent="0.2">
      <c r="A29" s="37"/>
      <c r="B29" s="55">
        <v>36</v>
      </c>
      <c r="C29" s="56" t="s">
        <v>39</v>
      </c>
      <c r="D29" s="57">
        <f>'Headloss Calcs'!$A$32</f>
        <v>12</v>
      </c>
      <c r="E29" s="53">
        <f t="shared" si="9"/>
        <v>18.568033273915628</v>
      </c>
      <c r="F29" s="38">
        <f>'Headloss Calcs'!$H$18</f>
        <v>100</v>
      </c>
      <c r="G29" s="53">
        <f t="shared" si="10"/>
        <v>7.0686</v>
      </c>
      <c r="H29" s="53">
        <f t="shared" si="11"/>
        <v>9.4247999999999994</v>
      </c>
      <c r="I29" s="53">
        <f t="shared" si="12"/>
        <v>0.75</v>
      </c>
      <c r="J29" s="53">
        <f t="shared" si="13"/>
        <v>2.6268332164665744</v>
      </c>
      <c r="K29" s="53">
        <f t="shared" si="14"/>
        <v>0</v>
      </c>
      <c r="L29" s="53">
        <v>0.4</v>
      </c>
      <c r="M29" s="58">
        <f t="shared" si="15"/>
        <v>4.2858712715106391E-2</v>
      </c>
      <c r="N29" s="58">
        <f t="shared" si="16"/>
        <v>4.2858712715106391E-2</v>
      </c>
      <c r="O29" s="59">
        <f t="shared" si="17"/>
        <v>4.1181926047204014</v>
      </c>
    </row>
    <row r="30" spans="1:15" x14ac:dyDescent="0.2">
      <c r="A30" s="37">
        <v>1320</v>
      </c>
      <c r="B30" s="55">
        <v>36</v>
      </c>
      <c r="C30" s="56" t="s">
        <v>23</v>
      </c>
      <c r="D30" s="57">
        <f>'Headloss Calcs'!$A$32</f>
        <v>12</v>
      </c>
      <c r="E30" s="53">
        <f t="shared" si="9"/>
        <v>18.568033273915628</v>
      </c>
      <c r="F30" s="38">
        <f>'Headloss Calcs'!$H$18</f>
        <v>100</v>
      </c>
      <c r="G30" s="53">
        <f t="shared" si="10"/>
        <v>7.0686</v>
      </c>
      <c r="H30" s="53">
        <f t="shared" si="11"/>
        <v>9.4247999999999994</v>
      </c>
      <c r="I30" s="53">
        <f t="shared" si="12"/>
        <v>0.75</v>
      </c>
      <c r="J30" s="53">
        <f t="shared" si="13"/>
        <v>2.6268332164665744</v>
      </c>
      <c r="K30" s="53">
        <f t="shared" si="14"/>
        <v>1.3191574773462507</v>
      </c>
      <c r="L30" s="53"/>
      <c r="M30" s="58">
        <f t="shared" si="15"/>
        <v>0</v>
      </c>
      <c r="N30" s="58">
        <f t="shared" si="16"/>
        <v>1.3191574773462507</v>
      </c>
      <c r="O30" s="59">
        <f t="shared" si="17"/>
        <v>5.4373500820666525</v>
      </c>
    </row>
    <row r="31" spans="1:15" x14ac:dyDescent="0.2">
      <c r="A31" s="37"/>
      <c r="B31" s="55">
        <v>36</v>
      </c>
      <c r="C31" s="56" t="s">
        <v>48</v>
      </c>
      <c r="D31" s="57">
        <f>'Headloss Calcs'!$A$32</f>
        <v>12</v>
      </c>
      <c r="E31" s="53">
        <f t="shared" si="9"/>
        <v>18.568033273915628</v>
      </c>
      <c r="F31" s="38">
        <f>'Headloss Calcs'!$H$18</f>
        <v>100</v>
      </c>
      <c r="G31" s="53">
        <f t="shared" si="10"/>
        <v>7.0686</v>
      </c>
      <c r="H31" s="53">
        <f t="shared" si="11"/>
        <v>9.4247999999999994</v>
      </c>
      <c r="I31" s="53">
        <f t="shared" si="12"/>
        <v>0.75</v>
      </c>
      <c r="J31" s="53">
        <f t="shared" si="13"/>
        <v>2.6268332164665744</v>
      </c>
      <c r="K31" s="53">
        <f t="shared" si="14"/>
        <v>0</v>
      </c>
      <c r="L31" s="53">
        <v>0.4</v>
      </c>
      <c r="M31" s="58">
        <f t="shared" si="15"/>
        <v>4.2858712715106391E-2</v>
      </c>
      <c r="N31" s="58">
        <f t="shared" si="16"/>
        <v>4.2858712715106391E-2</v>
      </c>
      <c r="O31" s="59">
        <f t="shared" si="17"/>
        <v>5.4802087947817588</v>
      </c>
    </row>
    <row r="32" spans="1:15" x14ac:dyDescent="0.2">
      <c r="A32" s="37">
        <v>1320</v>
      </c>
      <c r="B32" s="55">
        <v>36</v>
      </c>
      <c r="C32" s="56" t="s">
        <v>23</v>
      </c>
      <c r="D32" s="57">
        <f>'Headloss Calcs'!$A$32</f>
        <v>12</v>
      </c>
      <c r="E32" s="53">
        <f t="shared" si="9"/>
        <v>18.568033273915628</v>
      </c>
      <c r="F32" s="38">
        <f>'Headloss Calcs'!$H$18</f>
        <v>100</v>
      </c>
      <c r="G32" s="53">
        <f t="shared" si="10"/>
        <v>7.0686</v>
      </c>
      <c r="H32" s="53">
        <f t="shared" si="11"/>
        <v>9.4247999999999994</v>
      </c>
      <c r="I32" s="53">
        <f t="shared" si="12"/>
        <v>0.75</v>
      </c>
      <c r="J32" s="53">
        <f t="shared" si="13"/>
        <v>2.6268332164665744</v>
      </c>
      <c r="K32" s="53">
        <f t="shared" si="14"/>
        <v>1.3191574773462507</v>
      </c>
      <c r="L32" s="53"/>
      <c r="M32" s="58">
        <f t="shared" si="15"/>
        <v>0</v>
      </c>
      <c r="N32" s="58">
        <f t="shared" si="16"/>
        <v>1.3191574773462507</v>
      </c>
      <c r="O32" s="59">
        <f t="shared" si="17"/>
        <v>6.7993662721280099</v>
      </c>
    </row>
    <row r="33" spans="1:15" x14ac:dyDescent="0.2">
      <c r="A33" s="37"/>
      <c r="B33" s="55">
        <v>36</v>
      </c>
      <c r="C33" s="56" t="s">
        <v>39</v>
      </c>
      <c r="D33" s="57">
        <f>'Headloss Calcs'!$A$32</f>
        <v>12</v>
      </c>
      <c r="E33" s="53">
        <f t="shared" si="9"/>
        <v>18.568033273915628</v>
      </c>
      <c r="F33" s="38">
        <f>'Headloss Calcs'!$H$18</f>
        <v>100</v>
      </c>
      <c r="G33" s="53">
        <f t="shared" si="10"/>
        <v>7.0686</v>
      </c>
      <c r="H33" s="53">
        <f t="shared" si="11"/>
        <v>9.4247999999999994</v>
      </c>
      <c r="I33" s="53">
        <f t="shared" si="12"/>
        <v>0.75</v>
      </c>
      <c r="J33" s="53">
        <f t="shared" si="13"/>
        <v>2.6268332164665744</v>
      </c>
      <c r="K33" s="53">
        <f t="shared" si="14"/>
        <v>0</v>
      </c>
      <c r="L33" s="53">
        <v>0.4</v>
      </c>
      <c r="M33" s="58">
        <f t="shared" si="15"/>
        <v>4.2858712715106391E-2</v>
      </c>
      <c r="N33" s="58">
        <f t="shared" si="16"/>
        <v>4.2858712715106391E-2</v>
      </c>
      <c r="O33" s="59">
        <f t="shared" si="17"/>
        <v>6.8422249848431163</v>
      </c>
    </row>
    <row r="34" spans="1:15" x14ac:dyDescent="0.2">
      <c r="A34" s="37">
        <v>1320</v>
      </c>
      <c r="B34" s="55">
        <v>36</v>
      </c>
      <c r="C34" s="56" t="s">
        <v>23</v>
      </c>
      <c r="D34" s="57">
        <f>'Headloss Calcs'!$A$32</f>
        <v>12</v>
      </c>
      <c r="E34" s="53">
        <f t="shared" si="9"/>
        <v>18.568033273915628</v>
      </c>
      <c r="F34" s="38">
        <f>'Headloss Calcs'!$H$18</f>
        <v>100</v>
      </c>
      <c r="G34" s="53">
        <f t="shared" si="10"/>
        <v>7.0686</v>
      </c>
      <c r="H34" s="53">
        <f t="shared" si="11"/>
        <v>9.4247999999999994</v>
      </c>
      <c r="I34" s="53">
        <f t="shared" si="12"/>
        <v>0.75</v>
      </c>
      <c r="J34" s="53">
        <f t="shared" si="13"/>
        <v>2.6268332164665744</v>
      </c>
      <c r="K34" s="53">
        <f t="shared" si="14"/>
        <v>1.3191574773462507</v>
      </c>
      <c r="L34" s="53"/>
      <c r="M34" s="58">
        <f t="shared" si="15"/>
        <v>0</v>
      </c>
      <c r="N34" s="58">
        <f t="shared" si="16"/>
        <v>1.3191574773462507</v>
      </c>
      <c r="O34" s="59">
        <f t="shared" si="17"/>
        <v>8.1613824621893674</v>
      </c>
    </row>
    <row r="35" spans="1:15" x14ac:dyDescent="0.2">
      <c r="A35" s="37"/>
      <c r="B35" s="55">
        <v>36</v>
      </c>
      <c r="C35" s="56" t="s">
        <v>45</v>
      </c>
      <c r="D35" s="57">
        <f>'Headloss Calcs'!$A$32</f>
        <v>12</v>
      </c>
      <c r="E35" s="53">
        <f t="shared" si="9"/>
        <v>18.568033273915628</v>
      </c>
      <c r="F35" s="38">
        <f>'Headloss Calcs'!$H$18</f>
        <v>100</v>
      </c>
      <c r="G35" s="53">
        <f t="shared" si="10"/>
        <v>7.0686</v>
      </c>
      <c r="H35" s="53">
        <f t="shared" si="11"/>
        <v>9.4247999999999994</v>
      </c>
      <c r="I35" s="53">
        <f t="shared" si="12"/>
        <v>0.75</v>
      </c>
      <c r="J35" s="53">
        <f t="shared" si="13"/>
        <v>2.6268332164665744</v>
      </c>
      <c r="K35" s="53">
        <f t="shared" si="14"/>
        <v>0</v>
      </c>
      <c r="L35" s="53">
        <v>0.2</v>
      </c>
      <c r="M35" s="58">
        <f t="shared" si="15"/>
        <v>2.1429356357553195E-2</v>
      </c>
      <c r="N35" s="58">
        <f t="shared" si="16"/>
        <v>2.1429356357553195E-2</v>
      </c>
      <c r="O35" s="59">
        <f t="shared" si="17"/>
        <v>8.1828118185469201</v>
      </c>
    </row>
    <row r="36" spans="1:15" x14ac:dyDescent="0.2">
      <c r="A36" s="37">
        <v>1320</v>
      </c>
      <c r="B36" s="55">
        <v>36</v>
      </c>
      <c r="C36" s="56" t="s">
        <v>23</v>
      </c>
      <c r="D36" s="57">
        <f>'Headloss Calcs'!$A$32</f>
        <v>12</v>
      </c>
      <c r="E36" s="53">
        <f t="shared" si="9"/>
        <v>18.568033273915628</v>
      </c>
      <c r="F36" s="38">
        <f>'Headloss Calcs'!$H$18</f>
        <v>100</v>
      </c>
      <c r="G36" s="53">
        <f t="shared" si="10"/>
        <v>7.0686</v>
      </c>
      <c r="H36" s="53">
        <f t="shared" si="11"/>
        <v>9.4247999999999994</v>
      </c>
      <c r="I36" s="53">
        <f t="shared" si="12"/>
        <v>0.75</v>
      </c>
      <c r="J36" s="53">
        <f t="shared" si="13"/>
        <v>2.6268332164665744</v>
      </c>
      <c r="K36" s="53">
        <f t="shared" si="14"/>
        <v>1.3191574773462507</v>
      </c>
      <c r="L36" s="53"/>
      <c r="M36" s="58">
        <f t="shared" si="15"/>
        <v>0</v>
      </c>
      <c r="N36" s="58">
        <f t="shared" si="16"/>
        <v>1.3191574773462507</v>
      </c>
      <c r="O36" s="59">
        <f t="shared" si="17"/>
        <v>9.5019692958931703</v>
      </c>
    </row>
    <row r="37" spans="1:15" ht="12" customHeight="1" x14ac:dyDescent="0.2">
      <c r="A37" s="37"/>
      <c r="B37" s="55">
        <v>36</v>
      </c>
      <c r="C37" s="56" t="s">
        <v>44</v>
      </c>
      <c r="D37" s="57">
        <f>'Headloss Calcs'!$A$32</f>
        <v>12</v>
      </c>
      <c r="E37" s="53">
        <f t="shared" si="9"/>
        <v>18.568033273915628</v>
      </c>
      <c r="F37" s="38">
        <f>'Headloss Calcs'!$H$18</f>
        <v>100</v>
      </c>
      <c r="G37" s="53">
        <f t="shared" si="10"/>
        <v>7.0686</v>
      </c>
      <c r="H37" s="53">
        <f t="shared" si="11"/>
        <v>9.4247999999999994</v>
      </c>
      <c r="I37" s="53">
        <f t="shared" si="12"/>
        <v>0.75</v>
      </c>
      <c r="J37" s="53">
        <f t="shared" si="13"/>
        <v>2.6268332164665744</v>
      </c>
      <c r="K37" s="53">
        <f t="shared" si="14"/>
        <v>0</v>
      </c>
      <c r="L37" s="53">
        <v>1</v>
      </c>
      <c r="M37" s="58">
        <f t="shared" si="15"/>
        <v>0.10714678178776596</v>
      </c>
      <c r="N37" s="58">
        <f t="shared" si="16"/>
        <v>0.10714678178776596</v>
      </c>
      <c r="O37" s="59">
        <f t="shared" si="17"/>
        <v>9.6091160776809357</v>
      </c>
    </row>
    <row r="38" spans="1:15" ht="13.5" thickBot="1" x14ac:dyDescent="0.25">
      <c r="A38" s="39"/>
      <c r="B38" s="40"/>
      <c r="C38" s="41"/>
      <c r="D38" s="40"/>
      <c r="E38" s="42"/>
      <c r="F38" s="40"/>
      <c r="G38" s="54"/>
      <c r="H38" s="54"/>
      <c r="I38" s="54"/>
      <c r="J38" s="54"/>
      <c r="K38" s="54"/>
      <c r="L38" s="54"/>
      <c r="M38" s="60"/>
      <c r="N38" s="60" t="s">
        <v>40</v>
      </c>
      <c r="O38" s="61">
        <f>O37</f>
        <v>9.6091160776809357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50"/>
  <sheetViews>
    <sheetView topLeftCell="C22"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Calcs'!$A$33</f>
        <v>13</v>
      </c>
      <c r="E3" s="53">
        <f t="shared" ref="E3:E18" si="0">D3*1000000/(7.48*24*60*60)</f>
        <v>20.115369380075261</v>
      </c>
      <c r="F3" s="38">
        <f>'Headloss Calcs'!$E$18</f>
        <v>140</v>
      </c>
      <c r="G3" s="53">
        <f t="shared" ref="G3:G18" si="1">3.1416/4*(B3/12)^2</f>
        <v>7.0686</v>
      </c>
      <c r="H3" s="53">
        <f t="shared" ref="H3:H18" si="2">3.1416*(B3/12)</f>
        <v>9.4247999999999994</v>
      </c>
      <c r="I3" s="53">
        <f t="shared" ref="I3:I18" si="3">G3/H3</f>
        <v>0.75</v>
      </c>
      <c r="J3" s="53">
        <f t="shared" ref="J3:J18" si="4">E3/G3</f>
        <v>2.8457359845054553</v>
      </c>
      <c r="K3" s="53">
        <f t="shared" ref="K3:K18" si="5">(J3/(1.318*F3*I3^0.63))^1.85*A3</f>
        <v>0</v>
      </c>
      <c r="L3" s="53">
        <v>0.25</v>
      </c>
      <c r="M3" s="58">
        <f t="shared" ref="M3:M18" si="6">L3*(J3^2)/(2*32.2)</f>
        <v>3.1437163406479937E-2</v>
      </c>
      <c r="N3" s="58">
        <f t="shared" ref="N3:N18" si="7">K3+M3</f>
        <v>3.1437163406479937E-2</v>
      </c>
      <c r="O3" s="59">
        <f>N3</f>
        <v>3.1437163406479937E-2</v>
      </c>
    </row>
    <row r="4" spans="1:15" x14ac:dyDescent="0.2">
      <c r="A4" s="37"/>
      <c r="B4" s="55">
        <v>36</v>
      </c>
      <c r="C4" s="56" t="s">
        <v>47</v>
      </c>
      <c r="D4" s="57">
        <f>'Headloss Calcs'!$A$33</f>
        <v>13</v>
      </c>
      <c r="E4" s="53">
        <f t="shared" si="0"/>
        <v>20.115369380075261</v>
      </c>
      <c r="F4" s="38">
        <f>'Headloss Calcs'!$E$18</f>
        <v>140</v>
      </c>
      <c r="G4" s="53">
        <f t="shared" si="1"/>
        <v>7.0686</v>
      </c>
      <c r="H4" s="53">
        <f t="shared" si="2"/>
        <v>9.4247999999999994</v>
      </c>
      <c r="I4" s="53">
        <f t="shared" si="3"/>
        <v>0.75</v>
      </c>
      <c r="J4" s="53">
        <f t="shared" si="4"/>
        <v>2.8457359845054553</v>
      </c>
      <c r="K4" s="53">
        <f t="shared" si="5"/>
        <v>0</v>
      </c>
      <c r="L4" s="53">
        <v>0.25</v>
      </c>
      <c r="M4" s="58">
        <f t="shared" si="6"/>
        <v>3.1437163406479937E-2</v>
      </c>
      <c r="N4" s="58">
        <f t="shared" si="7"/>
        <v>3.1437163406479937E-2</v>
      </c>
      <c r="O4" s="59">
        <f t="shared" ref="O4:O18" si="8">N4+O3</f>
        <v>6.2874326812959874E-2</v>
      </c>
    </row>
    <row r="5" spans="1:15" x14ac:dyDescent="0.2">
      <c r="A5" s="37">
        <v>1320</v>
      </c>
      <c r="B5" s="55">
        <v>36</v>
      </c>
      <c r="C5" s="56" t="s">
        <v>23</v>
      </c>
      <c r="D5" s="57">
        <f>'Headloss Calcs'!$A$33</f>
        <v>13</v>
      </c>
      <c r="E5" s="53">
        <f t="shared" si="0"/>
        <v>20.115369380075261</v>
      </c>
      <c r="F5" s="38">
        <f>'Headloss Calcs'!$E$18</f>
        <v>140</v>
      </c>
      <c r="G5" s="53">
        <f t="shared" si="1"/>
        <v>7.0686</v>
      </c>
      <c r="H5" s="53">
        <f t="shared" si="2"/>
        <v>9.4247999999999994</v>
      </c>
      <c r="I5" s="53">
        <f t="shared" si="3"/>
        <v>0.75</v>
      </c>
      <c r="J5" s="53">
        <f t="shared" si="4"/>
        <v>2.8457359845054553</v>
      </c>
      <c r="K5" s="53">
        <f t="shared" si="5"/>
        <v>0.82086109777408645</v>
      </c>
      <c r="L5" s="53"/>
      <c r="M5" s="58">
        <f t="shared" si="6"/>
        <v>0</v>
      </c>
      <c r="N5" s="58">
        <f t="shared" si="7"/>
        <v>0.82086109777408645</v>
      </c>
      <c r="O5" s="59">
        <f t="shared" si="8"/>
        <v>0.88373542458704635</v>
      </c>
    </row>
    <row r="6" spans="1:15" x14ac:dyDescent="0.2">
      <c r="A6" s="37"/>
      <c r="B6" s="55">
        <v>36</v>
      </c>
      <c r="C6" s="56" t="s">
        <v>45</v>
      </c>
      <c r="D6" s="57">
        <f>'Headloss Calcs'!$A$33</f>
        <v>13</v>
      </c>
      <c r="E6" s="53">
        <f t="shared" si="0"/>
        <v>20.115369380075261</v>
      </c>
      <c r="F6" s="38">
        <f>'Headloss Calcs'!$E$18</f>
        <v>140</v>
      </c>
      <c r="G6" s="53">
        <f t="shared" si="1"/>
        <v>7.0686</v>
      </c>
      <c r="H6" s="53">
        <f t="shared" si="2"/>
        <v>9.4247999999999994</v>
      </c>
      <c r="I6" s="53">
        <f t="shared" si="3"/>
        <v>0.75</v>
      </c>
      <c r="J6" s="53">
        <f t="shared" si="4"/>
        <v>2.8457359845054553</v>
      </c>
      <c r="K6" s="53">
        <f t="shared" si="5"/>
        <v>0</v>
      </c>
      <c r="L6" s="53">
        <v>0.2</v>
      </c>
      <c r="M6" s="58">
        <f t="shared" si="6"/>
        <v>2.5149730725183953E-2</v>
      </c>
      <c r="N6" s="58">
        <f t="shared" si="7"/>
        <v>2.5149730725183953E-2</v>
      </c>
      <c r="O6" s="59">
        <f t="shared" si="8"/>
        <v>0.90888515531223035</v>
      </c>
    </row>
    <row r="7" spans="1:15" x14ac:dyDescent="0.2">
      <c r="A7" s="37">
        <v>1320</v>
      </c>
      <c r="B7" s="55">
        <v>36</v>
      </c>
      <c r="C7" s="69" t="s">
        <v>23</v>
      </c>
      <c r="D7" s="57">
        <f>'Headloss Calcs'!$A$33</f>
        <v>13</v>
      </c>
      <c r="E7" s="53">
        <f t="shared" si="0"/>
        <v>20.115369380075261</v>
      </c>
      <c r="F7" s="38">
        <f>'Headloss Calcs'!$E$18</f>
        <v>140</v>
      </c>
      <c r="G7" s="53">
        <f t="shared" si="1"/>
        <v>7.0686</v>
      </c>
      <c r="H7" s="53">
        <f t="shared" si="2"/>
        <v>9.4247999999999994</v>
      </c>
      <c r="I7" s="53">
        <f t="shared" si="3"/>
        <v>0.75</v>
      </c>
      <c r="J7" s="53">
        <f t="shared" si="4"/>
        <v>2.8457359845054553</v>
      </c>
      <c r="K7" s="53">
        <f t="shared" si="5"/>
        <v>0.82086109777408645</v>
      </c>
      <c r="L7" s="53"/>
      <c r="M7" s="58">
        <f t="shared" si="6"/>
        <v>0</v>
      </c>
      <c r="N7" s="58">
        <f t="shared" si="7"/>
        <v>0.82086109777408645</v>
      </c>
      <c r="O7" s="59">
        <f t="shared" si="8"/>
        <v>1.7297462530863168</v>
      </c>
    </row>
    <row r="8" spans="1:15" x14ac:dyDescent="0.2">
      <c r="A8" s="37"/>
      <c r="B8" s="55">
        <v>36</v>
      </c>
      <c r="C8" s="56" t="s">
        <v>39</v>
      </c>
      <c r="D8" s="57">
        <f>'Headloss Calcs'!$A$33</f>
        <v>13</v>
      </c>
      <c r="E8" s="53">
        <f t="shared" si="0"/>
        <v>20.115369380075261</v>
      </c>
      <c r="F8" s="38">
        <f>'Headloss Calcs'!$E$18</f>
        <v>140</v>
      </c>
      <c r="G8" s="53">
        <f t="shared" si="1"/>
        <v>7.0686</v>
      </c>
      <c r="H8" s="53">
        <f t="shared" si="2"/>
        <v>9.4247999999999994</v>
      </c>
      <c r="I8" s="53">
        <f t="shared" si="3"/>
        <v>0.75</v>
      </c>
      <c r="J8" s="53">
        <f t="shared" si="4"/>
        <v>2.8457359845054553</v>
      </c>
      <c r="K8" s="53">
        <f t="shared" si="5"/>
        <v>0</v>
      </c>
      <c r="L8" s="53">
        <v>0.4</v>
      </c>
      <c r="M8" s="58">
        <f t="shared" si="6"/>
        <v>5.0299461450367906E-2</v>
      </c>
      <c r="N8" s="58">
        <f t="shared" si="7"/>
        <v>5.0299461450367906E-2</v>
      </c>
      <c r="O8" s="59">
        <f t="shared" si="8"/>
        <v>1.7800457145366848</v>
      </c>
    </row>
    <row r="9" spans="1:15" x14ac:dyDescent="0.2">
      <c r="A9" s="37">
        <v>1320</v>
      </c>
      <c r="B9" s="55">
        <v>36</v>
      </c>
      <c r="C9" s="56" t="s">
        <v>23</v>
      </c>
      <c r="D9" s="57">
        <f>'Headloss Calcs'!$A$33</f>
        <v>13</v>
      </c>
      <c r="E9" s="53">
        <f t="shared" si="0"/>
        <v>20.115369380075261</v>
      </c>
      <c r="F9" s="38">
        <f>'Headloss Calcs'!$E$18</f>
        <v>140</v>
      </c>
      <c r="G9" s="53">
        <f t="shared" si="1"/>
        <v>7.0686</v>
      </c>
      <c r="H9" s="53">
        <f t="shared" si="2"/>
        <v>9.4247999999999994</v>
      </c>
      <c r="I9" s="53">
        <f t="shared" si="3"/>
        <v>0.75</v>
      </c>
      <c r="J9" s="53">
        <f t="shared" si="4"/>
        <v>2.8457359845054553</v>
      </c>
      <c r="K9" s="53">
        <f t="shared" si="5"/>
        <v>0.82086109777408645</v>
      </c>
      <c r="L9" s="53"/>
      <c r="M9" s="58">
        <f t="shared" si="6"/>
        <v>0</v>
      </c>
      <c r="N9" s="58">
        <f t="shared" si="7"/>
        <v>0.82086109777408645</v>
      </c>
      <c r="O9" s="59">
        <f t="shared" si="8"/>
        <v>2.6009068123107713</v>
      </c>
    </row>
    <row r="10" spans="1:15" x14ac:dyDescent="0.2">
      <c r="A10" s="37"/>
      <c r="B10" s="55">
        <v>36</v>
      </c>
      <c r="C10" s="56" t="s">
        <v>39</v>
      </c>
      <c r="D10" s="57">
        <f>'Headloss Calcs'!$A$33</f>
        <v>13</v>
      </c>
      <c r="E10" s="53">
        <f t="shared" si="0"/>
        <v>20.115369380075261</v>
      </c>
      <c r="F10" s="38">
        <f>'Headloss Calcs'!$E$18</f>
        <v>140</v>
      </c>
      <c r="G10" s="53">
        <f t="shared" si="1"/>
        <v>7.0686</v>
      </c>
      <c r="H10" s="53">
        <f t="shared" si="2"/>
        <v>9.4247999999999994</v>
      </c>
      <c r="I10" s="53">
        <f t="shared" si="3"/>
        <v>0.75</v>
      </c>
      <c r="J10" s="53">
        <f t="shared" si="4"/>
        <v>2.8457359845054553</v>
      </c>
      <c r="K10" s="53">
        <f t="shared" si="5"/>
        <v>0</v>
      </c>
      <c r="L10" s="53">
        <v>0.4</v>
      </c>
      <c r="M10" s="58">
        <f t="shared" si="6"/>
        <v>5.0299461450367906E-2</v>
      </c>
      <c r="N10" s="58">
        <f t="shared" si="7"/>
        <v>5.0299461450367906E-2</v>
      </c>
      <c r="O10" s="59">
        <f t="shared" si="8"/>
        <v>2.6512062737611393</v>
      </c>
    </row>
    <row r="11" spans="1:15" x14ac:dyDescent="0.2">
      <c r="A11" s="37">
        <v>1320</v>
      </c>
      <c r="B11" s="55">
        <v>36</v>
      </c>
      <c r="C11" s="56" t="s">
        <v>23</v>
      </c>
      <c r="D11" s="57">
        <f>'Headloss Calcs'!$A$33</f>
        <v>13</v>
      </c>
      <c r="E11" s="53">
        <f t="shared" si="0"/>
        <v>20.115369380075261</v>
      </c>
      <c r="F11" s="38">
        <f>'Headloss Calcs'!$E$18</f>
        <v>140</v>
      </c>
      <c r="G11" s="53">
        <f t="shared" si="1"/>
        <v>7.0686</v>
      </c>
      <c r="H11" s="53">
        <f t="shared" si="2"/>
        <v>9.4247999999999994</v>
      </c>
      <c r="I11" s="53">
        <f t="shared" si="3"/>
        <v>0.75</v>
      </c>
      <c r="J11" s="53">
        <f t="shared" si="4"/>
        <v>2.8457359845054553</v>
      </c>
      <c r="K11" s="53">
        <f t="shared" si="5"/>
        <v>0.82086109777408645</v>
      </c>
      <c r="L11" s="53"/>
      <c r="M11" s="58">
        <f t="shared" si="6"/>
        <v>0</v>
      </c>
      <c r="N11" s="58">
        <f t="shared" si="7"/>
        <v>0.82086109777408645</v>
      </c>
      <c r="O11" s="59">
        <f t="shared" si="8"/>
        <v>3.4720673715352257</v>
      </c>
    </row>
    <row r="12" spans="1:15" x14ac:dyDescent="0.2">
      <c r="A12" s="37"/>
      <c r="B12" s="55">
        <v>36</v>
      </c>
      <c r="C12" s="56" t="s">
        <v>48</v>
      </c>
      <c r="D12" s="57">
        <f>'Headloss Calcs'!$A$33</f>
        <v>13</v>
      </c>
      <c r="E12" s="53">
        <f t="shared" si="0"/>
        <v>20.115369380075261</v>
      </c>
      <c r="F12" s="38">
        <f>'Headloss Calcs'!$E$18</f>
        <v>140</v>
      </c>
      <c r="G12" s="53">
        <f t="shared" si="1"/>
        <v>7.0686</v>
      </c>
      <c r="H12" s="53">
        <f t="shared" si="2"/>
        <v>9.4247999999999994</v>
      </c>
      <c r="I12" s="53">
        <f t="shared" si="3"/>
        <v>0.75</v>
      </c>
      <c r="J12" s="53">
        <f t="shared" si="4"/>
        <v>2.8457359845054553</v>
      </c>
      <c r="K12" s="53">
        <f t="shared" si="5"/>
        <v>0</v>
      </c>
      <c r="L12" s="53">
        <v>0.4</v>
      </c>
      <c r="M12" s="58">
        <f t="shared" si="6"/>
        <v>5.0299461450367906E-2</v>
      </c>
      <c r="N12" s="58">
        <f t="shared" si="7"/>
        <v>5.0299461450367906E-2</v>
      </c>
      <c r="O12" s="59">
        <f t="shared" si="8"/>
        <v>3.5223668329855937</v>
      </c>
    </row>
    <row r="13" spans="1:15" x14ac:dyDescent="0.2">
      <c r="A13" s="37">
        <v>1320</v>
      </c>
      <c r="B13" s="55">
        <v>36</v>
      </c>
      <c r="C13" s="56" t="s">
        <v>23</v>
      </c>
      <c r="D13" s="57">
        <f>'Headloss Calcs'!$A$33</f>
        <v>13</v>
      </c>
      <c r="E13" s="53">
        <f t="shared" si="0"/>
        <v>20.115369380075261</v>
      </c>
      <c r="F13" s="38">
        <f>'Headloss Calcs'!$E$18</f>
        <v>140</v>
      </c>
      <c r="G13" s="53">
        <f t="shared" si="1"/>
        <v>7.0686</v>
      </c>
      <c r="H13" s="53">
        <f t="shared" si="2"/>
        <v>9.4247999999999994</v>
      </c>
      <c r="I13" s="53">
        <f t="shared" si="3"/>
        <v>0.75</v>
      </c>
      <c r="J13" s="53">
        <f t="shared" si="4"/>
        <v>2.8457359845054553</v>
      </c>
      <c r="K13" s="53">
        <f t="shared" si="5"/>
        <v>0.82086109777408645</v>
      </c>
      <c r="L13" s="53"/>
      <c r="M13" s="58">
        <f t="shared" si="6"/>
        <v>0</v>
      </c>
      <c r="N13" s="58">
        <f t="shared" si="7"/>
        <v>0.82086109777408645</v>
      </c>
      <c r="O13" s="59">
        <f t="shared" si="8"/>
        <v>4.3432279307596797</v>
      </c>
    </row>
    <row r="14" spans="1:15" x14ac:dyDescent="0.2">
      <c r="A14" s="37"/>
      <c r="B14" s="55">
        <v>36</v>
      </c>
      <c r="C14" s="56" t="s">
        <v>39</v>
      </c>
      <c r="D14" s="57">
        <f>'Headloss Calcs'!$A$33</f>
        <v>13</v>
      </c>
      <c r="E14" s="53">
        <f t="shared" si="0"/>
        <v>20.115369380075261</v>
      </c>
      <c r="F14" s="38">
        <f>'Headloss Calcs'!$E$18</f>
        <v>140</v>
      </c>
      <c r="G14" s="53">
        <f t="shared" si="1"/>
        <v>7.0686</v>
      </c>
      <c r="H14" s="53">
        <f t="shared" si="2"/>
        <v>9.4247999999999994</v>
      </c>
      <c r="I14" s="53">
        <f t="shared" si="3"/>
        <v>0.75</v>
      </c>
      <c r="J14" s="53">
        <f t="shared" si="4"/>
        <v>2.8457359845054553</v>
      </c>
      <c r="K14" s="53">
        <f t="shared" si="5"/>
        <v>0</v>
      </c>
      <c r="L14" s="53">
        <v>0.4</v>
      </c>
      <c r="M14" s="58">
        <f t="shared" si="6"/>
        <v>5.0299461450367906E-2</v>
      </c>
      <c r="N14" s="58">
        <f t="shared" si="7"/>
        <v>5.0299461450367906E-2</v>
      </c>
      <c r="O14" s="59">
        <f t="shared" si="8"/>
        <v>4.3935273922100473</v>
      </c>
    </row>
    <row r="15" spans="1:15" x14ac:dyDescent="0.2">
      <c r="A15" s="37">
        <v>1320</v>
      </c>
      <c r="B15" s="55">
        <v>36</v>
      </c>
      <c r="C15" s="56" t="s">
        <v>23</v>
      </c>
      <c r="D15" s="57">
        <f>'Headloss Calcs'!$A$33</f>
        <v>13</v>
      </c>
      <c r="E15" s="53">
        <f t="shared" si="0"/>
        <v>20.115369380075261</v>
      </c>
      <c r="F15" s="38">
        <f>'Headloss Calcs'!$E$18</f>
        <v>140</v>
      </c>
      <c r="G15" s="53">
        <f t="shared" si="1"/>
        <v>7.0686</v>
      </c>
      <c r="H15" s="53">
        <f t="shared" si="2"/>
        <v>9.4247999999999994</v>
      </c>
      <c r="I15" s="53">
        <f t="shared" si="3"/>
        <v>0.75</v>
      </c>
      <c r="J15" s="53">
        <f t="shared" si="4"/>
        <v>2.8457359845054553</v>
      </c>
      <c r="K15" s="53">
        <f t="shared" si="5"/>
        <v>0.82086109777408645</v>
      </c>
      <c r="L15" s="53"/>
      <c r="M15" s="58">
        <f t="shared" si="6"/>
        <v>0</v>
      </c>
      <c r="N15" s="58">
        <f t="shared" si="7"/>
        <v>0.82086109777408645</v>
      </c>
      <c r="O15" s="59">
        <f t="shared" si="8"/>
        <v>5.2143884899841337</v>
      </c>
    </row>
    <row r="16" spans="1:15" x14ac:dyDescent="0.2">
      <c r="A16" s="37"/>
      <c r="B16" s="55">
        <v>36</v>
      </c>
      <c r="C16" s="56" t="s">
        <v>45</v>
      </c>
      <c r="D16" s="57">
        <f>'Headloss Calcs'!$A$33</f>
        <v>13</v>
      </c>
      <c r="E16" s="53">
        <f t="shared" si="0"/>
        <v>20.115369380075261</v>
      </c>
      <c r="F16" s="38">
        <f>'Headloss Calcs'!$E$18</f>
        <v>140</v>
      </c>
      <c r="G16" s="53">
        <f t="shared" si="1"/>
        <v>7.0686</v>
      </c>
      <c r="H16" s="53">
        <f t="shared" si="2"/>
        <v>9.4247999999999994</v>
      </c>
      <c r="I16" s="53">
        <f t="shared" si="3"/>
        <v>0.75</v>
      </c>
      <c r="J16" s="53">
        <f t="shared" si="4"/>
        <v>2.8457359845054553</v>
      </c>
      <c r="K16" s="53">
        <f t="shared" si="5"/>
        <v>0</v>
      </c>
      <c r="L16" s="53">
        <v>0.2</v>
      </c>
      <c r="M16" s="58">
        <f t="shared" si="6"/>
        <v>2.5149730725183953E-2</v>
      </c>
      <c r="N16" s="58">
        <f t="shared" si="7"/>
        <v>2.5149730725183953E-2</v>
      </c>
      <c r="O16" s="59">
        <f t="shared" si="8"/>
        <v>5.239538220709318</v>
      </c>
    </row>
    <row r="17" spans="1:15" x14ac:dyDescent="0.2">
      <c r="A17" s="37">
        <v>1320</v>
      </c>
      <c r="B17" s="55">
        <v>36</v>
      </c>
      <c r="C17" s="56" t="s">
        <v>23</v>
      </c>
      <c r="D17" s="57">
        <f>'Headloss Calcs'!$A$33</f>
        <v>13</v>
      </c>
      <c r="E17" s="53">
        <f t="shared" si="0"/>
        <v>20.115369380075261</v>
      </c>
      <c r="F17" s="38">
        <f>'Headloss Calcs'!$E$18</f>
        <v>140</v>
      </c>
      <c r="G17" s="53">
        <f t="shared" si="1"/>
        <v>7.0686</v>
      </c>
      <c r="H17" s="53">
        <f t="shared" si="2"/>
        <v>9.4247999999999994</v>
      </c>
      <c r="I17" s="53">
        <f t="shared" si="3"/>
        <v>0.75</v>
      </c>
      <c r="J17" s="53">
        <f t="shared" si="4"/>
        <v>2.8457359845054553</v>
      </c>
      <c r="K17" s="53">
        <f t="shared" si="5"/>
        <v>0.82086109777408645</v>
      </c>
      <c r="L17" s="53"/>
      <c r="M17" s="58">
        <f t="shared" si="6"/>
        <v>0</v>
      </c>
      <c r="N17" s="58">
        <f t="shared" si="7"/>
        <v>0.82086109777408645</v>
      </c>
      <c r="O17" s="59">
        <f t="shared" si="8"/>
        <v>6.0603993184834044</v>
      </c>
    </row>
    <row r="18" spans="1:15" ht="12" customHeight="1" x14ac:dyDescent="0.2">
      <c r="A18" s="37"/>
      <c r="B18" s="55">
        <v>36</v>
      </c>
      <c r="C18" s="56" t="s">
        <v>44</v>
      </c>
      <c r="D18" s="57">
        <f>'Headloss Calcs'!$A$33</f>
        <v>13</v>
      </c>
      <c r="E18" s="53">
        <f t="shared" si="0"/>
        <v>20.115369380075261</v>
      </c>
      <c r="F18" s="38">
        <f>'Headloss Calcs'!$E$18</f>
        <v>140</v>
      </c>
      <c r="G18" s="53">
        <f t="shared" si="1"/>
        <v>7.0686</v>
      </c>
      <c r="H18" s="53">
        <f t="shared" si="2"/>
        <v>9.4247999999999994</v>
      </c>
      <c r="I18" s="53">
        <f t="shared" si="3"/>
        <v>0.75</v>
      </c>
      <c r="J18" s="53">
        <f t="shared" si="4"/>
        <v>2.8457359845054553</v>
      </c>
      <c r="K18" s="53">
        <f t="shared" si="5"/>
        <v>0</v>
      </c>
      <c r="L18" s="53">
        <v>1</v>
      </c>
      <c r="M18" s="58">
        <f t="shared" si="6"/>
        <v>0.12574865362591975</v>
      </c>
      <c r="N18" s="58">
        <f t="shared" si="7"/>
        <v>0.12574865362591975</v>
      </c>
      <c r="O18" s="59">
        <f t="shared" si="8"/>
        <v>6.1861479721093238</v>
      </c>
    </row>
    <row r="19" spans="1:15" ht="13.5" thickBot="1" x14ac:dyDescent="0.25">
      <c r="A19" s="39"/>
      <c r="B19" s="40"/>
      <c r="C19" s="41"/>
      <c r="D19" s="40"/>
      <c r="E19" s="42"/>
      <c r="F19" s="40"/>
      <c r="G19" s="54"/>
      <c r="H19" s="54"/>
      <c r="I19" s="54"/>
      <c r="J19" s="54"/>
      <c r="K19" s="54"/>
      <c r="L19" s="54"/>
      <c r="M19" s="60"/>
      <c r="N19" s="60" t="s">
        <v>40</v>
      </c>
      <c r="O19" s="61">
        <f>O18</f>
        <v>6.1861479721093238</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Calcs'!$A$33</f>
        <v>13</v>
      </c>
      <c r="E22" s="53">
        <f t="shared" ref="E22:E37" si="9">D22*1000000/(7.48*24*60*60)</f>
        <v>20.115369380075261</v>
      </c>
      <c r="F22" s="38">
        <f>'Headloss Calcs'!$H$18</f>
        <v>100</v>
      </c>
      <c r="G22" s="53">
        <f t="shared" ref="G22:G37" si="10">3.1416/4*(B22/12)^2</f>
        <v>7.0686</v>
      </c>
      <c r="H22" s="53">
        <f t="shared" ref="H22:H37" si="11">3.1416*(B22/12)</f>
        <v>9.4247999999999994</v>
      </c>
      <c r="I22" s="53">
        <f t="shared" ref="I22:I37" si="12">G22/H22</f>
        <v>0.75</v>
      </c>
      <c r="J22" s="53">
        <f t="shared" ref="J22:J37" si="13">E22/G22</f>
        <v>2.8457359845054553</v>
      </c>
      <c r="K22" s="53">
        <f t="shared" ref="K22:K37" si="14">(J22/(1.318*F22*I22^0.63))^1.85*A22</f>
        <v>0</v>
      </c>
      <c r="L22" s="53">
        <v>0.25</v>
      </c>
      <c r="M22" s="58">
        <f t="shared" ref="M22:M37" si="15">L22*(J22^2)/(2*32.2)</f>
        <v>3.1437163406479937E-2</v>
      </c>
      <c r="N22" s="58">
        <f t="shared" ref="N22:N37" si="16">K22+M22</f>
        <v>3.1437163406479937E-2</v>
      </c>
      <c r="O22" s="59">
        <f>N22</f>
        <v>3.1437163406479937E-2</v>
      </c>
    </row>
    <row r="23" spans="1:15" x14ac:dyDescent="0.2">
      <c r="A23" s="37"/>
      <c r="B23" s="55">
        <v>36</v>
      </c>
      <c r="C23" s="56" t="s">
        <v>47</v>
      </c>
      <c r="D23" s="57">
        <f>'Headloss Calcs'!$A$33</f>
        <v>13</v>
      </c>
      <c r="E23" s="53">
        <f t="shared" si="9"/>
        <v>20.115369380075261</v>
      </c>
      <c r="F23" s="38">
        <f>'Headloss Calcs'!$H$18</f>
        <v>100</v>
      </c>
      <c r="G23" s="53">
        <f t="shared" si="10"/>
        <v>7.0686</v>
      </c>
      <c r="H23" s="53">
        <f t="shared" si="11"/>
        <v>9.4247999999999994</v>
      </c>
      <c r="I23" s="53">
        <f t="shared" si="12"/>
        <v>0.75</v>
      </c>
      <c r="J23" s="53">
        <f t="shared" si="13"/>
        <v>2.8457359845054553</v>
      </c>
      <c r="K23" s="53">
        <f t="shared" si="14"/>
        <v>0</v>
      </c>
      <c r="L23" s="53">
        <v>0.25</v>
      </c>
      <c r="M23" s="58">
        <f t="shared" si="15"/>
        <v>3.1437163406479937E-2</v>
      </c>
      <c r="N23" s="58">
        <f t="shared" si="16"/>
        <v>3.1437163406479937E-2</v>
      </c>
      <c r="O23" s="59">
        <f t="shared" ref="O23:O37" si="17">N23+O22</f>
        <v>6.2874326812959874E-2</v>
      </c>
    </row>
    <row r="24" spans="1:15" x14ac:dyDescent="0.2">
      <c r="A24" s="37">
        <v>1320</v>
      </c>
      <c r="B24" s="55">
        <v>36</v>
      </c>
      <c r="C24" s="56" t="s">
        <v>23</v>
      </c>
      <c r="D24" s="57">
        <f>'Headloss Calcs'!$A$33</f>
        <v>13</v>
      </c>
      <c r="E24" s="53">
        <f t="shared" si="9"/>
        <v>20.115369380075261</v>
      </c>
      <c r="F24" s="38">
        <f>'Headloss Calcs'!$H$18</f>
        <v>100</v>
      </c>
      <c r="G24" s="53">
        <f t="shared" si="10"/>
        <v>7.0686</v>
      </c>
      <c r="H24" s="53">
        <f t="shared" si="11"/>
        <v>9.4247999999999994</v>
      </c>
      <c r="I24" s="53">
        <f t="shared" si="12"/>
        <v>0.75</v>
      </c>
      <c r="J24" s="53">
        <f t="shared" si="13"/>
        <v>2.8457359845054553</v>
      </c>
      <c r="K24" s="53">
        <f t="shared" si="14"/>
        <v>1.5297009629854785</v>
      </c>
      <c r="L24" s="53"/>
      <c r="M24" s="58">
        <f t="shared" si="15"/>
        <v>0</v>
      </c>
      <c r="N24" s="58">
        <f t="shared" si="16"/>
        <v>1.5297009629854785</v>
      </c>
      <c r="O24" s="59">
        <f t="shared" si="17"/>
        <v>1.5925752897984384</v>
      </c>
    </row>
    <row r="25" spans="1:15" x14ac:dyDescent="0.2">
      <c r="A25" s="37"/>
      <c r="B25" s="55">
        <v>36</v>
      </c>
      <c r="C25" s="56" t="s">
        <v>45</v>
      </c>
      <c r="D25" s="57">
        <f>'Headloss Calcs'!$A$33</f>
        <v>13</v>
      </c>
      <c r="E25" s="53">
        <f t="shared" si="9"/>
        <v>20.115369380075261</v>
      </c>
      <c r="F25" s="38">
        <f>'Headloss Calcs'!$H$18</f>
        <v>100</v>
      </c>
      <c r="G25" s="53">
        <f t="shared" si="10"/>
        <v>7.0686</v>
      </c>
      <c r="H25" s="53">
        <f t="shared" si="11"/>
        <v>9.4247999999999994</v>
      </c>
      <c r="I25" s="53">
        <f t="shared" si="12"/>
        <v>0.75</v>
      </c>
      <c r="J25" s="53">
        <f t="shared" si="13"/>
        <v>2.8457359845054553</v>
      </c>
      <c r="K25" s="53">
        <f t="shared" si="14"/>
        <v>0</v>
      </c>
      <c r="L25" s="53">
        <v>0.2</v>
      </c>
      <c r="M25" s="58">
        <f t="shared" si="15"/>
        <v>2.5149730725183953E-2</v>
      </c>
      <c r="N25" s="58">
        <f t="shared" si="16"/>
        <v>2.5149730725183953E-2</v>
      </c>
      <c r="O25" s="59">
        <f t="shared" si="17"/>
        <v>1.6177250205236224</v>
      </c>
    </row>
    <row r="26" spans="1:15" x14ac:dyDescent="0.2">
      <c r="A26" s="37">
        <v>1320</v>
      </c>
      <c r="B26" s="55">
        <v>36</v>
      </c>
      <c r="C26" s="69" t="s">
        <v>23</v>
      </c>
      <c r="D26" s="57">
        <f>'Headloss Calcs'!$A$33</f>
        <v>13</v>
      </c>
      <c r="E26" s="53">
        <f t="shared" si="9"/>
        <v>20.115369380075261</v>
      </c>
      <c r="F26" s="38">
        <f>'Headloss Calcs'!$H$18</f>
        <v>100</v>
      </c>
      <c r="G26" s="53">
        <f t="shared" si="10"/>
        <v>7.0686</v>
      </c>
      <c r="H26" s="53">
        <f t="shared" si="11"/>
        <v>9.4247999999999994</v>
      </c>
      <c r="I26" s="53">
        <f t="shared" si="12"/>
        <v>0.75</v>
      </c>
      <c r="J26" s="53">
        <f t="shared" si="13"/>
        <v>2.8457359845054553</v>
      </c>
      <c r="K26" s="53">
        <f t="shared" si="14"/>
        <v>1.5297009629854785</v>
      </c>
      <c r="L26" s="53"/>
      <c r="M26" s="58">
        <f t="shared" si="15"/>
        <v>0</v>
      </c>
      <c r="N26" s="58">
        <f t="shared" si="16"/>
        <v>1.5297009629854785</v>
      </c>
      <c r="O26" s="59">
        <f t="shared" si="17"/>
        <v>3.147425983509101</v>
      </c>
    </row>
    <row r="27" spans="1:15" x14ac:dyDescent="0.2">
      <c r="A27" s="37"/>
      <c r="B27" s="55">
        <v>36</v>
      </c>
      <c r="C27" s="56" t="s">
        <v>39</v>
      </c>
      <c r="D27" s="57">
        <f>'Headloss Calcs'!$A$33</f>
        <v>13</v>
      </c>
      <c r="E27" s="53">
        <f t="shared" si="9"/>
        <v>20.115369380075261</v>
      </c>
      <c r="F27" s="38">
        <f>'Headloss Calcs'!$H$18</f>
        <v>100</v>
      </c>
      <c r="G27" s="53">
        <f t="shared" si="10"/>
        <v>7.0686</v>
      </c>
      <c r="H27" s="53">
        <f t="shared" si="11"/>
        <v>9.4247999999999994</v>
      </c>
      <c r="I27" s="53">
        <f t="shared" si="12"/>
        <v>0.75</v>
      </c>
      <c r="J27" s="53">
        <f t="shared" si="13"/>
        <v>2.8457359845054553</v>
      </c>
      <c r="K27" s="53">
        <f t="shared" si="14"/>
        <v>0</v>
      </c>
      <c r="L27" s="53">
        <v>0.4</v>
      </c>
      <c r="M27" s="58">
        <f t="shared" si="15"/>
        <v>5.0299461450367906E-2</v>
      </c>
      <c r="N27" s="58">
        <f t="shared" si="16"/>
        <v>5.0299461450367906E-2</v>
      </c>
      <c r="O27" s="59">
        <f t="shared" si="17"/>
        <v>3.197725444959469</v>
      </c>
    </row>
    <row r="28" spans="1:15" x14ac:dyDescent="0.2">
      <c r="A28" s="37">
        <v>1320</v>
      </c>
      <c r="B28" s="55">
        <v>36</v>
      </c>
      <c r="C28" s="56" t="s">
        <v>23</v>
      </c>
      <c r="D28" s="57">
        <f>'Headloss Calcs'!$A$33</f>
        <v>13</v>
      </c>
      <c r="E28" s="53">
        <f t="shared" si="9"/>
        <v>20.115369380075261</v>
      </c>
      <c r="F28" s="38">
        <f>'Headloss Calcs'!$H$18</f>
        <v>100</v>
      </c>
      <c r="G28" s="53">
        <f t="shared" si="10"/>
        <v>7.0686</v>
      </c>
      <c r="H28" s="53">
        <f t="shared" si="11"/>
        <v>9.4247999999999994</v>
      </c>
      <c r="I28" s="53">
        <f t="shared" si="12"/>
        <v>0.75</v>
      </c>
      <c r="J28" s="53">
        <f t="shared" si="13"/>
        <v>2.8457359845054553</v>
      </c>
      <c r="K28" s="53">
        <f t="shared" si="14"/>
        <v>1.5297009629854785</v>
      </c>
      <c r="L28" s="53"/>
      <c r="M28" s="58">
        <f t="shared" si="15"/>
        <v>0</v>
      </c>
      <c r="N28" s="58">
        <f t="shared" si="16"/>
        <v>1.5297009629854785</v>
      </c>
      <c r="O28" s="59">
        <f t="shared" si="17"/>
        <v>4.7274264079449475</v>
      </c>
    </row>
    <row r="29" spans="1:15" x14ac:dyDescent="0.2">
      <c r="A29" s="37"/>
      <c r="B29" s="55">
        <v>36</v>
      </c>
      <c r="C29" s="56" t="s">
        <v>39</v>
      </c>
      <c r="D29" s="57">
        <f>'Headloss Calcs'!$A$33</f>
        <v>13</v>
      </c>
      <c r="E29" s="53">
        <f t="shared" si="9"/>
        <v>20.115369380075261</v>
      </c>
      <c r="F29" s="38">
        <f>'Headloss Calcs'!$H$18</f>
        <v>100</v>
      </c>
      <c r="G29" s="53">
        <f t="shared" si="10"/>
        <v>7.0686</v>
      </c>
      <c r="H29" s="53">
        <f t="shared" si="11"/>
        <v>9.4247999999999994</v>
      </c>
      <c r="I29" s="53">
        <f t="shared" si="12"/>
        <v>0.75</v>
      </c>
      <c r="J29" s="53">
        <f t="shared" si="13"/>
        <v>2.8457359845054553</v>
      </c>
      <c r="K29" s="53">
        <f t="shared" si="14"/>
        <v>0</v>
      </c>
      <c r="L29" s="53">
        <v>0.4</v>
      </c>
      <c r="M29" s="58">
        <f t="shared" si="15"/>
        <v>5.0299461450367906E-2</v>
      </c>
      <c r="N29" s="58">
        <f t="shared" si="16"/>
        <v>5.0299461450367906E-2</v>
      </c>
      <c r="O29" s="59">
        <f t="shared" si="17"/>
        <v>4.7777258693953151</v>
      </c>
    </row>
    <row r="30" spans="1:15" x14ac:dyDescent="0.2">
      <c r="A30" s="37">
        <v>1320</v>
      </c>
      <c r="B30" s="55">
        <v>36</v>
      </c>
      <c r="C30" s="56" t="s">
        <v>23</v>
      </c>
      <c r="D30" s="57">
        <f>'Headloss Calcs'!$A$33</f>
        <v>13</v>
      </c>
      <c r="E30" s="53">
        <f t="shared" si="9"/>
        <v>20.115369380075261</v>
      </c>
      <c r="F30" s="38">
        <f>'Headloss Calcs'!$H$18</f>
        <v>100</v>
      </c>
      <c r="G30" s="53">
        <f t="shared" si="10"/>
        <v>7.0686</v>
      </c>
      <c r="H30" s="53">
        <f t="shared" si="11"/>
        <v>9.4247999999999994</v>
      </c>
      <c r="I30" s="53">
        <f t="shared" si="12"/>
        <v>0.75</v>
      </c>
      <c r="J30" s="53">
        <f t="shared" si="13"/>
        <v>2.8457359845054553</v>
      </c>
      <c r="K30" s="53">
        <f t="shared" si="14"/>
        <v>1.5297009629854785</v>
      </c>
      <c r="L30" s="53"/>
      <c r="M30" s="58">
        <f t="shared" si="15"/>
        <v>0</v>
      </c>
      <c r="N30" s="58">
        <f t="shared" si="16"/>
        <v>1.5297009629854785</v>
      </c>
      <c r="O30" s="59">
        <f t="shared" si="17"/>
        <v>6.3074268323807932</v>
      </c>
    </row>
    <row r="31" spans="1:15" x14ac:dyDescent="0.2">
      <c r="A31" s="37"/>
      <c r="B31" s="55">
        <v>36</v>
      </c>
      <c r="C31" s="56" t="s">
        <v>48</v>
      </c>
      <c r="D31" s="57">
        <f>'Headloss Calcs'!$A$33</f>
        <v>13</v>
      </c>
      <c r="E31" s="53">
        <f t="shared" si="9"/>
        <v>20.115369380075261</v>
      </c>
      <c r="F31" s="38">
        <f>'Headloss Calcs'!$H$18</f>
        <v>100</v>
      </c>
      <c r="G31" s="53">
        <f t="shared" si="10"/>
        <v>7.0686</v>
      </c>
      <c r="H31" s="53">
        <f t="shared" si="11"/>
        <v>9.4247999999999994</v>
      </c>
      <c r="I31" s="53">
        <f t="shared" si="12"/>
        <v>0.75</v>
      </c>
      <c r="J31" s="53">
        <f t="shared" si="13"/>
        <v>2.8457359845054553</v>
      </c>
      <c r="K31" s="53">
        <f t="shared" si="14"/>
        <v>0</v>
      </c>
      <c r="L31" s="53">
        <v>0.4</v>
      </c>
      <c r="M31" s="58">
        <f t="shared" si="15"/>
        <v>5.0299461450367906E-2</v>
      </c>
      <c r="N31" s="58">
        <f t="shared" si="16"/>
        <v>5.0299461450367906E-2</v>
      </c>
      <c r="O31" s="59">
        <f t="shared" si="17"/>
        <v>6.3577262938311607</v>
      </c>
    </row>
    <row r="32" spans="1:15" x14ac:dyDescent="0.2">
      <c r="A32" s="37">
        <v>1320</v>
      </c>
      <c r="B32" s="55">
        <v>36</v>
      </c>
      <c r="C32" s="56" t="s">
        <v>23</v>
      </c>
      <c r="D32" s="57">
        <f>'Headloss Calcs'!$A$33</f>
        <v>13</v>
      </c>
      <c r="E32" s="53">
        <f t="shared" si="9"/>
        <v>20.115369380075261</v>
      </c>
      <c r="F32" s="38">
        <f>'Headloss Calcs'!$H$18</f>
        <v>100</v>
      </c>
      <c r="G32" s="53">
        <f t="shared" si="10"/>
        <v>7.0686</v>
      </c>
      <c r="H32" s="53">
        <f t="shared" si="11"/>
        <v>9.4247999999999994</v>
      </c>
      <c r="I32" s="53">
        <f t="shared" si="12"/>
        <v>0.75</v>
      </c>
      <c r="J32" s="53">
        <f t="shared" si="13"/>
        <v>2.8457359845054553</v>
      </c>
      <c r="K32" s="53">
        <f t="shared" si="14"/>
        <v>1.5297009629854785</v>
      </c>
      <c r="L32" s="53"/>
      <c r="M32" s="58">
        <f t="shared" si="15"/>
        <v>0</v>
      </c>
      <c r="N32" s="58">
        <f t="shared" si="16"/>
        <v>1.5297009629854785</v>
      </c>
      <c r="O32" s="59">
        <f t="shared" si="17"/>
        <v>7.8874272568166397</v>
      </c>
    </row>
    <row r="33" spans="1:15" x14ac:dyDescent="0.2">
      <c r="A33" s="37"/>
      <c r="B33" s="55">
        <v>36</v>
      </c>
      <c r="C33" s="56" t="s">
        <v>39</v>
      </c>
      <c r="D33" s="57">
        <f>'Headloss Calcs'!$A$33</f>
        <v>13</v>
      </c>
      <c r="E33" s="53">
        <f t="shared" si="9"/>
        <v>20.115369380075261</v>
      </c>
      <c r="F33" s="38">
        <f>'Headloss Calcs'!$H$18</f>
        <v>100</v>
      </c>
      <c r="G33" s="53">
        <f t="shared" si="10"/>
        <v>7.0686</v>
      </c>
      <c r="H33" s="53">
        <f t="shared" si="11"/>
        <v>9.4247999999999994</v>
      </c>
      <c r="I33" s="53">
        <f t="shared" si="12"/>
        <v>0.75</v>
      </c>
      <c r="J33" s="53">
        <f t="shared" si="13"/>
        <v>2.8457359845054553</v>
      </c>
      <c r="K33" s="53">
        <f t="shared" si="14"/>
        <v>0</v>
      </c>
      <c r="L33" s="53">
        <v>0.4</v>
      </c>
      <c r="M33" s="58">
        <f t="shared" si="15"/>
        <v>5.0299461450367906E-2</v>
      </c>
      <c r="N33" s="58">
        <f t="shared" si="16"/>
        <v>5.0299461450367906E-2</v>
      </c>
      <c r="O33" s="59">
        <f t="shared" si="17"/>
        <v>7.9377267182670073</v>
      </c>
    </row>
    <row r="34" spans="1:15" x14ac:dyDescent="0.2">
      <c r="A34" s="37">
        <v>1320</v>
      </c>
      <c r="B34" s="55">
        <v>36</v>
      </c>
      <c r="C34" s="56" t="s">
        <v>23</v>
      </c>
      <c r="D34" s="57">
        <f>'Headloss Calcs'!$A$33</f>
        <v>13</v>
      </c>
      <c r="E34" s="53">
        <f t="shared" si="9"/>
        <v>20.115369380075261</v>
      </c>
      <c r="F34" s="38">
        <f>'Headloss Calcs'!$H$18</f>
        <v>100</v>
      </c>
      <c r="G34" s="53">
        <f t="shared" si="10"/>
        <v>7.0686</v>
      </c>
      <c r="H34" s="53">
        <f t="shared" si="11"/>
        <v>9.4247999999999994</v>
      </c>
      <c r="I34" s="53">
        <f t="shared" si="12"/>
        <v>0.75</v>
      </c>
      <c r="J34" s="53">
        <f t="shared" si="13"/>
        <v>2.8457359845054553</v>
      </c>
      <c r="K34" s="53">
        <f t="shared" si="14"/>
        <v>1.5297009629854785</v>
      </c>
      <c r="L34" s="53"/>
      <c r="M34" s="58">
        <f t="shared" si="15"/>
        <v>0</v>
      </c>
      <c r="N34" s="58">
        <f t="shared" si="16"/>
        <v>1.5297009629854785</v>
      </c>
      <c r="O34" s="59">
        <f t="shared" si="17"/>
        <v>9.4674276812524862</v>
      </c>
    </row>
    <row r="35" spans="1:15" x14ac:dyDescent="0.2">
      <c r="A35" s="37"/>
      <c r="B35" s="55">
        <v>36</v>
      </c>
      <c r="C35" s="56" t="s">
        <v>45</v>
      </c>
      <c r="D35" s="57">
        <f>'Headloss Calcs'!$A$33</f>
        <v>13</v>
      </c>
      <c r="E35" s="53">
        <f t="shared" si="9"/>
        <v>20.115369380075261</v>
      </c>
      <c r="F35" s="38">
        <f>'Headloss Calcs'!$H$18</f>
        <v>100</v>
      </c>
      <c r="G35" s="53">
        <f t="shared" si="10"/>
        <v>7.0686</v>
      </c>
      <c r="H35" s="53">
        <f t="shared" si="11"/>
        <v>9.4247999999999994</v>
      </c>
      <c r="I35" s="53">
        <f t="shared" si="12"/>
        <v>0.75</v>
      </c>
      <c r="J35" s="53">
        <f t="shared" si="13"/>
        <v>2.8457359845054553</v>
      </c>
      <c r="K35" s="53">
        <f t="shared" si="14"/>
        <v>0</v>
      </c>
      <c r="L35" s="53">
        <v>0.2</v>
      </c>
      <c r="M35" s="58">
        <f t="shared" si="15"/>
        <v>2.5149730725183953E-2</v>
      </c>
      <c r="N35" s="58">
        <f t="shared" si="16"/>
        <v>2.5149730725183953E-2</v>
      </c>
      <c r="O35" s="59">
        <f t="shared" si="17"/>
        <v>9.4925774119776705</v>
      </c>
    </row>
    <row r="36" spans="1:15" x14ac:dyDescent="0.2">
      <c r="A36" s="37">
        <v>1320</v>
      </c>
      <c r="B36" s="55">
        <v>36</v>
      </c>
      <c r="C36" s="56" t="s">
        <v>23</v>
      </c>
      <c r="D36" s="57">
        <f>'Headloss Calcs'!$A$33</f>
        <v>13</v>
      </c>
      <c r="E36" s="53">
        <f t="shared" si="9"/>
        <v>20.115369380075261</v>
      </c>
      <c r="F36" s="38">
        <f>'Headloss Calcs'!$H$18</f>
        <v>100</v>
      </c>
      <c r="G36" s="53">
        <f t="shared" si="10"/>
        <v>7.0686</v>
      </c>
      <c r="H36" s="53">
        <f t="shared" si="11"/>
        <v>9.4247999999999994</v>
      </c>
      <c r="I36" s="53">
        <f t="shared" si="12"/>
        <v>0.75</v>
      </c>
      <c r="J36" s="53">
        <f t="shared" si="13"/>
        <v>2.8457359845054553</v>
      </c>
      <c r="K36" s="53">
        <f t="shared" si="14"/>
        <v>1.5297009629854785</v>
      </c>
      <c r="L36" s="53"/>
      <c r="M36" s="58">
        <f t="shared" si="15"/>
        <v>0</v>
      </c>
      <c r="N36" s="58">
        <f t="shared" si="16"/>
        <v>1.5297009629854785</v>
      </c>
      <c r="O36" s="59">
        <f t="shared" si="17"/>
        <v>11.022278374963149</v>
      </c>
    </row>
    <row r="37" spans="1:15" ht="12" customHeight="1" x14ac:dyDescent="0.2">
      <c r="A37" s="37"/>
      <c r="B37" s="55">
        <v>36</v>
      </c>
      <c r="C37" s="56" t="s">
        <v>44</v>
      </c>
      <c r="D37" s="57">
        <f>'Headloss Calcs'!$A$33</f>
        <v>13</v>
      </c>
      <c r="E37" s="53">
        <f t="shared" si="9"/>
        <v>20.115369380075261</v>
      </c>
      <c r="F37" s="38">
        <f>'Headloss Calcs'!$H$18</f>
        <v>100</v>
      </c>
      <c r="G37" s="53">
        <f t="shared" si="10"/>
        <v>7.0686</v>
      </c>
      <c r="H37" s="53">
        <f t="shared" si="11"/>
        <v>9.4247999999999994</v>
      </c>
      <c r="I37" s="53">
        <f t="shared" si="12"/>
        <v>0.75</v>
      </c>
      <c r="J37" s="53">
        <f t="shared" si="13"/>
        <v>2.8457359845054553</v>
      </c>
      <c r="K37" s="53">
        <f t="shared" si="14"/>
        <v>0</v>
      </c>
      <c r="L37" s="53">
        <v>1</v>
      </c>
      <c r="M37" s="58">
        <f t="shared" si="15"/>
        <v>0.12574865362591975</v>
      </c>
      <c r="N37" s="58">
        <f t="shared" si="16"/>
        <v>0.12574865362591975</v>
      </c>
      <c r="O37" s="59">
        <f t="shared" si="17"/>
        <v>11.148027028589068</v>
      </c>
    </row>
    <row r="38" spans="1:15" ht="13.5" thickBot="1" x14ac:dyDescent="0.25">
      <c r="A38" s="39"/>
      <c r="B38" s="40"/>
      <c r="C38" s="41"/>
      <c r="D38" s="40"/>
      <c r="E38" s="42"/>
      <c r="F38" s="40"/>
      <c r="G38" s="54"/>
      <c r="H38" s="54"/>
      <c r="I38" s="54"/>
      <c r="J38" s="54"/>
      <c r="K38" s="54"/>
      <c r="L38" s="54"/>
      <c r="M38" s="60"/>
      <c r="N38" s="60" t="s">
        <v>40</v>
      </c>
      <c r="O38" s="61">
        <f>O37</f>
        <v>11.148027028589068</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Calcs'!$A$34</f>
        <v>14</v>
      </c>
      <c r="E3" s="53">
        <f t="shared" ref="E3:E18" si="0">D3*1000000/(7.48*24*60*60)</f>
        <v>21.662705486234898</v>
      </c>
      <c r="F3" s="38">
        <f>'Headloss Calcs'!$E$18</f>
        <v>140</v>
      </c>
      <c r="G3" s="53">
        <f t="shared" ref="G3:G18" si="1">3.1416/4*(B3/12)^2</f>
        <v>7.0686</v>
      </c>
      <c r="H3" s="53">
        <f t="shared" ref="H3:H18" si="2">3.1416*(B3/12)</f>
        <v>9.4247999999999994</v>
      </c>
      <c r="I3" s="53">
        <f t="shared" ref="I3:I18" si="3">G3/H3</f>
        <v>0.75</v>
      </c>
      <c r="J3" s="53">
        <f t="shared" ref="J3:J18" si="4">E3/G3</f>
        <v>3.0646387525443366</v>
      </c>
      <c r="K3" s="53">
        <f t="shared" ref="K3:K18" si="5">(J3/(1.318*F3*I3^0.63))^1.85*A3</f>
        <v>0</v>
      </c>
      <c r="L3" s="53">
        <v>0.25</v>
      </c>
      <c r="M3" s="58">
        <f t="shared" ref="M3:M18" si="6">L3*(J3^2)/(2*32.2)</f>
        <v>3.6459668802781474E-2</v>
      </c>
      <c r="N3" s="58">
        <f t="shared" ref="N3:N18" si="7">K3+M3</f>
        <v>3.6459668802781474E-2</v>
      </c>
      <c r="O3" s="59">
        <f>N3</f>
        <v>3.6459668802781474E-2</v>
      </c>
    </row>
    <row r="4" spans="1:15" x14ac:dyDescent="0.2">
      <c r="A4" s="37"/>
      <c r="B4" s="55">
        <v>36</v>
      </c>
      <c r="C4" s="56" t="s">
        <v>47</v>
      </c>
      <c r="D4" s="57">
        <f>'Headloss Calcs'!$A$34</f>
        <v>14</v>
      </c>
      <c r="E4" s="53">
        <f t="shared" si="0"/>
        <v>21.662705486234898</v>
      </c>
      <c r="F4" s="38">
        <f>'Headloss Calcs'!$E$18</f>
        <v>140</v>
      </c>
      <c r="G4" s="53">
        <f t="shared" si="1"/>
        <v>7.0686</v>
      </c>
      <c r="H4" s="53">
        <f t="shared" si="2"/>
        <v>9.4247999999999994</v>
      </c>
      <c r="I4" s="53">
        <f t="shared" si="3"/>
        <v>0.75</v>
      </c>
      <c r="J4" s="53">
        <f t="shared" si="4"/>
        <v>3.0646387525443366</v>
      </c>
      <c r="K4" s="53">
        <f t="shared" si="5"/>
        <v>0</v>
      </c>
      <c r="L4" s="53">
        <v>0.25</v>
      </c>
      <c r="M4" s="58">
        <f t="shared" si="6"/>
        <v>3.6459668802781474E-2</v>
      </c>
      <c r="N4" s="58">
        <f t="shared" si="7"/>
        <v>3.6459668802781474E-2</v>
      </c>
      <c r="O4" s="59">
        <f t="shared" ref="O4:O18" si="8">N4+O3</f>
        <v>7.2919337605562948E-2</v>
      </c>
    </row>
    <row r="5" spans="1:15" x14ac:dyDescent="0.2">
      <c r="A5" s="37">
        <v>1320</v>
      </c>
      <c r="B5" s="55">
        <v>36</v>
      </c>
      <c r="C5" s="56" t="s">
        <v>23</v>
      </c>
      <c r="D5" s="57">
        <f>'Headloss Calcs'!$A$34</f>
        <v>14</v>
      </c>
      <c r="E5" s="53">
        <f t="shared" si="0"/>
        <v>21.662705486234898</v>
      </c>
      <c r="F5" s="38">
        <f>'Headloss Calcs'!$E$18</f>
        <v>140</v>
      </c>
      <c r="G5" s="53">
        <f t="shared" si="1"/>
        <v>7.0686</v>
      </c>
      <c r="H5" s="53">
        <f t="shared" si="2"/>
        <v>9.4247999999999994</v>
      </c>
      <c r="I5" s="53">
        <f t="shared" si="3"/>
        <v>0.75</v>
      </c>
      <c r="J5" s="53">
        <f t="shared" si="4"/>
        <v>3.0646387525443366</v>
      </c>
      <c r="K5" s="53">
        <f t="shared" si="5"/>
        <v>0.94148051952398137</v>
      </c>
      <c r="L5" s="53"/>
      <c r="M5" s="58">
        <f t="shared" si="6"/>
        <v>0</v>
      </c>
      <c r="N5" s="58">
        <f t="shared" si="7"/>
        <v>0.94148051952398137</v>
      </c>
      <c r="O5" s="59">
        <f t="shared" si="8"/>
        <v>1.0143998571295443</v>
      </c>
    </row>
    <row r="6" spans="1:15" x14ac:dyDescent="0.2">
      <c r="A6" s="37"/>
      <c r="B6" s="55">
        <v>36</v>
      </c>
      <c r="C6" s="56" t="s">
        <v>45</v>
      </c>
      <c r="D6" s="57">
        <f>'Headloss Calcs'!$A$34</f>
        <v>14</v>
      </c>
      <c r="E6" s="53">
        <f t="shared" si="0"/>
        <v>21.662705486234898</v>
      </c>
      <c r="F6" s="38">
        <f>'Headloss Calcs'!$E$18</f>
        <v>140</v>
      </c>
      <c r="G6" s="53">
        <f t="shared" si="1"/>
        <v>7.0686</v>
      </c>
      <c r="H6" s="53">
        <f t="shared" si="2"/>
        <v>9.4247999999999994</v>
      </c>
      <c r="I6" s="53">
        <f t="shared" si="3"/>
        <v>0.75</v>
      </c>
      <c r="J6" s="53">
        <f t="shared" si="4"/>
        <v>3.0646387525443366</v>
      </c>
      <c r="K6" s="53">
        <f t="shared" si="5"/>
        <v>0</v>
      </c>
      <c r="L6" s="53">
        <v>0.2</v>
      </c>
      <c r="M6" s="58">
        <f t="shared" si="6"/>
        <v>2.9167735042225182E-2</v>
      </c>
      <c r="N6" s="58">
        <f t="shared" si="7"/>
        <v>2.9167735042225182E-2</v>
      </c>
      <c r="O6" s="59">
        <f t="shared" si="8"/>
        <v>1.0435675921717695</v>
      </c>
    </row>
    <row r="7" spans="1:15" x14ac:dyDescent="0.2">
      <c r="A7" s="37">
        <v>1320</v>
      </c>
      <c r="B7" s="55">
        <v>36</v>
      </c>
      <c r="C7" s="69" t="s">
        <v>23</v>
      </c>
      <c r="D7" s="57">
        <f>'Headloss Calcs'!$A$34</f>
        <v>14</v>
      </c>
      <c r="E7" s="53">
        <f t="shared" si="0"/>
        <v>21.662705486234898</v>
      </c>
      <c r="F7" s="38">
        <f>'Headloss Calcs'!$E$18</f>
        <v>140</v>
      </c>
      <c r="G7" s="53">
        <f t="shared" si="1"/>
        <v>7.0686</v>
      </c>
      <c r="H7" s="53">
        <f t="shared" si="2"/>
        <v>9.4247999999999994</v>
      </c>
      <c r="I7" s="53">
        <f t="shared" si="3"/>
        <v>0.75</v>
      </c>
      <c r="J7" s="53">
        <f t="shared" si="4"/>
        <v>3.0646387525443366</v>
      </c>
      <c r="K7" s="53">
        <f t="shared" si="5"/>
        <v>0.94148051952398137</v>
      </c>
      <c r="L7" s="53"/>
      <c r="M7" s="58">
        <f t="shared" si="6"/>
        <v>0</v>
      </c>
      <c r="N7" s="58">
        <f t="shared" si="7"/>
        <v>0.94148051952398137</v>
      </c>
      <c r="O7" s="59">
        <f t="shared" si="8"/>
        <v>1.9850481116957508</v>
      </c>
    </row>
    <row r="8" spans="1:15" x14ac:dyDescent="0.2">
      <c r="A8" s="37"/>
      <c r="B8" s="55">
        <v>36</v>
      </c>
      <c r="C8" s="56" t="s">
        <v>39</v>
      </c>
      <c r="D8" s="57">
        <f>'Headloss Calcs'!$A$34</f>
        <v>14</v>
      </c>
      <c r="E8" s="53">
        <f t="shared" si="0"/>
        <v>21.662705486234898</v>
      </c>
      <c r="F8" s="38">
        <f>'Headloss Calcs'!$E$18</f>
        <v>140</v>
      </c>
      <c r="G8" s="53">
        <f t="shared" si="1"/>
        <v>7.0686</v>
      </c>
      <c r="H8" s="53">
        <f t="shared" si="2"/>
        <v>9.4247999999999994</v>
      </c>
      <c r="I8" s="53">
        <f t="shared" si="3"/>
        <v>0.75</v>
      </c>
      <c r="J8" s="53">
        <f t="shared" si="4"/>
        <v>3.0646387525443366</v>
      </c>
      <c r="K8" s="53">
        <f t="shared" si="5"/>
        <v>0</v>
      </c>
      <c r="L8" s="53">
        <v>0.4</v>
      </c>
      <c r="M8" s="58">
        <f t="shared" si="6"/>
        <v>5.8335470084450364E-2</v>
      </c>
      <c r="N8" s="58">
        <f t="shared" si="7"/>
        <v>5.8335470084450364E-2</v>
      </c>
      <c r="O8" s="59">
        <f t="shared" si="8"/>
        <v>2.0433835817802013</v>
      </c>
    </row>
    <row r="9" spans="1:15" x14ac:dyDescent="0.2">
      <c r="A9" s="37">
        <v>1320</v>
      </c>
      <c r="B9" s="55">
        <v>36</v>
      </c>
      <c r="C9" s="56" t="s">
        <v>23</v>
      </c>
      <c r="D9" s="57">
        <f>'Headloss Calcs'!$A$34</f>
        <v>14</v>
      </c>
      <c r="E9" s="53">
        <f t="shared" si="0"/>
        <v>21.662705486234898</v>
      </c>
      <c r="F9" s="38">
        <f>'Headloss Calcs'!$E$18</f>
        <v>140</v>
      </c>
      <c r="G9" s="53">
        <f t="shared" si="1"/>
        <v>7.0686</v>
      </c>
      <c r="H9" s="53">
        <f t="shared" si="2"/>
        <v>9.4247999999999994</v>
      </c>
      <c r="I9" s="53">
        <f t="shared" si="3"/>
        <v>0.75</v>
      </c>
      <c r="J9" s="53">
        <f t="shared" si="4"/>
        <v>3.0646387525443366</v>
      </c>
      <c r="K9" s="53">
        <f t="shared" si="5"/>
        <v>0.94148051952398137</v>
      </c>
      <c r="L9" s="53"/>
      <c r="M9" s="58">
        <f t="shared" si="6"/>
        <v>0</v>
      </c>
      <c r="N9" s="58">
        <f t="shared" si="7"/>
        <v>0.94148051952398137</v>
      </c>
      <c r="O9" s="59">
        <f t="shared" si="8"/>
        <v>2.9848641013041828</v>
      </c>
    </row>
    <row r="10" spans="1:15" x14ac:dyDescent="0.2">
      <c r="A10" s="37"/>
      <c r="B10" s="55">
        <v>36</v>
      </c>
      <c r="C10" s="56" t="s">
        <v>39</v>
      </c>
      <c r="D10" s="57">
        <f>'Headloss Calcs'!$A$34</f>
        <v>14</v>
      </c>
      <c r="E10" s="53">
        <f t="shared" si="0"/>
        <v>21.662705486234898</v>
      </c>
      <c r="F10" s="38">
        <f>'Headloss Calcs'!$E$18</f>
        <v>140</v>
      </c>
      <c r="G10" s="53">
        <f t="shared" si="1"/>
        <v>7.0686</v>
      </c>
      <c r="H10" s="53">
        <f t="shared" si="2"/>
        <v>9.4247999999999994</v>
      </c>
      <c r="I10" s="53">
        <f t="shared" si="3"/>
        <v>0.75</v>
      </c>
      <c r="J10" s="53">
        <f t="shared" si="4"/>
        <v>3.0646387525443366</v>
      </c>
      <c r="K10" s="53">
        <f t="shared" si="5"/>
        <v>0</v>
      </c>
      <c r="L10" s="53">
        <v>0.4</v>
      </c>
      <c r="M10" s="58">
        <f t="shared" si="6"/>
        <v>5.8335470084450364E-2</v>
      </c>
      <c r="N10" s="58">
        <f t="shared" si="7"/>
        <v>5.8335470084450364E-2</v>
      </c>
      <c r="O10" s="59">
        <f t="shared" si="8"/>
        <v>3.0431995713886333</v>
      </c>
    </row>
    <row r="11" spans="1:15" x14ac:dyDescent="0.2">
      <c r="A11" s="37">
        <v>1320</v>
      </c>
      <c r="B11" s="55">
        <v>36</v>
      </c>
      <c r="C11" s="56" t="s">
        <v>23</v>
      </c>
      <c r="D11" s="57">
        <f>'Headloss Calcs'!$A$34</f>
        <v>14</v>
      </c>
      <c r="E11" s="53">
        <f t="shared" si="0"/>
        <v>21.662705486234898</v>
      </c>
      <c r="F11" s="38">
        <f>'Headloss Calcs'!$E$18</f>
        <v>140</v>
      </c>
      <c r="G11" s="53">
        <f t="shared" si="1"/>
        <v>7.0686</v>
      </c>
      <c r="H11" s="53">
        <f t="shared" si="2"/>
        <v>9.4247999999999994</v>
      </c>
      <c r="I11" s="53">
        <f t="shared" si="3"/>
        <v>0.75</v>
      </c>
      <c r="J11" s="53">
        <f t="shared" si="4"/>
        <v>3.0646387525443366</v>
      </c>
      <c r="K11" s="53">
        <f t="shared" si="5"/>
        <v>0.94148051952398137</v>
      </c>
      <c r="L11" s="53"/>
      <c r="M11" s="58">
        <f t="shared" si="6"/>
        <v>0</v>
      </c>
      <c r="N11" s="58">
        <f t="shared" si="7"/>
        <v>0.94148051952398137</v>
      </c>
      <c r="O11" s="59">
        <f t="shared" si="8"/>
        <v>3.9846800909126148</v>
      </c>
    </row>
    <row r="12" spans="1:15" x14ac:dyDescent="0.2">
      <c r="A12" s="37"/>
      <c r="B12" s="55">
        <v>36</v>
      </c>
      <c r="C12" s="56" t="s">
        <v>48</v>
      </c>
      <c r="D12" s="57">
        <f>'Headloss Calcs'!$A$34</f>
        <v>14</v>
      </c>
      <c r="E12" s="53">
        <f t="shared" si="0"/>
        <v>21.662705486234898</v>
      </c>
      <c r="F12" s="38">
        <f>'Headloss Calcs'!$E$18</f>
        <v>140</v>
      </c>
      <c r="G12" s="53">
        <f t="shared" si="1"/>
        <v>7.0686</v>
      </c>
      <c r="H12" s="53">
        <f t="shared" si="2"/>
        <v>9.4247999999999994</v>
      </c>
      <c r="I12" s="53">
        <f t="shared" si="3"/>
        <v>0.75</v>
      </c>
      <c r="J12" s="53">
        <f t="shared" si="4"/>
        <v>3.0646387525443366</v>
      </c>
      <c r="K12" s="53">
        <f t="shared" si="5"/>
        <v>0</v>
      </c>
      <c r="L12" s="53">
        <v>0.4</v>
      </c>
      <c r="M12" s="58">
        <f t="shared" si="6"/>
        <v>5.8335470084450364E-2</v>
      </c>
      <c r="N12" s="58">
        <f t="shared" si="7"/>
        <v>5.8335470084450364E-2</v>
      </c>
      <c r="O12" s="59">
        <f t="shared" si="8"/>
        <v>4.0430155609970653</v>
      </c>
    </row>
    <row r="13" spans="1:15" x14ac:dyDescent="0.2">
      <c r="A13" s="37">
        <v>1320</v>
      </c>
      <c r="B13" s="55">
        <v>36</v>
      </c>
      <c r="C13" s="56" t="s">
        <v>23</v>
      </c>
      <c r="D13" s="57">
        <f>'Headloss Calcs'!$A$34</f>
        <v>14</v>
      </c>
      <c r="E13" s="53">
        <f t="shared" si="0"/>
        <v>21.662705486234898</v>
      </c>
      <c r="F13" s="38">
        <f>'Headloss Calcs'!$E$18</f>
        <v>140</v>
      </c>
      <c r="G13" s="53">
        <f t="shared" si="1"/>
        <v>7.0686</v>
      </c>
      <c r="H13" s="53">
        <f t="shared" si="2"/>
        <v>9.4247999999999994</v>
      </c>
      <c r="I13" s="53">
        <f t="shared" si="3"/>
        <v>0.75</v>
      </c>
      <c r="J13" s="53">
        <f t="shared" si="4"/>
        <v>3.0646387525443366</v>
      </c>
      <c r="K13" s="53">
        <f t="shared" si="5"/>
        <v>0.94148051952398137</v>
      </c>
      <c r="L13" s="53"/>
      <c r="M13" s="58">
        <f t="shared" si="6"/>
        <v>0</v>
      </c>
      <c r="N13" s="58">
        <f t="shared" si="7"/>
        <v>0.94148051952398137</v>
      </c>
      <c r="O13" s="59">
        <f t="shared" si="8"/>
        <v>4.9844960805210468</v>
      </c>
    </row>
    <row r="14" spans="1:15" x14ac:dyDescent="0.2">
      <c r="A14" s="37"/>
      <c r="B14" s="55">
        <v>36</v>
      </c>
      <c r="C14" s="56" t="s">
        <v>39</v>
      </c>
      <c r="D14" s="57">
        <f>'Headloss Calcs'!$A$34</f>
        <v>14</v>
      </c>
      <c r="E14" s="53">
        <f t="shared" si="0"/>
        <v>21.662705486234898</v>
      </c>
      <c r="F14" s="38">
        <f>'Headloss Calcs'!$E$18</f>
        <v>140</v>
      </c>
      <c r="G14" s="53">
        <f t="shared" si="1"/>
        <v>7.0686</v>
      </c>
      <c r="H14" s="53">
        <f t="shared" si="2"/>
        <v>9.4247999999999994</v>
      </c>
      <c r="I14" s="53">
        <f t="shared" si="3"/>
        <v>0.75</v>
      </c>
      <c r="J14" s="53">
        <f t="shared" si="4"/>
        <v>3.0646387525443366</v>
      </c>
      <c r="K14" s="53">
        <f t="shared" si="5"/>
        <v>0</v>
      </c>
      <c r="L14" s="53">
        <v>0.4</v>
      </c>
      <c r="M14" s="58">
        <f t="shared" si="6"/>
        <v>5.8335470084450364E-2</v>
      </c>
      <c r="N14" s="58">
        <f t="shared" si="7"/>
        <v>5.8335470084450364E-2</v>
      </c>
      <c r="O14" s="59">
        <f t="shared" si="8"/>
        <v>5.0428315506054968</v>
      </c>
    </row>
    <row r="15" spans="1:15" x14ac:dyDescent="0.2">
      <c r="A15" s="37">
        <v>1320</v>
      </c>
      <c r="B15" s="55">
        <v>36</v>
      </c>
      <c r="C15" s="56" t="s">
        <v>23</v>
      </c>
      <c r="D15" s="57">
        <f>'Headloss Calcs'!$A$34</f>
        <v>14</v>
      </c>
      <c r="E15" s="53">
        <f t="shared" si="0"/>
        <v>21.662705486234898</v>
      </c>
      <c r="F15" s="38">
        <f>'Headloss Calcs'!$E$18</f>
        <v>140</v>
      </c>
      <c r="G15" s="53">
        <f t="shared" si="1"/>
        <v>7.0686</v>
      </c>
      <c r="H15" s="53">
        <f t="shared" si="2"/>
        <v>9.4247999999999994</v>
      </c>
      <c r="I15" s="53">
        <f t="shared" si="3"/>
        <v>0.75</v>
      </c>
      <c r="J15" s="53">
        <f t="shared" si="4"/>
        <v>3.0646387525443366</v>
      </c>
      <c r="K15" s="53">
        <f t="shared" si="5"/>
        <v>0.94148051952398137</v>
      </c>
      <c r="L15" s="53"/>
      <c r="M15" s="58">
        <f t="shared" si="6"/>
        <v>0</v>
      </c>
      <c r="N15" s="58">
        <f t="shared" si="7"/>
        <v>0.94148051952398137</v>
      </c>
      <c r="O15" s="59">
        <f t="shared" si="8"/>
        <v>5.9843120701294783</v>
      </c>
    </row>
    <row r="16" spans="1:15" x14ac:dyDescent="0.2">
      <c r="A16" s="37"/>
      <c r="B16" s="55">
        <v>36</v>
      </c>
      <c r="C16" s="56" t="s">
        <v>45</v>
      </c>
      <c r="D16" s="57">
        <f>'Headloss Calcs'!$A$34</f>
        <v>14</v>
      </c>
      <c r="E16" s="53">
        <f t="shared" si="0"/>
        <v>21.662705486234898</v>
      </c>
      <c r="F16" s="38">
        <f>'Headloss Calcs'!$E$18</f>
        <v>140</v>
      </c>
      <c r="G16" s="53">
        <f t="shared" si="1"/>
        <v>7.0686</v>
      </c>
      <c r="H16" s="53">
        <f t="shared" si="2"/>
        <v>9.4247999999999994</v>
      </c>
      <c r="I16" s="53">
        <f t="shared" si="3"/>
        <v>0.75</v>
      </c>
      <c r="J16" s="53">
        <f t="shared" si="4"/>
        <v>3.0646387525443366</v>
      </c>
      <c r="K16" s="53">
        <f t="shared" si="5"/>
        <v>0</v>
      </c>
      <c r="L16" s="53">
        <v>0.2</v>
      </c>
      <c r="M16" s="58">
        <f t="shared" si="6"/>
        <v>2.9167735042225182E-2</v>
      </c>
      <c r="N16" s="58">
        <f t="shared" si="7"/>
        <v>2.9167735042225182E-2</v>
      </c>
      <c r="O16" s="59">
        <f t="shared" si="8"/>
        <v>6.0134798051717038</v>
      </c>
    </row>
    <row r="17" spans="1:15" x14ac:dyDescent="0.2">
      <c r="A17" s="37">
        <v>1320</v>
      </c>
      <c r="B17" s="55">
        <v>36</v>
      </c>
      <c r="C17" s="56" t="s">
        <v>23</v>
      </c>
      <c r="D17" s="57">
        <f>'Headloss Calcs'!$A$34</f>
        <v>14</v>
      </c>
      <c r="E17" s="53">
        <f t="shared" si="0"/>
        <v>21.662705486234898</v>
      </c>
      <c r="F17" s="38">
        <f>'Headloss Calcs'!$E$18</f>
        <v>140</v>
      </c>
      <c r="G17" s="53">
        <f t="shared" si="1"/>
        <v>7.0686</v>
      </c>
      <c r="H17" s="53">
        <f t="shared" si="2"/>
        <v>9.4247999999999994</v>
      </c>
      <c r="I17" s="53">
        <f t="shared" si="3"/>
        <v>0.75</v>
      </c>
      <c r="J17" s="53">
        <f t="shared" si="4"/>
        <v>3.0646387525443366</v>
      </c>
      <c r="K17" s="53">
        <f t="shared" si="5"/>
        <v>0.94148051952398137</v>
      </c>
      <c r="L17" s="53"/>
      <c r="M17" s="58">
        <f t="shared" si="6"/>
        <v>0</v>
      </c>
      <c r="N17" s="58">
        <f t="shared" si="7"/>
        <v>0.94148051952398137</v>
      </c>
      <c r="O17" s="59">
        <f t="shared" si="8"/>
        <v>6.9549603246956853</v>
      </c>
    </row>
    <row r="18" spans="1:15" ht="12" customHeight="1" x14ac:dyDescent="0.2">
      <c r="A18" s="37"/>
      <c r="B18" s="55">
        <v>36</v>
      </c>
      <c r="C18" s="56" t="s">
        <v>44</v>
      </c>
      <c r="D18" s="57">
        <f>'Headloss Calcs'!$A$34</f>
        <v>14</v>
      </c>
      <c r="E18" s="53">
        <f t="shared" si="0"/>
        <v>21.662705486234898</v>
      </c>
      <c r="F18" s="38">
        <f>'Headloss Calcs'!$E$18</f>
        <v>140</v>
      </c>
      <c r="G18" s="53">
        <f t="shared" si="1"/>
        <v>7.0686</v>
      </c>
      <c r="H18" s="53">
        <f t="shared" si="2"/>
        <v>9.4247999999999994</v>
      </c>
      <c r="I18" s="53">
        <f t="shared" si="3"/>
        <v>0.75</v>
      </c>
      <c r="J18" s="53">
        <f t="shared" si="4"/>
        <v>3.0646387525443366</v>
      </c>
      <c r="K18" s="53">
        <f t="shared" si="5"/>
        <v>0</v>
      </c>
      <c r="L18" s="53">
        <v>1</v>
      </c>
      <c r="M18" s="58">
        <f t="shared" si="6"/>
        <v>0.1458386752111259</v>
      </c>
      <c r="N18" s="58">
        <f t="shared" si="7"/>
        <v>0.1458386752111259</v>
      </c>
      <c r="O18" s="59">
        <f t="shared" si="8"/>
        <v>7.1007989999068108</v>
      </c>
    </row>
    <row r="19" spans="1:15" ht="13.5" thickBot="1" x14ac:dyDescent="0.25">
      <c r="A19" s="39"/>
      <c r="B19" s="40"/>
      <c r="C19" s="41"/>
      <c r="D19" s="40"/>
      <c r="E19" s="42"/>
      <c r="F19" s="40"/>
      <c r="G19" s="54"/>
      <c r="H19" s="54"/>
      <c r="I19" s="54"/>
      <c r="J19" s="54"/>
      <c r="K19" s="54"/>
      <c r="L19" s="54"/>
      <c r="M19" s="60"/>
      <c r="N19" s="60" t="s">
        <v>40</v>
      </c>
      <c r="O19" s="61">
        <f>O18</f>
        <v>7.1007989999068108</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Calcs'!$A$34</f>
        <v>14</v>
      </c>
      <c r="E22" s="53">
        <f t="shared" ref="E22:E37" si="9">D22*1000000/(7.48*24*60*60)</f>
        <v>21.662705486234898</v>
      </c>
      <c r="F22" s="38">
        <f>'Headloss Calcs'!$H$18</f>
        <v>100</v>
      </c>
      <c r="G22" s="53">
        <f t="shared" ref="G22:G37" si="10">3.1416/4*(B22/12)^2</f>
        <v>7.0686</v>
      </c>
      <c r="H22" s="53">
        <f t="shared" ref="H22:H37" si="11">3.1416*(B22/12)</f>
        <v>9.4247999999999994</v>
      </c>
      <c r="I22" s="53">
        <f t="shared" ref="I22:I37" si="12">G22/H22</f>
        <v>0.75</v>
      </c>
      <c r="J22" s="53">
        <f t="shared" ref="J22:J37" si="13">E22/G22</f>
        <v>3.0646387525443366</v>
      </c>
      <c r="K22" s="53">
        <f t="shared" ref="K22:K37" si="14">(J22/(1.318*F22*I22^0.63))^1.85*A22</f>
        <v>0</v>
      </c>
      <c r="L22" s="53">
        <v>0.25</v>
      </c>
      <c r="M22" s="58">
        <f t="shared" ref="M22:M37" si="15">L22*(J22^2)/(2*32.2)</f>
        <v>3.6459668802781474E-2</v>
      </c>
      <c r="N22" s="58">
        <f t="shared" ref="N22:N37" si="16">K22+M22</f>
        <v>3.6459668802781474E-2</v>
      </c>
      <c r="O22" s="59">
        <f>N22</f>
        <v>3.6459668802781474E-2</v>
      </c>
    </row>
    <row r="23" spans="1:15" x14ac:dyDescent="0.2">
      <c r="A23" s="37"/>
      <c r="B23" s="55">
        <v>36</v>
      </c>
      <c r="C23" s="56" t="s">
        <v>47</v>
      </c>
      <c r="D23" s="57">
        <f>'Headloss Calcs'!$A$34</f>
        <v>14</v>
      </c>
      <c r="E23" s="53">
        <f t="shared" si="9"/>
        <v>21.662705486234898</v>
      </c>
      <c r="F23" s="38">
        <f>'Headloss Calcs'!$H$18</f>
        <v>100</v>
      </c>
      <c r="G23" s="53">
        <f t="shared" si="10"/>
        <v>7.0686</v>
      </c>
      <c r="H23" s="53">
        <f t="shared" si="11"/>
        <v>9.4247999999999994</v>
      </c>
      <c r="I23" s="53">
        <f t="shared" si="12"/>
        <v>0.75</v>
      </c>
      <c r="J23" s="53">
        <f t="shared" si="13"/>
        <v>3.0646387525443366</v>
      </c>
      <c r="K23" s="53">
        <f t="shared" si="14"/>
        <v>0</v>
      </c>
      <c r="L23" s="53">
        <v>0.25</v>
      </c>
      <c r="M23" s="58">
        <f t="shared" si="15"/>
        <v>3.6459668802781474E-2</v>
      </c>
      <c r="N23" s="58">
        <f t="shared" si="16"/>
        <v>3.6459668802781474E-2</v>
      </c>
      <c r="O23" s="59">
        <f t="shared" ref="O23:O37" si="17">N23+O22</f>
        <v>7.2919337605562948E-2</v>
      </c>
    </row>
    <row r="24" spans="1:15" x14ac:dyDescent="0.2">
      <c r="A24" s="37">
        <v>1320</v>
      </c>
      <c r="B24" s="55">
        <v>36</v>
      </c>
      <c r="C24" s="56" t="s">
        <v>23</v>
      </c>
      <c r="D24" s="57">
        <f>'Headloss Calcs'!$A$34</f>
        <v>14</v>
      </c>
      <c r="E24" s="53">
        <f t="shared" si="9"/>
        <v>21.662705486234898</v>
      </c>
      <c r="F24" s="38">
        <f>'Headloss Calcs'!$H$18</f>
        <v>100</v>
      </c>
      <c r="G24" s="53">
        <f t="shared" si="10"/>
        <v>7.0686</v>
      </c>
      <c r="H24" s="53">
        <f t="shared" si="11"/>
        <v>9.4247999999999994</v>
      </c>
      <c r="I24" s="53">
        <f t="shared" si="12"/>
        <v>0.75</v>
      </c>
      <c r="J24" s="53">
        <f t="shared" si="13"/>
        <v>3.0646387525443366</v>
      </c>
      <c r="K24" s="53">
        <f t="shared" si="14"/>
        <v>1.7544791210756854</v>
      </c>
      <c r="L24" s="53"/>
      <c r="M24" s="58">
        <f t="shared" si="15"/>
        <v>0</v>
      </c>
      <c r="N24" s="58">
        <f t="shared" si="16"/>
        <v>1.7544791210756854</v>
      </c>
      <c r="O24" s="59">
        <f t="shared" si="17"/>
        <v>1.8273984586812484</v>
      </c>
    </row>
    <row r="25" spans="1:15" x14ac:dyDescent="0.2">
      <c r="A25" s="37"/>
      <c r="B25" s="55">
        <v>36</v>
      </c>
      <c r="C25" s="56" t="s">
        <v>45</v>
      </c>
      <c r="D25" s="57">
        <f>'Headloss Calcs'!$A$34</f>
        <v>14</v>
      </c>
      <c r="E25" s="53">
        <f t="shared" si="9"/>
        <v>21.662705486234898</v>
      </c>
      <c r="F25" s="38">
        <f>'Headloss Calcs'!$H$18</f>
        <v>100</v>
      </c>
      <c r="G25" s="53">
        <f t="shared" si="10"/>
        <v>7.0686</v>
      </c>
      <c r="H25" s="53">
        <f t="shared" si="11"/>
        <v>9.4247999999999994</v>
      </c>
      <c r="I25" s="53">
        <f t="shared" si="12"/>
        <v>0.75</v>
      </c>
      <c r="J25" s="53">
        <f t="shared" si="13"/>
        <v>3.0646387525443366</v>
      </c>
      <c r="K25" s="53">
        <f t="shared" si="14"/>
        <v>0</v>
      </c>
      <c r="L25" s="53">
        <v>0.2</v>
      </c>
      <c r="M25" s="58">
        <f t="shared" si="15"/>
        <v>2.9167735042225182E-2</v>
      </c>
      <c r="N25" s="58">
        <f t="shared" si="16"/>
        <v>2.9167735042225182E-2</v>
      </c>
      <c r="O25" s="59">
        <f t="shared" si="17"/>
        <v>1.8565661937234736</v>
      </c>
    </row>
    <row r="26" spans="1:15" x14ac:dyDescent="0.2">
      <c r="A26" s="37">
        <v>1320</v>
      </c>
      <c r="B26" s="55">
        <v>36</v>
      </c>
      <c r="C26" s="69" t="s">
        <v>23</v>
      </c>
      <c r="D26" s="57">
        <f>'Headloss Calcs'!$A$34</f>
        <v>14</v>
      </c>
      <c r="E26" s="53">
        <f t="shared" si="9"/>
        <v>21.662705486234898</v>
      </c>
      <c r="F26" s="38">
        <f>'Headloss Calcs'!$H$18</f>
        <v>100</v>
      </c>
      <c r="G26" s="53">
        <f t="shared" si="10"/>
        <v>7.0686</v>
      </c>
      <c r="H26" s="53">
        <f t="shared" si="11"/>
        <v>9.4247999999999994</v>
      </c>
      <c r="I26" s="53">
        <f t="shared" si="12"/>
        <v>0.75</v>
      </c>
      <c r="J26" s="53">
        <f t="shared" si="13"/>
        <v>3.0646387525443366</v>
      </c>
      <c r="K26" s="53">
        <f t="shared" si="14"/>
        <v>1.7544791210756854</v>
      </c>
      <c r="L26" s="53"/>
      <c r="M26" s="58">
        <f t="shared" si="15"/>
        <v>0</v>
      </c>
      <c r="N26" s="58">
        <f t="shared" si="16"/>
        <v>1.7544791210756854</v>
      </c>
      <c r="O26" s="59">
        <f t="shared" si="17"/>
        <v>3.611045314799159</v>
      </c>
    </row>
    <row r="27" spans="1:15" x14ac:dyDescent="0.2">
      <c r="A27" s="37"/>
      <c r="B27" s="55">
        <v>36</v>
      </c>
      <c r="C27" s="56" t="s">
        <v>39</v>
      </c>
      <c r="D27" s="57">
        <f>'Headloss Calcs'!$A$34</f>
        <v>14</v>
      </c>
      <c r="E27" s="53">
        <f t="shared" si="9"/>
        <v>21.662705486234898</v>
      </c>
      <c r="F27" s="38">
        <f>'Headloss Calcs'!$H$18</f>
        <v>100</v>
      </c>
      <c r="G27" s="53">
        <f t="shared" si="10"/>
        <v>7.0686</v>
      </c>
      <c r="H27" s="53">
        <f t="shared" si="11"/>
        <v>9.4247999999999994</v>
      </c>
      <c r="I27" s="53">
        <f t="shared" si="12"/>
        <v>0.75</v>
      </c>
      <c r="J27" s="53">
        <f t="shared" si="13"/>
        <v>3.0646387525443366</v>
      </c>
      <c r="K27" s="53">
        <f t="shared" si="14"/>
        <v>0</v>
      </c>
      <c r="L27" s="53">
        <v>0.4</v>
      </c>
      <c r="M27" s="58">
        <f t="shared" si="15"/>
        <v>5.8335470084450364E-2</v>
      </c>
      <c r="N27" s="58">
        <f t="shared" si="16"/>
        <v>5.8335470084450364E-2</v>
      </c>
      <c r="O27" s="59">
        <f t="shared" si="17"/>
        <v>3.6693807848836095</v>
      </c>
    </row>
    <row r="28" spans="1:15" x14ac:dyDescent="0.2">
      <c r="A28" s="37">
        <v>1320</v>
      </c>
      <c r="B28" s="55">
        <v>36</v>
      </c>
      <c r="C28" s="56" t="s">
        <v>23</v>
      </c>
      <c r="D28" s="57">
        <f>'Headloss Calcs'!$A$34</f>
        <v>14</v>
      </c>
      <c r="E28" s="53">
        <f t="shared" si="9"/>
        <v>21.662705486234898</v>
      </c>
      <c r="F28" s="38">
        <f>'Headloss Calcs'!$H$18</f>
        <v>100</v>
      </c>
      <c r="G28" s="53">
        <f t="shared" si="10"/>
        <v>7.0686</v>
      </c>
      <c r="H28" s="53">
        <f t="shared" si="11"/>
        <v>9.4247999999999994</v>
      </c>
      <c r="I28" s="53">
        <f t="shared" si="12"/>
        <v>0.75</v>
      </c>
      <c r="J28" s="53">
        <f t="shared" si="13"/>
        <v>3.0646387525443366</v>
      </c>
      <c r="K28" s="53">
        <f t="shared" si="14"/>
        <v>1.7544791210756854</v>
      </c>
      <c r="L28" s="53"/>
      <c r="M28" s="58">
        <f t="shared" si="15"/>
        <v>0</v>
      </c>
      <c r="N28" s="58">
        <f t="shared" si="16"/>
        <v>1.7544791210756854</v>
      </c>
      <c r="O28" s="59">
        <f t="shared" si="17"/>
        <v>5.4238599059592953</v>
      </c>
    </row>
    <row r="29" spans="1:15" x14ac:dyDescent="0.2">
      <c r="A29" s="37"/>
      <c r="B29" s="55">
        <v>36</v>
      </c>
      <c r="C29" s="56" t="s">
        <v>39</v>
      </c>
      <c r="D29" s="57">
        <f>'Headloss Calcs'!$A$34</f>
        <v>14</v>
      </c>
      <c r="E29" s="53">
        <f t="shared" si="9"/>
        <v>21.662705486234898</v>
      </c>
      <c r="F29" s="38">
        <f>'Headloss Calcs'!$H$18</f>
        <v>100</v>
      </c>
      <c r="G29" s="53">
        <f t="shared" si="10"/>
        <v>7.0686</v>
      </c>
      <c r="H29" s="53">
        <f t="shared" si="11"/>
        <v>9.4247999999999994</v>
      </c>
      <c r="I29" s="53">
        <f t="shared" si="12"/>
        <v>0.75</v>
      </c>
      <c r="J29" s="53">
        <f t="shared" si="13"/>
        <v>3.0646387525443366</v>
      </c>
      <c r="K29" s="53">
        <f t="shared" si="14"/>
        <v>0</v>
      </c>
      <c r="L29" s="53">
        <v>0.4</v>
      </c>
      <c r="M29" s="58">
        <f t="shared" si="15"/>
        <v>5.8335470084450364E-2</v>
      </c>
      <c r="N29" s="58">
        <f t="shared" si="16"/>
        <v>5.8335470084450364E-2</v>
      </c>
      <c r="O29" s="59">
        <f t="shared" si="17"/>
        <v>5.4821953760437454</v>
      </c>
    </row>
    <row r="30" spans="1:15" x14ac:dyDescent="0.2">
      <c r="A30" s="37">
        <v>1320</v>
      </c>
      <c r="B30" s="55">
        <v>36</v>
      </c>
      <c r="C30" s="56" t="s">
        <v>23</v>
      </c>
      <c r="D30" s="57">
        <f>'Headloss Calcs'!$A$34</f>
        <v>14</v>
      </c>
      <c r="E30" s="53">
        <f t="shared" si="9"/>
        <v>21.662705486234898</v>
      </c>
      <c r="F30" s="38">
        <f>'Headloss Calcs'!$H$18</f>
        <v>100</v>
      </c>
      <c r="G30" s="53">
        <f t="shared" si="10"/>
        <v>7.0686</v>
      </c>
      <c r="H30" s="53">
        <f t="shared" si="11"/>
        <v>9.4247999999999994</v>
      </c>
      <c r="I30" s="53">
        <f t="shared" si="12"/>
        <v>0.75</v>
      </c>
      <c r="J30" s="53">
        <f t="shared" si="13"/>
        <v>3.0646387525443366</v>
      </c>
      <c r="K30" s="53">
        <f t="shared" si="14"/>
        <v>1.7544791210756854</v>
      </c>
      <c r="L30" s="53"/>
      <c r="M30" s="58">
        <f t="shared" si="15"/>
        <v>0</v>
      </c>
      <c r="N30" s="58">
        <f t="shared" si="16"/>
        <v>1.7544791210756854</v>
      </c>
      <c r="O30" s="59">
        <f t="shared" si="17"/>
        <v>7.2366744971194308</v>
      </c>
    </row>
    <row r="31" spans="1:15" x14ac:dyDescent="0.2">
      <c r="A31" s="37"/>
      <c r="B31" s="55">
        <v>36</v>
      </c>
      <c r="C31" s="56" t="s">
        <v>48</v>
      </c>
      <c r="D31" s="57">
        <f>'Headloss Calcs'!$A$34</f>
        <v>14</v>
      </c>
      <c r="E31" s="53">
        <f t="shared" si="9"/>
        <v>21.662705486234898</v>
      </c>
      <c r="F31" s="38">
        <f>'Headloss Calcs'!$H$18</f>
        <v>100</v>
      </c>
      <c r="G31" s="53">
        <f t="shared" si="10"/>
        <v>7.0686</v>
      </c>
      <c r="H31" s="53">
        <f t="shared" si="11"/>
        <v>9.4247999999999994</v>
      </c>
      <c r="I31" s="53">
        <f t="shared" si="12"/>
        <v>0.75</v>
      </c>
      <c r="J31" s="53">
        <f t="shared" si="13"/>
        <v>3.0646387525443366</v>
      </c>
      <c r="K31" s="53">
        <f t="shared" si="14"/>
        <v>0</v>
      </c>
      <c r="L31" s="53">
        <v>0.4</v>
      </c>
      <c r="M31" s="58">
        <f t="shared" si="15"/>
        <v>5.8335470084450364E-2</v>
      </c>
      <c r="N31" s="58">
        <f t="shared" si="16"/>
        <v>5.8335470084450364E-2</v>
      </c>
      <c r="O31" s="59">
        <f t="shared" si="17"/>
        <v>7.2950099672038808</v>
      </c>
    </row>
    <row r="32" spans="1:15" x14ac:dyDescent="0.2">
      <c r="A32" s="37">
        <v>1320</v>
      </c>
      <c r="B32" s="55">
        <v>36</v>
      </c>
      <c r="C32" s="56" t="s">
        <v>23</v>
      </c>
      <c r="D32" s="57">
        <f>'Headloss Calcs'!$A$34</f>
        <v>14</v>
      </c>
      <c r="E32" s="53">
        <f t="shared" si="9"/>
        <v>21.662705486234898</v>
      </c>
      <c r="F32" s="38">
        <f>'Headloss Calcs'!$H$18</f>
        <v>100</v>
      </c>
      <c r="G32" s="53">
        <f t="shared" si="10"/>
        <v>7.0686</v>
      </c>
      <c r="H32" s="53">
        <f t="shared" si="11"/>
        <v>9.4247999999999994</v>
      </c>
      <c r="I32" s="53">
        <f t="shared" si="12"/>
        <v>0.75</v>
      </c>
      <c r="J32" s="53">
        <f t="shared" si="13"/>
        <v>3.0646387525443366</v>
      </c>
      <c r="K32" s="53">
        <f t="shared" si="14"/>
        <v>1.7544791210756854</v>
      </c>
      <c r="L32" s="53"/>
      <c r="M32" s="58">
        <f t="shared" si="15"/>
        <v>0</v>
      </c>
      <c r="N32" s="58">
        <f t="shared" si="16"/>
        <v>1.7544791210756854</v>
      </c>
      <c r="O32" s="59">
        <f t="shared" si="17"/>
        <v>9.0494890882795662</v>
      </c>
    </row>
    <row r="33" spans="1:15" x14ac:dyDescent="0.2">
      <c r="A33" s="37"/>
      <c r="B33" s="55">
        <v>36</v>
      </c>
      <c r="C33" s="56" t="s">
        <v>39</v>
      </c>
      <c r="D33" s="57">
        <f>'Headloss Calcs'!$A$34</f>
        <v>14</v>
      </c>
      <c r="E33" s="53">
        <f t="shared" si="9"/>
        <v>21.662705486234898</v>
      </c>
      <c r="F33" s="38">
        <f>'Headloss Calcs'!$H$18</f>
        <v>100</v>
      </c>
      <c r="G33" s="53">
        <f t="shared" si="10"/>
        <v>7.0686</v>
      </c>
      <c r="H33" s="53">
        <f t="shared" si="11"/>
        <v>9.4247999999999994</v>
      </c>
      <c r="I33" s="53">
        <f t="shared" si="12"/>
        <v>0.75</v>
      </c>
      <c r="J33" s="53">
        <f t="shared" si="13"/>
        <v>3.0646387525443366</v>
      </c>
      <c r="K33" s="53">
        <f t="shared" si="14"/>
        <v>0</v>
      </c>
      <c r="L33" s="53">
        <v>0.4</v>
      </c>
      <c r="M33" s="58">
        <f t="shared" si="15"/>
        <v>5.8335470084450364E-2</v>
      </c>
      <c r="N33" s="58">
        <f t="shared" si="16"/>
        <v>5.8335470084450364E-2</v>
      </c>
      <c r="O33" s="59">
        <f t="shared" si="17"/>
        <v>9.1078245583640172</v>
      </c>
    </row>
    <row r="34" spans="1:15" x14ac:dyDescent="0.2">
      <c r="A34" s="37">
        <v>1320</v>
      </c>
      <c r="B34" s="55">
        <v>36</v>
      </c>
      <c r="C34" s="56" t="s">
        <v>23</v>
      </c>
      <c r="D34" s="57">
        <f>'Headloss Calcs'!$A$34</f>
        <v>14</v>
      </c>
      <c r="E34" s="53">
        <f t="shared" si="9"/>
        <v>21.662705486234898</v>
      </c>
      <c r="F34" s="38">
        <f>'Headloss Calcs'!$H$18</f>
        <v>100</v>
      </c>
      <c r="G34" s="53">
        <f t="shared" si="10"/>
        <v>7.0686</v>
      </c>
      <c r="H34" s="53">
        <f t="shared" si="11"/>
        <v>9.4247999999999994</v>
      </c>
      <c r="I34" s="53">
        <f t="shared" si="12"/>
        <v>0.75</v>
      </c>
      <c r="J34" s="53">
        <f t="shared" si="13"/>
        <v>3.0646387525443366</v>
      </c>
      <c r="K34" s="53">
        <f t="shared" si="14"/>
        <v>1.7544791210756854</v>
      </c>
      <c r="L34" s="53"/>
      <c r="M34" s="58">
        <f t="shared" si="15"/>
        <v>0</v>
      </c>
      <c r="N34" s="58">
        <f t="shared" si="16"/>
        <v>1.7544791210756854</v>
      </c>
      <c r="O34" s="59">
        <f t="shared" si="17"/>
        <v>10.862303679439702</v>
      </c>
    </row>
    <row r="35" spans="1:15" x14ac:dyDescent="0.2">
      <c r="A35" s="37"/>
      <c r="B35" s="55">
        <v>36</v>
      </c>
      <c r="C35" s="56" t="s">
        <v>45</v>
      </c>
      <c r="D35" s="57">
        <f>'Headloss Calcs'!$A$34</f>
        <v>14</v>
      </c>
      <c r="E35" s="53">
        <f t="shared" si="9"/>
        <v>21.662705486234898</v>
      </c>
      <c r="F35" s="38">
        <f>'Headloss Calcs'!$H$18</f>
        <v>100</v>
      </c>
      <c r="G35" s="53">
        <f t="shared" si="10"/>
        <v>7.0686</v>
      </c>
      <c r="H35" s="53">
        <f t="shared" si="11"/>
        <v>9.4247999999999994</v>
      </c>
      <c r="I35" s="53">
        <f t="shared" si="12"/>
        <v>0.75</v>
      </c>
      <c r="J35" s="53">
        <f t="shared" si="13"/>
        <v>3.0646387525443366</v>
      </c>
      <c r="K35" s="53">
        <f t="shared" si="14"/>
        <v>0</v>
      </c>
      <c r="L35" s="53">
        <v>0.2</v>
      </c>
      <c r="M35" s="58">
        <f t="shared" si="15"/>
        <v>2.9167735042225182E-2</v>
      </c>
      <c r="N35" s="58">
        <f t="shared" si="16"/>
        <v>2.9167735042225182E-2</v>
      </c>
      <c r="O35" s="59">
        <f t="shared" si="17"/>
        <v>10.891471414481927</v>
      </c>
    </row>
    <row r="36" spans="1:15" x14ac:dyDescent="0.2">
      <c r="A36" s="37">
        <v>1320</v>
      </c>
      <c r="B36" s="55">
        <v>36</v>
      </c>
      <c r="C36" s="56" t="s">
        <v>23</v>
      </c>
      <c r="D36" s="57">
        <f>'Headloss Calcs'!$A$34</f>
        <v>14</v>
      </c>
      <c r="E36" s="53">
        <f t="shared" si="9"/>
        <v>21.662705486234898</v>
      </c>
      <c r="F36" s="38">
        <f>'Headloss Calcs'!$H$18</f>
        <v>100</v>
      </c>
      <c r="G36" s="53">
        <f t="shared" si="10"/>
        <v>7.0686</v>
      </c>
      <c r="H36" s="53">
        <f t="shared" si="11"/>
        <v>9.4247999999999994</v>
      </c>
      <c r="I36" s="53">
        <f t="shared" si="12"/>
        <v>0.75</v>
      </c>
      <c r="J36" s="53">
        <f t="shared" si="13"/>
        <v>3.0646387525443366</v>
      </c>
      <c r="K36" s="53">
        <f t="shared" si="14"/>
        <v>1.7544791210756854</v>
      </c>
      <c r="L36" s="53"/>
      <c r="M36" s="58">
        <f t="shared" si="15"/>
        <v>0</v>
      </c>
      <c r="N36" s="58">
        <f t="shared" si="16"/>
        <v>1.7544791210756854</v>
      </c>
      <c r="O36" s="59">
        <f t="shared" si="17"/>
        <v>12.645950535557613</v>
      </c>
    </row>
    <row r="37" spans="1:15" ht="12" customHeight="1" x14ac:dyDescent="0.2">
      <c r="A37" s="37"/>
      <c r="B37" s="55">
        <v>36</v>
      </c>
      <c r="C37" s="56" t="s">
        <v>44</v>
      </c>
      <c r="D37" s="57">
        <f>'Headloss Calcs'!$A$34</f>
        <v>14</v>
      </c>
      <c r="E37" s="53">
        <f t="shared" si="9"/>
        <v>21.662705486234898</v>
      </c>
      <c r="F37" s="38">
        <f>'Headloss Calcs'!$H$18</f>
        <v>100</v>
      </c>
      <c r="G37" s="53">
        <f t="shared" si="10"/>
        <v>7.0686</v>
      </c>
      <c r="H37" s="53">
        <f t="shared" si="11"/>
        <v>9.4247999999999994</v>
      </c>
      <c r="I37" s="53">
        <f t="shared" si="12"/>
        <v>0.75</v>
      </c>
      <c r="J37" s="53">
        <f t="shared" si="13"/>
        <v>3.0646387525443366</v>
      </c>
      <c r="K37" s="53">
        <f t="shared" si="14"/>
        <v>0</v>
      </c>
      <c r="L37" s="53">
        <v>1</v>
      </c>
      <c r="M37" s="58">
        <f t="shared" si="15"/>
        <v>0.1458386752111259</v>
      </c>
      <c r="N37" s="58">
        <f t="shared" si="16"/>
        <v>0.1458386752111259</v>
      </c>
      <c r="O37" s="59">
        <f t="shared" si="17"/>
        <v>12.791789210768739</v>
      </c>
    </row>
    <row r="38" spans="1:15" ht="13.5" thickBot="1" x14ac:dyDescent="0.25">
      <c r="A38" s="39"/>
      <c r="B38" s="40"/>
      <c r="C38" s="41"/>
      <c r="D38" s="40"/>
      <c r="E38" s="42"/>
      <c r="F38" s="40"/>
      <c r="G38" s="54"/>
      <c r="H38" s="54"/>
      <c r="I38" s="54"/>
      <c r="J38" s="54"/>
      <c r="K38" s="54"/>
      <c r="L38" s="54"/>
      <c r="M38" s="60"/>
      <c r="N38" s="60" t="s">
        <v>40</v>
      </c>
      <c r="O38" s="61">
        <f>O37</f>
        <v>12.791789210768739</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50"/>
  <sheetViews>
    <sheetView topLeftCell="C14" workbookViewId="0">
      <selection activeCell="I40" sqref="I40"/>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Calcs'!$A$35</f>
        <v>15</v>
      </c>
      <c r="E3" s="53">
        <f t="shared" ref="E3:E18" si="0">D3*1000000/(7.48*24*60*60)</f>
        <v>23.210041592394532</v>
      </c>
      <c r="F3" s="38">
        <f>'Headloss Calcs'!$E$18</f>
        <v>140</v>
      </c>
      <c r="G3" s="53">
        <f t="shared" ref="G3:G18" si="1">3.1416/4*(B3/12)^2</f>
        <v>7.0686</v>
      </c>
      <c r="H3" s="53">
        <f t="shared" ref="H3:H18" si="2">3.1416*(B3/12)</f>
        <v>9.4247999999999994</v>
      </c>
      <c r="I3" s="53">
        <f t="shared" ref="I3:I18" si="3">G3/H3</f>
        <v>0.75</v>
      </c>
      <c r="J3" s="53">
        <f t="shared" ref="J3:J18" si="4">E3/G3</f>
        <v>3.2835415205832175</v>
      </c>
      <c r="K3" s="53">
        <f t="shared" ref="K3:K18" si="5">(J3/(1.318*F3*I3^0.63))^1.85*A3</f>
        <v>0</v>
      </c>
      <c r="L3" s="53">
        <v>0.25</v>
      </c>
      <c r="M3" s="58">
        <f t="shared" ref="M3:M18" si="6">L3*(J3^2)/(2*32.2)</f>
        <v>4.1854211635846066E-2</v>
      </c>
      <c r="N3" s="58">
        <f t="shared" ref="N3:N18" si="7">K3+M3</f>
        <v>4.1854211635846066E-2</v>
      </c>
      <c r="O3" s="59">
        <f>N3</f>
        <v>4.1854211635846066E-2</v>
      </c>
    </row>
    <row r="4" spans="1:15" x14ac:dyDescent="0.2">
      <c r="A4" s="37"/>
      <c r="B4" s="55">
        <v>36</v>
      </c>
      <c r="C4" s="56" t="s">
        <v>47</v>
      </c>
      <c r="D4" s="57">
        <f>'Headloss Calcs'!$A$35</f>
        <v>15</v>
      </c>
      <c r="E4" s="53">
        <f t="shared" si="0"/>
        <v>23.210041592394532</v>
      </c>
      <c r="F4" s="38">
        <f>'Headloss Calcs'!$E$18</f>
        <v>140</v>
      </c>
      <c r="G4" s="53">
        <f t="shared" si="1"/>
        <v>7.0686</v>
      </c>
      <c r="H4" s="53">
        <f t="shared" si="2"/>
        <v>9.4247999999999994</v>
      </c>
      <c r="I4" s="53">
        <f t="shared" si="3"/>
        <v>0.75</v>
      </c>
      <c r="J4" s="53">
        <f t="shared" si="4"/>
        <v>3.2835415205832175</v>
      </c>
      <c r="K4" s="53">
        <f t="shared" si="5"/>
        <v>0</v>
      </c>
      <c r="L4" s="53">
        <v>0.25</v>
      </c>
      <c r="M4" s="58">
        <f t="shared" si="6"/>
        <v>4.1854211635846066E-2</v>
      </c>
      <c r="N4" s="58">
        <f t="shared" si="7"/>
        <v>4.1854211635846066E-2</v>
      </c>
      <c r="O4" s="59">
        <f t="shared" ref="O4:O18" si="8">N4+O3</f>
        <v>8.3708423271692131E-2</v>
      </c>
    </row>
    <row r="5" spans="1:15" x14ac:dyDescent="0.2">
      <c r="A5" s="37">
        <v>1320</v>
      </c>
      <c r="B5" s="55">
        <v>36</v>
      </c>
      <c r="C5" s="56" t="s">
        <v>23</v>
      </c>
      <c r="D5" s="57">
        <f>'Headloss Calcs'!$A$35</f>
        <v>15</v>
      </c>
      <c r="E5" s="53">
        <f t="shared" si="0"/>
        <v>23.210041592394532</v>
      </c>
      <c r="F5" s="38">
        <f>'Headloss Calcs'!$E$18</f>
        <v>140</v>
      </c>
      <c r="G5" s="53">
        <f t="shared" si="1"/>
        <v>7.0686</v>
      </c>
      <c r="H5" s="53">
        <f t="shared" si="2"/>
        <v>9.4247999999999994</v>
      </c>
      <c r="I5" s="53">
        <f t="shared" si="3"/>
        <v>0.75</v>
      </c>
      <c r="J5" s="53">
        <f t="shared" si="4"/>
        <v>3.2835415205832175</v>
      </c>
      <c r="K5" s="53">
        <f t="shared" si="5"/>
        <v>1.0696539556781719</v>
      </c>
      <c r="L5" s="53"/>
      <c r="M5" s="58">
        <f t="shared" si="6"/>
        <v>0</v>
      </c>
      <c r="N5" s="58">
        <f t="shared" si="7"/>
        <v>1.0696539556781719</v>
      </c>
      <c r="O5" s="59">
        <f t="shared" si="8"/>
        <v>1.1533623789498639</v>
      </c>
    </row>
    <row r="6" spans="1:15" x14ac:dyDescent="0.2">
      <c r="A6" s="37"/>
      <c r="B6" s="55">
        <v>36</v>
      </c>
      <c r="C6" s="56" t="s">
        <v>45</v>
      </c>
      <c r="D6" s="57">
        <f>'Headloss Calcs'!$A$35</f>
        <v>15</v>
      </c>
      <c r="E6" s="53">
        <f t="shared" si="0"/>
        <v>23.210041592394532</v>
      </c>
      <c r="F6" s="38">
        <f>'Headloss Calcs'!$E$18</f>
        <v>140</v>
      </c>
      <c r="G6" s="53">
        <f t="shared" si="1"/>
        <v>7.0686</v>
      </c>
      <c r="H6" s="53">
        <f t="shared" si="2"/>
        <v>9.4247999999999994</v>
      </c>
      <c r="I6" s="53">
        <f t="shared" si="3"/>
        <v>0.75</v>
      </c>
      <c r="J6" s="53">
        <f t="shared" si="4"/>
        <v>3.2835415205832175</v>
      </c>
      <c r="K6" s="53">
        <f t="shared" si="5"/>
        <v>0</v>
      </c>
      <c r="L6" s="53">
        <v>0.2</v>
      </c>
      <c r="M6" s="58">
        <f t="shared" si="6"/>
        <v>3.3483369308676854E-2</v>
      </c>
      <c r="N6" s="58">
        <f t="shared" si="7"/>
        <v>3.3483369308676854E-2</v>
      </c>
      <c r="O6" s="59">
        <f t="shared" si="8"/>
        <v>1.1868457482585408</v>
      </c>
    </row>
    <row r="7" spans="1:15" x14ac:dyDescent="0.2">
      <c r="A7" s="37">
        <v>1320</v>
      </c>
      <c r="B7" s="55">
        <v>36</v>
      </c>
      <c r="C7" s="69" t="s">
        <v>23</v>
      </c>
      <c r="D7" s="57">
        <f>'Headloss Calcs'!$A$35</f>
        <v>15</v>
      </c>
      <c r="E7" s="53">
        <f t="shared" si="0"/>
        <v>23.210041592394532</v>
      </c>
      <c r="F7" s="38">
        <f>'Headloss Calcs'!$E$18</f>
        <v>140</v>
      </c>
      <c r="G7" s="53">
        <f t="shared" si="1"/>
        <v>7.0686</v>
      </c>
      <c r="H7" s="53">
        <f t="shared" si="2"/>
        <v>9.4247999999999994</v>
      </c>
      <c r="I7" s="53">
        <f t="shared" si="3"/>
        <v>0.75</v>
      </c>
      <c r="J7" s="53">
        <f t="shared" si="4"/>
        <v>3.2835415205832175</v>
      </c>
      <c r="K7" s="53">
        <f t="shared" si="5"/>
        <v>1.0696539556781719</v>
      </c>
      <c r="L7" s="53"/>
      <c r="M7" s="58">
        <f t="shared" si="6"/>
        <v>0</v>
      </c>
      <c r="N7" s="58">
        <f t="shared" si="7"/>
        <v>1.0696539556781719</v>
      </c>
      <c r="O7" s="59">
        <f t="shared" si="8"/>
        <v>2.2564997039367127</v>
      </c>
    </row>
    <row r="8" spans="1:15" x14ac:dyDescent="0.2">
      <c r="A8" s="37"/>
      <c r="B8" s="55">
        <v>36</v>
      </c>
      <c r="C8" s="56" t="s">
        <v>39</v>
      </c>
      <c r="D8" s="57">
        <f>'Headloss Calcs'!$A$35</f>
        <v>15</v>
      </c>
      <c r="E8" s="53">
        <f t="shared" si="0"/>
        <v>23.210041592394532</v>
      </c>
      <c r="F8" s="38">
        <f>'Headloss Calcs'!$E$18</f>
        <v>140</v>
      </c>
      <c r="G8" s="53">
        <f t="shared" si="1"/>
        <v>7.0686</v>
      </c>
      <c r="H8" s="53">
        <f t="shared" si="2"/>
        <v>9.4247999999999994</v>
      </c>
      <c r="I8" s="53">
        <f t="shared" si="3"/>
        <v>0.75</v>
      </c>
      <c r="J8" s="53">
        <f t="shared" si="4"/>
        <v>3.2835415205832175</v>
      </c>
      <c r="K8" s="53">
        <f t="shared" si="5"/>
        <v>0</v>
      </c>
      <c r="L8" s="53">
        <v>0.4</v>
      </c>
      <c r="M8" s="58">
        <f t="shared" si="6"/>
        <v>6.6966738617353708E-2</v>
      </c>
      <c r="N8" s="58">
        <f t="shared" si="7"/>
        <v>6.6966738617353708E-2</v>
      </c>
      <c r="O8" s="59">
        <f t="shared" si="8"/>
        <v>2.3234664425540665</v>
      </c>
    </row>
    <row r="9" spans="1:15" x14ac:dyDescent="0.2">
      <c r="A9" s="37">
        <v>1320</v>
      </c>
      <c r="B9" s="55">
        <v>36</v>
      </c>
      <c r="C9" s="56" t="s">
        <v>23</v>
      </c>
      <c r="D9" s="57">
        <f>'Headloss Calcs'!$A$35</f>
        <v>15</v>
      </c>
      <c r="E9" s="53">
        <f t="shared" si="0"/>
        <v>23.210041592394532</v>
      </c>
      <c r="F9" s="38">
        <f>'Headloss Calcs'!$E$18</f>
        <v>140</v>
      </c>
      <c r="G9" s="53">
        <f t="shared" si="1"/>
        <v>7.0686</v>
      </c>
      <c r="H9" s="53">
        <f t="shared" si="2"/>
        <v>9.4247999999999994</v>
      </c>
      <c r="I9" s="53">
        <f t="shared" si="3"/>
        <v>0.75</v>
      </c>
      <c r="J9" s="53">
        <f t="shared" si="4"/>
        <v>3.2835415205832175</v>
      </c>
      <c r="K9" s="53">
        <f t="shared" si="5"/>
        <v>1.0696539556781719</v>
      </c>
      <c r="L9" s="53"/>
      <c r="M9" s="58">
        <f t="shared" si="6"/>
        <v>0</v>
      </c>
      <c r="N9" s="58">
        <f t="shared" si="7"/>
        <v>1.0696539556781719</v>
      </c>
      <c r="O9" s="59">
        <f t="shared" si="8"/>
        <v>3.3931203982322384</v>
      </c>
    </row>
    <row r="10" spans="1:15" x14ac:dyDescent="0.2">
      <c r="A10" s="37"/>
      <c r="B10" s="55">
        <v>36</v>
      </c>
      <c r="C10" s="56" t="s">
        <v>39</v>
      </c>
      <c r="D10" s="57">
        <f>'Headloss Calcs'!$A$35</f>
        <v>15</v>
      </c>
      <c r="E10" s="53">
        <f t="shared" si="0"/>
        <v>23.210041592394532</v>
      </c>
      <c r="F10" s="38">
        <f>'Headloss Calcs'!$E$18</f>
        <v>140</v>
      </c>
      <c r="G10" s="53">
        <f t="shared" si="1"/>
        <v>7.0686</v>
      </c>
      <c r="H10" s="53">
        <f t="shared" si="2"/>
        <v>9.4247999999999994</v>
      </c>
      <c r="I10" s="53">
        <f t="shared" si="3"/>
        <v>0.75</v>
      </c>
      <c r="J10" s="53">
        <f t="shared" si="4"/>
        <v>3.2835415205832175</v>
      </c>
      <c r="K10" s="53">
        <f t="shared" si="5"/>
        <v>0</v>
      </c>
      <c r="L10" s="53">
        <v>0.4</v>
      </c>
      <c r="M10" s="58">
        <f t="shared" si="6"/>
        <v>6.6966738617353708E-2</v>
      </c>
      <c r="N10" s="58">
        <f t="shared" si="7"/>
        <v>6.6966738617353708E-2</v>
      </c>
      <c r="O10" s="59">
        <f t="shared" si="8"/>
        <v>3.4600871368495922</v>
      </c>
    </row>
    <row r="11" spans="1:15" x14ac:dyDescent="0.2">
      <c r="A11" s="37">
        <v>1320</v>
      </c>
      <c r="B11" s="55">
        <v>36</v>
      </c>
      <c r="C11" s="56" t="s">
        <v>23</v>
      </c>
      <c r="D11" s="57">
        <f>'Headloss Calcs'!$A$35</f>
        <v>15</v>
      </c>
      <c r="E11" s="53">
        <f t="shared" si="0"/>
        <v>23.210041592394532</v>
      </c>
      <c r="F11" s="38">
        <f>'Headloss Calcs'!$E$18</f>
        <v>140</v>
      </c>
      <c r="G11" s="53">
        <f t="shared" si="1"/>
        <v>7.0686</v>
      </c>
      <c r="H11" s="53">
        <f t="shared" si="2"/>
        <v>9.4247999999999994</v>
      </c>
      <c r="I11" s="53">
        <f t="shared" si="3"/>
        <v>0.75</v>
      </c>
      <c r="J11" s="53">
        <f t="shared" si="4"/>
        <v>3.2835415205832175</v>
      </c>
      <c r="K11" s="53">
        <f t="shared" si="5"/>
        <v>1.0696539556781719</v>
      </c>
      <c r="L11" s="53"/>
      <c r="M11" s="58">
        <f t="shared" si="6"/>
        <v>0</v>
      </c>
      <c r="N11" s="58">
        <f t="shared" si="7"/>
        <v>1.0696539556781719</v>
      </c>
      <c r="O11" s="59">
        <f t="shared" si="8"/>
        <v>4.5297410925277646</v>
      </c>
    </row>
    <row r="12" spans="1:15" x14ac:dyDescent="0.2">
      <c r="A12" s="37"/>
      <c r="B12" s="55">
        <v>36</v>
      </c>
      <c r="C12" s="56" t="s">
        <v>48</v>
      </c>
      <c r="D12" s="57">
        <f>'Headloss Calcs'!$A$35</f>
        <v>15</v>
      </c>
      <c r="E12" s="53">
        <f t="shared" si="0"/>
        <v>23.210041592394532</v>
      </c>
      <c r="F12" s="38">
        <f>'Headloss Calcs'!$E$18</f>
        <v>140</v>
      </c>
      <c r="G12" s="53">
        <f t="shared" si="1"/>
        <v>7.0686</v>
      </c>
      <c r="H12" s="53">
        <f t="shared" si="2"/>
        <v>9.4247999999999994</v>
      </c>
      <c r="I12" s="53">
        <f t="shared" si="3"/>
        <v>0.75</v>
      </c>
      <c r="J12" s="53">
        <f t="shared" si="4"/>
        <v>3.2835415205832175</v>
      </c>
      <c r="K12" s="53">
        <f t="shared" si="5"/>
        <v>0</v>
      </c>
      <c r="L12" s="53">
        <v>0.4</v>
      </c>
      <c r="M12" s="58">
        <f t="shared" si="6"/>
        <v>6.6966738617353708E-2</v>
      </c>
      <c r="N12" s="58">
        <f t="shared" si="7"/>
        <v>6.6966738617353708E-2</v>
      </c>
      <c r="O12" s="59">
        <f t="shared" si="8"/>
        <v>4.5967078311451184</v>
      </c>
    </row>
    <row r="13" spans="1:15" x14ac:dyDescent="0.2">
      <c r="A13" s="37">
        <v>1320</v>
      </c>
      <c r="B13" s="55">
        <v>36</v>
      </c>
      <c r="C13" s="56" t="s">
        <v>23</v>
      </c>
      <c r="D13" s="57">
        <f>'Headloss Calcs'!$A$35</f>
        <v>15</v>
      </c>
      <c r="E13" s="53">
        <f t="shared" si="0"/>
        <v>23.210041592394532</v>
      </c>
      <c r="F13" s="38">
        <f>'Headloss Calcs'!$E$18</f>
        <v>140</v>
      </c>
      <c r="G13" s="53">
        <f t="shared" si="1"/>
        <v>7.0686</v>
      </c>
      <c r="H13" s="53">
        <f t="shared" si="2"/>
        <v>9.4247999999999994</v>
      </c>
      <c r="I13" s="53">
        <f t="shared" si="3"/>
        <v>0.75</v>
      </c>
      <c r="J13" s="53">
        <f t="shared" si="4"/>
        <v>3.2835415205832175</v>
      </c>
      <c r="K13" s="53">
        <f t="shared" si="5"/>
        <v>1.0696539556781719</v>
      </c>
      <c r="L13" s="53"/>
      <c r="M13" s="58">
        <f t="shared" si="6"/>
        <v>0</v>
      </c>
      <c r="N13" s="58">
        <f t="shared" si="7"/>
        <v>1.0696539556781719</v>
      </c>
      <c r="O13" s="59">
        <f t="shared" si="8"/>
        <v>5.6663617868232903</v>
      </c>
    </row>
    <row r="14" spans="1:15" x14ac:dyDescent="0.2">
      <c r="A14" s="37"/>
      <c r="B14" s="55">
        <v>36</v>
      </c>
      <c r="C14" s="56" t="s">
        <v>39</v>
      </c>
      <c r="D14" s="57">
        <f>'Headloss Calcs'!$A$35</f>
        <v>15</v>
      </c>
      <c r="E14" s="53">
        <f t="shared" si="0"/>
        <v>23.210041592394532</v>
      </c>
      <c r="F14" s="38">
        <f>'Headloss Calcs'!$E$18</f>
        <v>140</v>
      </c>
      <c r="G14" s="53">
        <f t="shared" si="1"/>
        <v>7.0686</v>
      </c>
      <c r="H14" s="53">
        <f t="shared" si="2"/>
        <v>9.4247999999999994</v>
      </c>
      <c r="I14" s="53">
        <f t="shared" si="3"/>
        <v>0.75</v>
      </c>
      <c r="J14" s="53">
        <f t="shared" si="4"/>
        <v>3.2835415205832175</v>
      </c>
      <c r="K14" s="53">
        <f t="shared" si="5"/>
        <v>0</v>
      </c>
      <c r="L14" s="53">
        <v>0.4</v>
      </c>
      <c r="M14" s="58">
        <f t="shared" si="6"/>
        <v>6.6966738617353708E-2</v>
      </c>
      <c r="N14" s="58">
        <f t="shared" si="7"/>
        <v>6.6966738617353708E-2</v>
      </c>
      <c r="O14" s="59">
        <f t="shared" si="8"/>
        <v>5.7333285254406441</v>
      </c>
    </row>
    <row r="15" spans="1:15" x14ac:dyDescent="0.2">
      <c r="A15" s="37">
        <v>1320</v>
      </c>
      <c r="B15" s="55">
        <v>36</v>
      </c>
      <c r="C15" s="56" t="s">
        <v>23</v>
      </c>
      <c r="D15" s="57">
        <f>'Headloss Calcs'!$A$35</f>
        <v>15</v>
      </c>
      <c r="E15" s="53">
        <f t="shared" si="0"/>
        <v>23.210041592394532</v>
      </c>
      <c r="F15" s="38">
        <f>'Headloss Calcs'!$E$18</f>
        <v>140</v>
      </c>
      <c r="G15" s="53">
        <f t="shared" si="1"/>
        <v>7.0686</v>
      </c>
      <c r="H15" s="53">
        <f t="shared" si="2"/>
        <v>9.4247999999999994</v>
      </c>
      <c r="I15" s="53">
        <f t="shared" si="3"/>
        <v>0.75</v>
      </c>
      <c r="J15" s="53">
        <f t="shared" si="4"/>
        <v>3.2835415205832175</v>
      </c>
      <c r="K15" s="53">
        <f t="shared" si="5"/>
        <v>1.0696539556781719</v>
      </c>
      <c r="L15" s="53"/>
      <c r="M15" s="58">
        <f t="shared" si="6"/>
        <v>0</v>
      </c>
      <c r="N15" s="58">
        <f t="shared" si="7"/>
        <v>1.0696539556781719</v>
      </c>
      <c r="O15" s="59">
        <f t="shared" si="8"/>
        <v>6.802982481118816</v>
      </c>
    </row>
    <row r="16" spans="1:15" x14ac:dyDescent="0.2">
      <c r="A16" s="37"/>
      <c r="B16" s="55">
        <v>36</v>
      </c>
      <c r="C16" s="56" t="s">
        <v>45</v>
      </c>
      <c r="D16" s="57">
        <f>'Headloss Calcs'!$A$35</f>
        <v>15</v>
      </c>
      <c r="E16" s="53">
        <f t="shared" si="0"/>
        <v>23.210041592394532</v>
      </c>
      <c r="F16" s="38">
        <f>'Headloss Calcs'!$E$18</f>
        <v>140</v>
      </c>
      <c r="G16" s="53">
        <f t="shared" si="1"/>
        <v>7.0686</v>
      </c>
      <c r="H16" s="53">
        <f t="shared" si="2"/>
        <v>9.4247999999999994</v>
      </c>
      <c r="I16" s="53">
        <f t="shared" si="3"/>
        <v>0.75</v>
      </c>
      <c r="J16" s="53">
        <f t="shared" si="4"/>
        <v>3.2835415205832175</v>
      </c>
      <c r="K16" s="53">
        <f t="shared" si="5"/>
        <v>0</v>
      </c>
      <c r="L16" s="53">
        <v>0.2</v>
      </c>
      <c r="M16" s="58">
        <f t="shared" si="6"/>
        <v>3.3483369308676854E-2</v>
      </c>
      <c r="N16" s="58">
        <f t="shared" si="7"/>
        <v>3.3483369308676854E-2</v>
      </c>
      <c r="O16" s="59">
        <f t="shared" si="8"/>
        <v>6.8364658504274924</v>
      </c>
    </row>
    <row r="17" spans="1:15" x14ac:dyDescent="0.2">
      <c r="A17" s="37">
        <v>1320</v>
      </c>
      <c r="B17" s="55">
        <v>36</v>
      </c>
      <c r="C17" s="56" t="s">
        <v>23</v>
      </c>
      <c r="D17" s="57">
        <f>'Headloss Calcs'!$A$35</f>
        <v>15</v>
      </c>
      <c r="E17" s="53">
        <f t="shared" si="0"/>
        <v>23.210041592394532</v>
      </c>
      <c r="F17" s="38">
        <f>'Headloss Calcs'!$E$18</f>
        <v>140</v>
      </c>
      <c r="G17" s="53">
        <f t="shared" si="1"/>
        <v>7.0686</v>
      </c>
      <c r="H17" s="53">
        <f t="shared" si="2"/>
        <v>9.4247999999999994</v>
      </c>
      <c r="I17" s="53">
        <f t="shared" si="3"/>
        <v>0.75</v>
      </c>
      <c r="J17" s="53">
        <f t="shared" si="4"/>
        <v>3.2835415205832175</v>
      </c>
      <c r="K17" s="53">
        <f t="shared" si="5"/>
        <v>1.0696539556781719</v>
      </c>
      <c r="L17" s="53"/>
      <c r="M17" s="58">
        <f t="shared" si="6"/>
        <v>0</v>
      </c>
      <c r="N17" s="58">
        <f t="shared" si="7"/>
        <v>1.0696539556781719</v>
      </c>
      <c r="O17" s="59">
        <f t="shared" si="8"/>
        <v>7.9061198061056643</v>
      </c>
    </row>
    <row r="18" spans="1:15" ht="12" customHeight="1" x14ac:dyDescent="0.2">
      <c r="A18" s="37"/>
      <c r="B18" s="55">
        <v>36</v>
      </c>
      <c r="C18" s="56" t="s">
        <v>44</v>
      </c>
      <c r="D18" s="57">
        <f>'Headloss Calcs'!$A$35</f>
        <v>15</v>
      </c>
      <c r="E18" s="53">
        <f t="shared" si="0"/>
        <v>23.210041592394532</v>
      </c>
      <c r="F18" s="38">
        <f>'Headloss Calcs'!$E$18</f>
        <v>140</v>
      </c>
      <c r="G18" s="53">
        <f t="shared" si="1"/>
        <v>7.0686</v>
      </c>
      <c r="H18" s="53">
        <f t="shared" si="2"/>
        <v>9.4247999999999994</v>
      </c>
      <c r="I18" s="53">
        <f t="shared" si="3"/>
        <v>0.75</v>
      </c>
      <c r="J18" s="53">
        <f t="shared" si="4"/>
        <v>3.2835415205832175</v>
      </c>
      <c r="K18" s="53">
        <f t="shared" si="5"/>
        <v>0</v>
      </c>
      <c r="L18" s="53">
        <v>1</v>
      </c>
      <c r="M18" s="58">
        <f t="shared" si="6"/>
        <v>0.16741684654338426</v>
      </c>
      <c r="N18" s="58">
        <f t="shared" si="7"/>
        <v>0.16741684654338426</v>
      </c>
      <c r="O18" s="59">
        <f t="shared" si="8"/>
        <v>8.0735366526490484</v>
      </c>
    </row>
    <row r="19" spans="1:15" ht="13.5" thickBot="1" x14ac:dyDescent="0.25">
      <c r="A19" s="39"/>
      <c r="B19" s="40"/>
      <c r="C19" s="41"/>
      <c r="D19" s="40"/>
      <c r="E19" s="42"/>
      <c r="F19" s="40"/>
      <c r="G19" s="54"/>
      <c r="H19" s="54"/>
      <c r="I19" s="54"/>
      <c r="J19" s="54"/>
      <c r="K19" s="54"/>
      <c r="L19" s="54"/>
      <c r="M19" s="60"/>
      <c r="N19" s="60" t="s">
        <v>40</v>
      </c>
      <c r="O19" s="61">
        <f>O18</f>
        <v>8.0735366526490484</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Calcs'!$A$35</f>
        <v>15</v>
      </c>
      <c r="E22" s="53">
        <f t="shared" ref="E22:E37" si="9">D22*1000000/(7.48*24*60*60)</f>
        <v>23.210041592394532</v>
      </c>
      <c r="F22" s="38">
        <f>'Headloss Calcs'!$H$18</f>
        <v>100</v>
      </c>
      <c r="G22" s="53">
        <f t="shared" ref="G22:G37" si="10">3.1416/4*(B22/12)^2</f>
        <v>7.0686</v>
      </c>
      <c r="H22" s="53">
        <f t="shared" ref="H22:H37" si="11">3.1416*(B22/12)</f>
        <v>9.4247999999999994</v>
      </c>
      <c r="I22" s="53">
        <f t="shared" ref="I22:I37" si="12">G22/H22</f>
        <v>0.75</v>
      </c>
      <c r="J22" s="53">
        <f t="shared" ref="J22:J37" si="13">E22/G22</f>
        <v>3.2835415205832175</v>
      </c>
      <c r="K22" s="53">
        <f t="shared" ref="K22:K37" si="14">(J22/(1.318*F22*I22^0.63))^1.85*A22</f>
        <v>0</v>
      </c>
      <c r="L22" s="53">
        <v>0.25</v>
      </c>
      <c r="M22" s="58">
        <f t="shared" ref="M22:M37" si="15">L22*(J22^2)/(2*32.2)</f>
        <v>4.1854211635846066E-2</v>
      </c>
      <c r="N22" s="58">
        <f t="shared" ref="N22:N37" si="16">K22+M22</f>
        <v>4.1854211635846066E-2</v>
      </c>
      <c r="O22" s="59">
        <f>N22</f>
        <v>4.1854211635846066E-2</v>
      </c>
    </row>
    <row r="23" spans="1:15" x14ac:dyDescent="0.2">
      <c r="A23" s="37"/>
      <c r="B23" s="55">
        <v>36</v>
      </c>
      <c r="C23" s="56" t="s">
        <v>47</v>
      </c>
      <c r="D23" s="57">
        <f>'Headloss Calcs'!$A$35</f>
        <v>15</v>
      </c>
      <c r="E23" s="53">
        <f t="shared" si="9"/>
        <v>23.210041592394532</v>
      </c>
      <c r="F23" s="38">
        <f>'Headloss Calcs'!$H$18</f>
        <v>100</v>
      </c>
      <c r="G23" s="53">
        <f t="shared" si="10"/>
        <v>7.0686</v>
      </c>
      <c r="H23" s="53">
        <f t="shared" si="11"/>
        <v>9.4247999999999994</v>
      </c>
      <c r="I23" s="53">
        <f t="shared" si="12"/>
        <v>0.75</v>
      </c>
      <c r="J23" s="53">
        <f t="shared" si="13"/>
        <v>3.2835415205832175</v>
      </c>
      <c r="K23" s="53">
        <f t="shared" si="14"/>
        <v>0</v>
      </c>
      <c r="L23" s="53">
        <v>0.25</v>
      </c>
      <c r="M23" s="58">
        <f t="shared" si="15"/>
        <v>4.1854211635846066E-2</v>
      </c>
      <c r="N23" s="58">
        <f t="shared" si="16"/>
        <v>4.1854211635846066E-2</v>
      </c>
      <c r="O23" s="59">
        <f t="shared" ref="O23:O37" si="17">N23+O22</f>
        <v>8.3708423271692131E-2</v>
      </c>
    </row>
    <row r="24" spans="1:15" x14ac:dyDescent="0.2">
      <c r="A24" s="37">
        <v>1320</v>
      </c>
      <c r="B24" s="55">
        <v>36</v>
      </c>
      <c r="C24" s="56" t="s">
        <v>23</v>
      </c>
      <c r="D24" s="57">
        <f>'Headloss Calcs'!$A$35</f>
        <v>15</v>
      </c>
      <c r="E24" s="53">
        <f t="shared" si="9"/>
        <v>23.210041592394532</v>
      </c>
      <c r="F24" s="38">
        <f>'Headloss Calcs'!$H$18</f>
        <v>100</v>
      </c>
      <c r="G24" s="53">
        <f t="shared" si="10"/>
        <v>7.0686</v>
      </c>
      <c r="H24" s="53">
        <f t="shared" si="11"/>
        <v>9.4247999999999994</v>
      </c>
      <c r="I24" s="53">
        <f t="shared" si="12"/>
        <v>0.75</v>
      </c>
      <c r="J24" s="53">
        <f t="shared" si="13"/>
        <v>3.2835415205832175</v>
      </c>
      <c r="K24" s="53">
        <f t="shared" si="14"/>
        <v>1.9933344271023614</v>
      </c>
      <c r="L24" s="53"/>
      <c r="M24" s="58">
        <f t="shared" si="15"/>
        <v>0</v>
      </c>
      <c r="N24" s="58">
        <f t="shared" si="16"/>
        <v>1.9933344271023614</v>
      </c>
      <c r="O24" s="59">
        <f t="shared" si="17"/>
        <v>2.0770428503740535</v>
      </c>
    </row>
    <row r="25" spans="1:15" x14ac:dyDescent="0.2">
      <c r="A25" s="37"/>
      <c r="B25" s="55">
        <v>36</v>
      </c>
      <c r="C25" s="56" t="s">
        <v>45</v>
      </c>
      <c r="D25" s="57">
        <f>'Headloss Calcs'!$A$35</f>
        <v>15</v>
      </c>
      <c r="E25" s="53">
        <f t="shared" si="9"/>
        <v>23.210041592394532</v>
      </c>
      <c r="F25" s="38">
        <f>'Headloss Calcs'!$H$18</f>
        <v>100</v>
      </c>
      <c r="G25" s="53">
        <f t="shared" si="10"/>
        <v>7.0686</v>
      </c>
      <c r="H25" s="53">
        <f t="shared" si="11"/>
        <v>9.4247999999999994</v>
      </c>
      <c r="I25" s="53">
        <f t="shared" si="12"/>
        <v>0.75</v>
      </c>
      <c r="J25" s="53">
        <f t="shared" si="13"/>
        <v>3.2835415205832175</v>
      </c>
      <c r="K25" s="53">
        <f t="shared" si="14"/>
        <v>0</v>
      </c>
      <c r="L25" s="53">
        <v>0.2</v>
      </c>
      <c r="M25" s="58">
        <f t="shared" si="15"/>
        <v>3.3483369308676854E-2</v>
      </c>
      <c r="N25" s="58">
        <f t="shared" si="16"/>
        <v>3.3483369308676854E-2</v>
      </c>
      <c r="O25" s="59">
        <f t="shared" si="17"/>
        <v>2.1105262196827304</v>
      </c>
    </row>
    <row r="26" spans="1:15" x14ac:dyDescent="0.2">
      <c r="A26" s="37">
        <v>1320</v>
      </c>
      <c r="B26" s="55">
        <v>36</v>
      </c>
      <c r="C26" s="69" t="s">
        <v>23</v>
      </c>
      <c r="D26" s="57">
        <f>'Headloss Calcs'!$A$35</f>
        <v>15</v>
      </c>
      <c r="E26" s="53">
        <f t="shared" si="9"/>
        <v>23.210041592394532</v>
      </c>
      <c r="F26" s="38">
        <f>'Headloss Calcs'!$H$18</f>
        <v>100</v>
      </c>
      <c r="G26" s="53">
        <f t="shared" si="10"/>
        <v>7.0686</v>
      </c>
      <c r="H26" s="53">
        <f t="shared" si="11"/>
        <v>9.4247999999999994</v>
      </c>
      <c r="I26" s="53">
        <f t="shared" si="12"/>
        <v>0.75</v>
      </c>
      <c r="J26" s="53">
        <f t="shared" si="13"/>
        <v>3.2835415205832175</v>
      </c>
      <c r="K26" s="53">
        <f t="shared" si="14"/>
        <v>1.9933344271023614</v>
      </c>
      <c r="L26" s="53"/>
      <c r="M26" s="58">
        <f t="shared" si="15"/>
        <v>0</v>
      </c>
      <c r="N26" s="58">
        <f t="shared" si="16"/>
        <v>1.9933344271023614</v>
      </c>
      <c r="O26" s="59">
        <f t="shared" si="17"/>
        <v>4.1038606467850922</v>
      </c>
    </row>
    <row r="27" spans="1:15" x14ac:dyDescent="0.2">
      <c r="A27" s="37"/>
      <c r="B27" s="55">
        <v>36</v>
      </c>
      <c r="C27" s="56" t="s">
        <v>39</v>
      </c>
      <c r="D27" s="57">
        <f>'Headloss Calcs'!$A$35</f>
        <v>15</v>
      </c>
      <c r="E27" s="53">
        <f t="shared" si="9"/>
        <v>23.210041592394532</v>
      </c>
      <c r="F27" s="38">
        <f>'Headloss Calcs'!$H$18</f>
        <v>100</v>
      </c>
      <c r="G27" s="53">
        <f t="shared" si="10"/>
        <v>7.0686</v>
      </c>
      <c r="H27" s="53">
        <f t="shared" si="11"/>
        <v>9.4247999999999994</v>
      </c>
      <c r="I27" s="53">
        <f t="shared" si="12"/>
        <v>0.75</v>
      </c>
      <c r="J27" s="53">
        <f t="shared" si="13"/>
        <v>3.2835415205832175</v>
      </c>
      <c r="K27" s="53">
        <f t="shared" si="14"/>
        <v>0</v>
      </c>
      <c r="L27" s="53">
        <v>0.4</v>
      </c>
      <c r="M27" s="58">
        <f t="shared" si="15"/>
        <v>6.6966738617353708E-2</v>
      </c>
      <c r="N27" s="58">
        <f t="shared" si="16"/>
        <v>6.6966738617353708E-2</v>
      </c>
      <c r="O27" s="59">
        <f t="shared" si="17"/>
        <v>4.170827385402446</v>
      </c>
    </row>
    <row r="28" spans="1:15" x14ac:dyDescent="0.2">
      <c r="A28" s="37">
        <v>1320</v>
      </c>
      <c r="B28" s="55">
        <v>36</v>
      </c>
      <c r="C28" s="56" t="s">
        <v>23</v>
      </c>
      <c r="D28" s="57">
        <f>'Headloss Calcs'!$A$35</f>
        <v>15</v>
      </c>
      <c r="E28" s="53">
        <f t="shared" si="9"/>
        <v>23.210041592394532</v>
      </c>
      <c r="F28" s="38">
        <f>'Headloss Calcs'!$H$18</f>
        <v>100</v>
      </c>
      <c r="G28" s="53">
        <f t="shared" si="10"/>
        <v>7.0686</v>
      </c>
      <c r="H28" s="53">
        <f t="shared" si="11"/>
        <v>9.4247999999999994</v>
      </c>
      <c r="I28" s="53">
        <f t="shared" si="12"/>
        <v>0.75</v>
      </c>
      <c r="J28" s="53">
        <f t="shared" si="13"/>
        <v>3.2835415205832175</v>
      </c>
      <c r="K28" s="53">
        <f t="shared" si="14"/>
        <v>1.9933344271023614</v>
      </c>
      <c r="L28" s="53"/>
      <c r="M28" s="58">
        <f t="shared" si="15"/>
        <v>0</v>
      </c>
      <c r="N28" s="58">
        <f t="shared" si="16"/>
        <v>1.9933344271023614</v>
      </c>
      <c r="O28" s="59">
        <f t="shared" si="17"/>
        <v>6.1641618125048074</v>
      </c>
    </row>
    <row r="29" spans="1:15" x14ac:dyDescent="0.2">
      <c r="A29" s="37"/>
      <c r="B29" s="55">
        <v>36</v>
      </c>
      <c r="C29" s="56" t="s">
        <v>39</v>
      </c>
      <c r="D29" s="57">
        <f>'Headloss Calcs'!$A$35</f>
        <v>15</v>
      </c>
      <c r="E29" s="53">
        <f t="shared" si="9"/>
        <v>23.210041592394532</v>
      </c>
      <c r="F29" s="38">
        <f>'Headloss Calcs'!$H$18</f>
        <v>100</v>
      </c>
      <c r="G29" s="53">
        <f t="shared" si="10"/>
        <v>7.0686</v>
      </c>
      <c r="H29" s="53">
        <f t="shared" si="11"/>
        <v>9.4247999999999994</v>
      </c>
      <c r="I29" s="53">
        <f t="shared" si="12"/>
        <v>0.75</v>
      </c>
      <c r="J29" s="53">
        <f t="shared" si="13"/>
        <v>3.2835415205832175</v>
      </c>
      <c r="K29" s="53">
        <f t="shared" si="14"/>
        <v>0</v>
      </c>
      <c r="L29" s="53">
        <v>0.4</v>
      </c>
      <c r="M29" s="58">
        <f t="shared" si="15"/>
        <v>6.6966738617353708E-2</v>
      </c>
      <c r="N29" s="58">
        <f t="shared" si="16"/>
        <v>6.6966738617353708E-2</v>
      </c>
      <c r="O29" s="59">
        <f t="shared" si="17"/>
        <v>6.2311285511221612</v>
      </c>
    </row>
    <row r="30" spans="1:15" x14ac:dyDescent="0.2">
      <c r="A30" s="37">
        <v>1320</v>
      </c>
      <c r="B30" s="55">
        <v>36</v>
      </c>
      <c r="C30" s="56" t="s">
        <v>23</v>
      </c>
      <c r="D30" s="57">
        <f>'Headloss Calcs'!$A$35</f>
        <v>15</v>
      </c>
      <c r="E30" s="53">
        <f t="shared" si="9"/>
        <v>23.210041592394532</v>
      </c>
      <c r="F30" s="38">
        <f>'Headloss Calcs'!$H$18</f>
        <v>100</v>
      </c>
      <c r="G30" s="53">
        <f t="shared" si="10"/>
        <v>7.0686</v>
      </c>
      <c r="H30" s="53">
        <f t="shared" si="11"/>
        <v>9.4247999999999994</v>
      </c>
      <c r="I30" s="53">
        <f t="shared" si="12"/>
        <v>0.75</v>
      </c>
      <c r="J30" s="53">
        <f t="shared" si="13"/>
        <v>3.2835415205832175</v>
      </c>
      <c r="K30" s="53">
        <f t="shared" si="14"/>
        <v>1.9933344271023614</v>
      </c>
      <c r="L30" s="53"/>
      <c r="M30" s="58">
        <f t="shared" si="15"/>
        <v>0</v>
      </c>
      <c r="N30" s="58">
        <f t="shared" si="16"/>
        <v>1.9933344271023614</v>
      </c>
      <c r="O30" s="59">
        <f t="shared" si="17"/>
        <v>8.2244629782245227</v>
      </c>
    </row>
    <row r="31" spans="1:15" x14ac:dyDescent="0.2">
      <c r="A31" s="37"/>
      <c r="B31" s="55">
        <v>36</v>
      </c>
      <c r="C31" s="56" t="s">
        <v>48</v>
      </c>
      <c r="D31" s="57">
        <f>'Headloss Calcs'!$A$35</f>
        <v>15</v>
      </c>
      <c r="E31" s="53">
        <f t="shared" si="9"/>
        <v>23.210041592394532</v>
      </c>
      <c r="F31" s="38">
        <f>'Headloss Calcs'!$H$18</f>
        <v>100</v>
      </c>
      <c r="G31" s="53">
        <f t="shared" si="10"/>
        <v>7.0686</v>
      </c>
      <c r="H31" s="53">
        <f t="shared" si="11"/>
        <v>9.4247999999999994</v>
      </c>
      <c r="I31" s="53">
        <f t="shared" si="12"/>
        <v>0.75</v>
      </c>
      <c r="J31" s="53">
        <f t="shared" si="13"/>
        <v>3.2835415205832175</v>
      </c>
      <c r="K31" s="53">
        <f t="shared" si="14"/>
        <v>0</v>
      </c>
      <c r="L31" s="53">
        <v>0.4</v>
      </c>
      <c r="M31" s="58">
        <f t="shared" si="15"/>
        <v>6.6966738617353708E-2</v>
      </c>
      <c r="N31" s="58">
        <f t="shared" si="16"/>
        <v>6.6966738617353708E-2</v>
      </c>
      <c r="O31" s="59">
        <f t="shared" si="17"/>
        <v>8.2914297168418756</v>
      </c>
    </row>
    <row r="32" spans="1:15" x14ac:dyDescent="0.2">
      <c r="A32" s="37">
        <v>1320</v>
      </c>
      <c r="B32" s="55">
        <v>36</v>
      </c>
      <c r="C32" s="56" t="s">
        <v>23</v>
      </c>
      <c r="D32" s="57">
        <f>'Headloss Calcs'!$A$35</f>
        <v>15</v>
      </c>
      <c r="E32" s="53">
        <f t="shared" si="9"/>
        <v>23.210041592394532</v>
      </c>
      <c r="F32" s="38">
        <f>'Headloss Calcs'!$H$18</f>
        <v>100</v>
      </c>
      <c r="G32" s="53">
        <f t="shared" si="10"/>
        <v>7.0686</v>
      </c>
      <c r="H32" s="53">
        <f t="shared" si="11"/>
        <v>9.4247999999999994</v>
      </c>
      <c r="I32" s="53">
        <f t="shared" si="12"/>
        <v>0.75</v>
      </c>
      <c r="J32" s="53">
        <f t="shared" si="13"/>
        <v>3.2835415205832175</v>
      </c>
      <c r="K32" s="53">
        <f t="shared" si="14"/>
        <v>1.9933344271023614</v>
      </c>
      <c r="L32" s="53"/>
      <c r="M32" s="58">
        <f t="shared" si="15"/>
        <v>0</v>
      </c>
      <c r="N32" s="58">
        <f t="shared" si="16"/>
        <v>1.9933344271023614</v>
      </c>
      <c r="O32" s="59">
        <f t="shared" si="17"/>
        <v>10.284764143944237</v>
      </c>
    </row>
    <row r="33" spans="1:15" x14ac:dyDescent="0.2">
      <c r="A33" s="37"/>
      <c r="B33" s="55">
        <v>36</v>
      </c>
      <c r="C33" s="56" t="s">
        <v>39</v>
      </c>
      <c r="D33" s="57">
        <f>'Headloss Calcs'!$A$35</f>
        <v>15</v>
      </c>
      <c r="E33" s="53">
        <f t="shared" si="9"/>
        <v>23.210041592394532</v>
      </c>
      <c r="F33" s="38">
        <f>'Headloss Calcs'!$H$18</f>
        <v>100</v>
      </c>
      <c r="G33" s="53">
        <f t="shared" si="10"/>
        <v>7.0686</v>
      </c>
      <c r="H33" s="53">
        <f t="shared" si="11"/>
        <v>9.4247999999999994</v>
      </c>
      <c r="I33" s="53">
        <f t="shared" si="12"/>
        <v>0.75</v>
      </c>
      <c r="J33" s="53">
        <f t="shared" si="13"/>
        <v>3.2835415205832175</v>
      </c>
      <c r="K33" s="53">
        <f t="shared" si="14"/>
        <v>0</v>
      </c>
      <c r="L33" s="53">
        <v>0.4</v>
      </c>
      <c r="M33" s="58">
        <f t="shared" si="15"/>
        <v>6.6966738617353708E-2</v>
      </c>
      <c r="N33" s="58">
        <f t="shared" si="16"/>
        <v>6.6966738617353708E-2</v>
      </c>
      <c r="O33" s="59">
        <f t="shared" si="17"/>
        <v>10.35173088256159</v>
      </c>
    </row>
    <row r="34" spans="1:15" x14ac:dyDescent="0.2">
      <c r="A34" s="37">
        <v>1320</v>
      </c>
      <c r="B34" s="55">
        <v>36</v>
      </c>
      <c r="C34" s="56" t="s">
        <v>23</v>
      </c>
      <c r="D34" s="57">
        <f>'Headloss Calcs'!$A$35</f>
        <v>15</v>
      </c>
      <c r="E34" s="53">
        <f t="shared" si="9"/>
        <v>23.210041592394532</v>
      </c>
      <c r="F34" s="38">
        <f>'Headloss Calcs'!$H$18</f>
        <v>100</v>
      </c>
      <c r="G34" s="53">
        <f t="shared" si="10"/>
        <v>7.0686</v>
      </c>
      <c r="H34" s="53">
        <f t="shared" si="11"/>
        <v>9.4247999999999994</v>
      </c>
      <c r="I34" s="53">
        <f t="shared" si="12"/>
        <v>0.75</v>
      </c>
      <c r="J34" s="53">
        <f t="shared" si="13"/>
        <v>3.2835415205832175</v>
      </c>
      <c r="K34" s="53">
        <f t="shared" si="14"/>
        <v>1.9933344271023614</v>
      </c>
      <c r="L34" s="53"/>
      <c r="M34" s="58">
        <f t="shared" si="15"/>
        <v>0</v>
      </c>
      <c r="N34" s="58">
        <f t="shared" si="16"/>
        <v>1.9933344271023614</v>
      </c>
      <c r="O34" s="59">
        <f t="shared" si="17"/>
        <v>12.345065309663951</v>
      </c>
    </row>
    <row r="35" spans="1:15" x14ac:dyDescent="0.2">
      <c r="A35" s="37"/>
      <c r="B35" s="55">
        <v>36</v>
      </c>
      <c r="C35" s="56" t="s">
        <v>45</v>
      </c>
      <c r="D35" s="57">
        <f>'Headloss Calcs'!$A$35</f>
        <v>15</v>
      </c>
      <c r="E35" s="53">
        <f t="shared" si="9"/>
        <v>23.210041592394532</v>
      </c>
      <c r="F35" s="38">
        <f>'Headloss Calcs'!$H$18</f>
        <v>100</v>
      </c>
      <c r="G35" s="53">
        <f t="shared" si="10"/>
        <v>7.0686</v>
      </c>
      <c r="H35" s="53">
        <f t="shared" si="11"/>
        <v>9.4247999999999994</v>
      </c>
      <c r="I35" s="53">
        <f t="shared" si="12"/>
        <v>0.75</v>
      </c>
      <c r="J35" s="53">
        <f t="shared" si="13"/>
        <v>3.2835415205832175</v>
      </c>
      <c r="K35" s="53">
        <f t="shared" si="14"/>
        <v>0</v>
      </c>
      <c r="L35" s="53">
        <v>0.2</v>
      </c>
      <c r="M35" s="58">
        <f t="shared" si="15"/>
        <v>3.3483369308676854E-2</v>
      </c>
      <c r="N35" s="58">
        <f t="shared" si="16"/>
        <v>3.3483369308676854E-2</v>
      </c>
      <c r="O35" s="59">
        <f t="shared" si="17"/>
        <v>12.378548678972628</v>
      </c>
    </row>
    <row r="36" spans="1:15" x14ac:dyDescent="0.2">
      <c r="A36" s="37">
        <v>1320</v>
      </c>
      <c r="B36" s="55">
        <v>36</v>
      </c>
      <c r="C36" s="56" t="s">
        <v>23</v>
      </c>
      <c r="D36" s="57">
        <f>'Headloss Calcs'!$A$35</f>
        <v>15</v>
      </c>
      <c r="E36" s="53">
        <f t="shared" si="9"/>
        <v>23.210041592394532</v>
      </c>
      <c r="F36" s="38">
        <f>'Headloss Calcs'!$H$18</f>
        <v>100</v>
      </c>
      <c r="G36" s="53">
        <f t="shared" si="10"/>
        <v>7.0686</v>
      </c>
      <c r="H36" s="53">
        <f t="shared" si="11"/>
        <v>9.4247999999999994</v>
      </c>
      <c r="I36" s="53">
        <f t="shared" si="12"/>
        <v>0.75</v>
      </c>
      <c r="J36" s="53">
        <f t="shared" si="13"/>
        <v>3.2835415205832175</v>
      </c>
      <c r="K36" s="53">
        <f t="shared" si="14"/>
        <v>1.9933344271023614</v>
      </c>
      <c r="L36" s="53"/>
      <c r="M36" s="58">
        <f t="shared" si="15"/>
        <v>0</v>
      </c>
      <c r="N36" s="58">
        <f t="shared" si="16"/>
        <v>1.9933344271023614</v>
      </c>
      <c r="O36" s="59">
        <f t="shared" si="17"/>
        <v>14.371883106074989</v>
      </c>
    </row>
    <row r="37" spans="1:15" ht="12" customHeight="1" x14ac:dyDescent="0.2">
      <c r="A37" s="37"/>
      <c r="B37" s="55">
        <v>36</v>
      </c>
      <c r="C37" s="56" t="s">
        <v>44</v>
      </c>
      <c r="D37" s="57">
        <f>'Headloss Calcs'!$A$35</f>
        <v>15</v>
      </c>
      <c r="E37" s="53">
        <f t="shared" si="9"/>
        <v>23.210041592394532</v>
      </c>
      <c r="F37" s="38">
        <f>'Headloss Calcs'!$H$18</f>
        <v>100</v>
      </c>
      <c r="G37" s="53">
        <f t="shared" si="10"/>
        <v>7.0686</v>
      </c>
      <c r="H37" s="53">
        <f t="shared" si="11"/>
        <v>9.4247999999999994</v>
      </c>
      <c r="I37" s="53">
        <f t="shared" si="12"/>
        <v>0.75</v>
      </c>
      <c r="J37" s="53">
        <f t="shared" si="13"/>
        <v>3.2835415205832175</v>
      </c>
      <c r="K37" s="53">
        <f t="shared" si="14"/>
        <v>0</v>
      </c>
      <c r="L37" s="53">
        <v>1</v>
      </c>
      <c r="M37" s="58">
        <f t="shared" si="15"/>
        <v>0.16741684654338426</v>
      </c>
      <c r="N37" s="58">
        <f t="shared" si="16"/>
        <v>0.16741684654338426</v>
      </c>
      <c r="O37" s="59">
        <f t="shared" si="17"/>
        <v>14.539299952618373</v>
      </c>
    </row>
    <row r="38" spans="1:15" ht="13.5" thickBot="1" x14ac:dyDescent="0.25">
      <c r="A38" s="39"/>
      <c r="B38" s="40"/>
      <c r="C38" s="41"/>
      <c r="D38" s="40"/>
      <c r="E38" s="42"/>
      <c r="F38" s="40"/>
      <c r="G38" s="54"/>
      <c r="H38" s="54"/>
      <c r="I38" s="54"/>
      <c r="J38" s="54"/>
      <c r="K38" s="54"/>
      <c r="L38" s="54"/>
      <c r="M38" s="60"/>
      <c r="N38" s="60" t="s">
        <v>40</v>
      </c>
      <c r="O38" s="61">
        <f>O37</f>
        <v>14.539299952618373</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Calcs'!$A$36</f>
        <v>16</v>
      </c>
      <c r="E3" s="53">
        <f t="shared" ref="E3:E18" si="0">D3*1000000/(7.48*24*60*60)</f>
        <v>24.757377698554169</v>
      </c>
      <c r="F3" s="38">
        <f>'Headloss Calcs'!$E$18</f>
        <v>140</v>
      </c>
      <c r="G3" s="53">
        <f t="shared" ref="G3:G18" si="1">3.1416/4*(B3/12)^2</f>
        <v>7.0686</v>
      </c>
      <c r="H3" s="53">
        <f t="shared" ref="H3:H18" si="2">3.1416*(B3/12)</f>
        <v>9.4247999999999994</v>
      </c>
      <c r="I3" s="53">
        <f t="shared" ref="I3:I18" si="3">G3/H3</f>
        <v>0.75</v>
      </c>
      <c r="J3" s="53">
        <f t="shared" ref="J3:J18" si="4">E3/G3</f>
        <v>3.5024442886220992</v>
      </c>
      <c r="K3" s="53">
        <f t="shared" ref="K3:K18" si="5">(J3/(1.318*F3*I3^0.63))^1.85*A3</f>
        <v>0</v>
      </c>
      <c r="L3" s="53">
        <v>0.25</v>
      </c>
      <c r="M3" s="58">
        <f t="shared" ref="M3:M18" si="6">L3*(J3^2)/(2*32.2)</f>
        <v>4.7620791905673761E-2</v>
      </c>
      <c r="N3" s="58">
        <f t="shared" ref="N3:N18" si="7">K3+M3</f>
        <v>4.7620791905673761E-2</v>
      </c>
      <c r="O3" s="59">
        <f>N3</f>
        <v>4.7620791905673761E-2</v>
      </c>
    </row>
    <row r="4" spans="1:15" x14ac:dyDescent="0.2">
      <c r="A4" s="37"/>
      <c r="B4" s="55">
        <v>36</v>
      </c>
      <c r="C4" s="56" t="s">
        <v>47</v>
      </c>
      <c r="D4" s="57">
        <f>'Headloss Calcs'!$A$36</f>
        <v>16</v>
      </c>
      <c r="E4" s="53">
        <f t="shared" si="0"/>
        <v>24.757377698554169</v>
      </c>
      <c r="F4" s="38">
        <f>'Headloss Calcs'!$E$18</f>
        <v>140</v>
      </c>
      <c r="G4" s="53">
        <f t="shared" si="1"/>
        <v>7.0686</v>
      </c>
      <c r="H4" s="53">
        <f t="shared" si="2"/>
        <v>9.4247999999999994</v>
      </c>
      <c r="I4" s="53">
        <f t="shared" si="3"/>
        <v>0.75</v>
      </c>
      <c r="J4" s="53">
        <f t="shared" si="4"/>
        <v>3.5024442886220992</v>
      </c>
      <c r="K4" s="53">
        <f t="shared" si="5"/>
        <v>0</v>
      </c>
      <c r="L4" s="53">
        <v>0.25</v>
      </c>
      <c r="M4" s="58">
        <f t="shared" si="6"/>
        <v>4.7620791905673761E-2</v>
      </c>
      <c r="N4" s="58">
        <f t="shared" si="7"/>
        <v>4.7620791905673761E-2</v>
      </c>
      <c r="O4" s="59">
        <f t="shared" ref="O4:O18" si="8">N4+O3</f>
        <v>9.5241583811347522E-2</v>
      </c>
    </row>
    <row r="5" spans="1:15" x14ac:dyDescent="0.2">
      <c r="A5" s="37">
        <v>1320</v>
      </c>
      <c r="B5" s="55">
        <v>36</v>
      </c>
      <c r="C5" s="56" t="s">
        <v>23</v>
      </c>
      <c r="D5" s="57">
        <f>'Headloss Calcs'!$A$36</f>
        <v>16</v>
      </c>
      <c r="E5" s="53">
        <f t="shared" si="0"/>
        <v>24.757377698554169</v>
      </c>
      <c r="F5" s="38">
        <f>'Headloss Calcs'!$E$18</f>
        <v>140</v>
      </c>
      <c r="G5" s="53">
        <f t="shared" si="1"/>
        <v>7.0686</v>
      </c>
      <c r="H5" s="53">
        <f t="shared" si="2"/>
        <v>9.4247999999999994</v>
      </c>
      <c r="I5" s="53">
        <f t="shared" si="3"/>
        <v>0.75</v>
      </c>
      <c r="J5" s="53">
        <f t="shared" si="4"/>
        <v>3.5024442886220992</v>
      </c>
      <c r="K5" s="53">
        <f t="shared" si="5"/>
        <v>1.2053035625718753</v>
      </c>
      <c r="L5" s="53"/>
      <c r="M5" s="58">
        <f t="shared" si="6"/>
        <v>0</v>
      </c>
      <c r="N5" s="58">
        <f t="shared" si="7"/>
        <v>1.2053035625718753</v>
      </c>
      <c r="O5" s="59">
        <f t="shared" si="8"/>
        <v>1.3005451463832229</v>
      </c>
    </row>
    <row r="6" spans="1:15" x14ac:dyDescent="0.2">
      <c r="A6" s="37"/>
      <c r="B6" s="55">
        <v>36</v>
      </c>
      <c r="C6" s="56" t="s">
        <v>45</v>
      </c>
      <c r="D6" s="57">
        <f>'Headloss Calcs'!$A$36</f>
        <v>16</v>
      </c>
      <c r="E6" s="53">
        <f t="shared" si="0"/>
        <v>24.757377698554169</v>
      </c>
      <c r="F6" s="38">
        <f>'Headloss Calcs'!$E$18</f>
        <v>140</v>
      </c>
      <c r="G6" s="53">
        <f t="shared" si="1"/>
        <v>7.0686</v>
      </c>
      <c r="H6" s="53">
        <f t="shared" si="2"/>
        <v>9.4247999999999994</v>
      </c>
      <c r="I6" s="53">
        <f t="shared" si="3"/>
        <v>0.75</v>
      </c>
      <c r="J6" s="53">
        <f t="shared" si="4"/>
        <v>3.5024442886220992</v>
      </c>
      <c r="K6" s="53">
        <f t="shared" si="5"/>
        <v>0</v>
      </c>
      <c r="L6" s="53">
        <v>0.2</v>
      </c>
      <c r="M6" s="58">
        <f t="shared" si="6"/>
        <v>3.8096633524539014E-2</v>
      </c>
      <c r="N6" s="58">
        <f t="shared" si="7"/>
        <v>3.8096633524539014E-2</v>
      </c>
      <c r="O6" s="59">
        <f t="shared" si="8"/>
        <v>1.3386417799077619</v>
      </c>
    </row>
    <row r="7" spans="1:15" x14ac:dyDescent="0.2">
      <c r="A7" s="37">
        <v>1320</v>
      </c>
      <c r="B7" s="55">
        <v>36</v>
      </c>
      <c r="C7" s="69" t="s">
        <v>23</v>
      </c>
      <c r="D7" s="57">
        <f>'Headloss Calcs'!$A$36</f>
        <v>16</v>
      </c>
      <c r="E7" s="53">
        <f t="shared" si="0"/>
        <v>24.757377698554169</v>
      </c>
      <c r="F7" s="38">
        <f>'Headloss Calcs'!$E$18</f>
        <v>140</v>
      </c>
      <c r="G7" s="53">
        <f t="shared" si="1"/>
        <v>7.0686</v>
      </c>
      <c r="H7" s="53">
        <f t="shared" si="2"/>
        <v>9.4247999999999994</v>
      </c>
      <c r="I7" s="53">
        <f t="shared" si="3"/>
        <v>0.75</v>
      </c>
      <c r="J7" s="53">
        <f t="shared" si="4"/>
        <v>3.5024442886220992</v>
      </c>
      <c r="K7" s="53">
        <f t="shared" si="5"/>
        <v>1.2053035625718753</v>
      </c>
      <c r="L7" s="53"/>
      <c r="M7" s="58">
        <f t="shared" si="6"/>
        <v>0</v>
      </c>
      <c r="N7" s="58">
        <f t="shared" si="7"/>
        <v>1.2053035625718753</v>
      </c>
      <c r="O7" s="59">
        <f t="shared" si="8"/>
        <v>2.5439453424796374</v>
      </c>
    </row>
    <row r="8" spans="1:15" x14ac:dyDescent="0.2">
      <c r="A8" s="37"/>
      <c r="B8" s="55">
        <v>36</v>
      </c>
      <c r="C8" s="56" t="s">
        <v>39</v>
      </c>
      <c r="D8" s="57">
        <f>'Headloss Calcs'!$A$36</f>
        <v>16</v>
      </c>
      <c r="E8" s="53">
        <f t="shared" si="0"/>
        <v>24.757377698554169</v>
      </c>
      <c r="F8" s="38">
        <f>'Headloss Calcs'!$E$18</f>
        <v>140</v>
      </c>
      <c r="G8" s="53">
        <f t="shared" si="1"/>
        <v>7.0686</v>
      </c>
      <c r="H8" s="53">
        <f t="shared" si="2"/>
        <v>9.4247999999999994</v>
      </c>
      <c r="I8" s="53">
        <f t="shared" si="3"/>
        <v>0.75</v>
      </c>
      <c r="J8" s="53">
        <f t="shared" si="4"/>
        <v>3.5024442886220992</v>
      </c>
      <c r="K8" s="53">
        <f t="shared" si="5"/>
        <v>0</v>
      </c>
      <c r="L8" s="53">
        <v>0.4</v>
      </c>
      <c r="M8" s="58">
        <f t="shared" si="6"/>
        <v>7.6193267049078028E-2</v>
      </c>
      <c r="N8" s="58">
        <f t="shared" si="7"/>
        <v>7.6193267049078028E-2</v>
      </c>
      <c r="O8" s="59">
        <f t="shared" si="8"/>
        <v>2.6201386095287154</v>
      </c>
    </row>
    <row r="9" spans="1:15" x14ac:dyDescent="0.2">
      <c r="A9" s="37">
        <v>1320</v>
      </c>
      <c r="B9" s="55">
        <v>36</v>
      </c>
      <c r="C9" s="56" t="s">
        <v>23</v>
      </c>
      <c r="D9" s="57">
        <f>'Headloss Calcs'!$A$36</f>
        <v>16</v>
      </c>
      <c r="E9" s="53">
        <f t="shared" si="0"/>
        <v>24.757377698554169</v>
      </c>
      <c r="F9" s="38">
        <f>'Headloss Calcs'!$E$18</f>
        <v>140</v>
      </c>
      <c r="G9" s="53">
        <f t="shared" si="1"/>
        <v>7.0686</v>
      </c>
      <c r="H9" s="53">
        <f t="shared" si="2"/>
        <v>9.4247999999999994</v>
      </c>
      <c r="I9" s="53">
        <f t="shared" si="3"/>
        <v>0.75</v>
      </c>
      <c r="J9" s="53">
        <f t="shared" si="4"/>
        <v>3.5024442886220992</v>
      </c>
      <c r="K9" s="53">
        <f t="shared" si="5"/>
        <v>1.2053035625718753</v>
      </c>
      <c r="L9" s="53"/>
      <c r="M9" s="58">
        <f t="shared" si="6"/>
        <v>0</v>
      </c>
      <c r="N9" s="58">
        <f t="shared" si="7"/>
        <v>1.2053035625718753</v>
      </c>
      <c r="O9" s="59">
        <f t="shared" si="8"/>
        <v>3.8254421721005905</v>
      </c>
    </row>
    <row r="10" spans="1:15" x14ac:dyDescent="0.2">
      <c r="A10" s="37"/>
      <c r="B10" s="55">
        <v>36</v>
      </c>
      <c r="C10" s="56" t="s">
        <v>39</v>
      </c>
      <c r="D10" s="57">
        <f>'Headloss Calcs'!$A$36</f>
        <v>16</v>
      </c>
      <c r="E10" s="53">
        <f t="shared" si="0"/>
        <v>24.757377698554169</v>
      </c>
      <c r="F10" s="38">
        <f>'Headloss Calcs'!$E$18</f>
        <v>140</v>
      </c>
      <c r="G10" s="53">
        <f t="shared" si="1"/>
        <v>7.0686</v>
      </c>
      <c r="H10" s="53">
        <f t="shared" si="2"/>
        <v>9.4247999999999994</v>
      </c>
      <c r="I10" s="53">
        <f t="shared" si="3"/>
        <v>0.75</v>
      </c>
      <c r="J10" s="53">
        <f t="shared" si="4"/>
        <v>3.5024442886220992</v>
      </c>
      <c r="K10" s="53">
        <f t="shared" si="5"/>
        <v>0</v>
      </c>
      <c r="L10" s="53">
        <v>0.4</v>
      </c>
      <c r="M10" s="58">
        <f t="shared" si="6"/>
        <v>7.6193267049078028E-2</v>
      </c>
      <c r="N10" s="58">
        <f t="shared" si="7"/>
        <v>7.6193267049078028E-2</v>
      </c>
      <c r="O10" s="59">
        <f t="shared" si="8"/>
        <v>3.9016354391496684</v>
      </c>
    </row>
    <row r="11" spans="1:15" x14ac:dyDescent="0.2">
      <c r="A11" s="37">
        <v>1320</v>
      </c>
      <c r="B11" s="55">
        <v>36</v>
      </c>
      <c r="C11" s="56" t="s">
        <v>23</v>
      </c>
      <c r="D11" s="57">
        <f>'Headloss Calcs'!$A$36</f>
        <v>16</v>
      </c>
      <c r="E11" s="53">
        <f t="shared" si="0"/>
        <v>24.757377698554169</v>
      </c>
      <c r="F11" s="38">
        <f>'Headloss Calcs'!$E$18</f>
        <v>140</v>
      </c>
      <c r="G11" s="53">
        <f t="shared" si="1"/>
        <v>7.0686</v>
      </c>
      <c r="H11" s="53">
        <f t="shared" si="2"/>
        <v>9.4247999999999994</v>
      </c>
      <c r="I11" s="53">
        <f t="shared" si="3"/>
        <v>0.75</v>
      </c>
      <c r="J11" s="53">
        <f t="shared" si="4"/>
        <v>3.5024442886220992</v>
      </c>
      <c r="K11" s="53">
        <f t="shared" si="5"/>
        <v>1.2053035625718753</v>
      </c>
      <c r="L11" s="53"/>
      <c r="M11" s="58">
        <f t="shared" si="6"/>
        <v>0</v>
      </c>
      <c r="N11" s="58">
        <f t="shared" si="7"/>
        <v>1.2053035625718753</v>
      </c>
      <c r="O11" s="59">
        <f t="shared" si="8"/>
        <v>5.1069390017215435</v>
      </c>
    </row>
    <row r="12" spans="1:15" x14ac:dyDescent="0.2">
      <c r="A12" s="37"/>
      <c r="B12" s="55">
        <v>36</v>
      </c>
      <c r="C12" s="56" t="s">
        <v>48</v>
      </c>
      <c r="D12" s="57">
        <f>'Headloss Calcs'!$A$36</f>
        <v>16</v>
      </c>
      <c r="E12" s="53">
        <f t="shared" si="0"/>
        <v>24.757377698554169</v>
      </c>
      <c r="F12" s="38">
        <f>'Headloss Calcs'!$E$18</f>
        <v>140</v>
      </c>
      <c r="G12" s="53">
        <f t="shared" si="1"/>
        <v>7.0686</v>
      </c>
      <c r="H12" s="53">
        <f t="shared" si="2"/>
        <v>9.4247999999999994</v>
      </c>
      <c r="I12" s="53">
        <f t="shared" si="3"/>
        <v>0.75</v>
      </c>
      <c r="J12" s="53">
        <f t="shared" si="4"/>
        <v>3.5024442886220992</v>
      </c>
      <c r="K12" s="53">
        <f t="shared" si="5"/>
        <v>0</v>
      </c>
      <c r="L12" s="53">
        <v>0.4</v>
      </c>
      <c r="M12" s="58">
        <f t="shared" si="6"/>
        <v>7.6193267049078028E-2</v>
      </c>
      <c r="N12" s="58">
        <f t="shared" si="7"/>
        <v>7.6193267049078028E-2</v>
      </c>
      <c r="O12" s="59">
        <f t="shared" si="8"/>
        <v>5.1831322687706214</v>
      </c>
    </row>
    <row r="13" spans="1:15" x14ac:dyDescent="0.2">
      <c r="A13" s="37">
        <v>1320</v>
      </c>
      <c r="B13" s="55">
        <v>36</v>
      </c>
      <c r="C13" s="56" t="s">
        <v>23</v>
      </c>
      <c r="D13" s="57">
        <f>'Headloss Calcs'!$A$36</f>
        <v>16</v>
      </c>
      <c r="E13" s="53">
        <f t="shared" si="0"/>
        <v>24.757377698554169</v>
      </c>
      <c r="F13" s="38">
        <f>'Headloss Calcs'!$E$18</f>
        <v>140</v>
      </c>
      <c r="G13" s="53">
        <f t="shared" si="1"/>
        <v>7.0686</v>
      </c>
      <c r="H13" s="53">
        <f t="shared" si="2"/>
        <v>9.4247999999999994</v>
      </c>
      <c r="I13" s="53">
        <f t="shared" si="3"/>
        <v>0.75</v>
      </c>
      <c r="J13" s="53">
        <f t="shared" si="4"/>
        <v>3.5024442886220992</v>
      </c>
      <c r="K13" s="53">
        <f t="shared" si="5"/>
        <v>1.2053035625718753</v>
      </c>
      <c r="L13" s="53"/>
      <c r="M13" s="58">
        <f t="shared" si="6"/>
        <v>0</v>
      </c>
      <c r="N13" s="58">
        <f t="shared" si="7"/>
        <v>1.2053035625718753</v>
      </c>
      <c r="O13" s="59">
        <f t="shared" si="8"/>
        <v>6.3884358313424965</v>
      </c>
    </row>
    <row r="14" spans="1:15" x14ac:dyDescent="0.2">
      <c r="A14" s="37"/>
      <c r="B14" s="55">
        <v>36</v>
      </c>
      <c r="C14" s="56" t="s">
        <v>39</v>
      </c>
      <c r="D14" s="57">
        <f>'Headloss Calcs'!$A$36</f>
        <v>16</v>
      </c>
      <c r="E14" s="53">
        <f t="shared" si="0"/>
        <v>24.757377698554169</v>
      </c>
      <c r="F14" s="38">
        <f>'Headloss Calcs'!$E$18</f>
        <v>140</v>
      </c>
      <c r="G14" s="53">
        <f t="shared" si="1"/>
        <v>7.0686</v>
      </c>
      <c r="H14" s="53">
        <f t="shared" si="2"/>
        <v>9.4247999999999994</v>
      </c>
      <c r="I14" s="53">
        <f t="shared" si="3"/>
        <v>0.75</v>
      </c>
      <c r="J14" s="53">
        <f t="shared" si="4"/>
        <v>3.5024442886220992</v>
      </c>
      <c r="K14" s="53">
        <f t="shared" si="5"/>
        <v>0</v>
      </c>
      <c r="L14" s="53">
        <v>0.4</v>
      </c>
      <c r="M14" s="58">
        <f t="shared" si="6"/>
        <v>7.6193267049078028E-2</v>
      </c>
      <c r="N14" s="58">
        <f t="shared" si="7"/>
        <v>7.6193267049078028E-2</v>
      </c>
      <c r="O14" s="59">
        <f t="shared" si="8"/>
        <v>6.4646290983915744</v>
      </c>
    </row>
    <row r="15" spans="1:15" x14ac:dyDescent="0.2">
      <c r="A15" s="37">
        <v>1320</v>
      </c>
      <c r="B15" s="55">
        <v>36</v>
      </c>
      <c r="C15" s="56" t="s">
        <v>23</v>
      </c>
      <c r="D15" s="57">
        <f>'Headloss Calcs'!$A$36</f>
        <v>16</v>
      </c>
      <c r="E15" s="53">
        <f t="shared" si="0"/>
        <v>24.757377698554169</v>
      </c>
      <c r="F15" s="38">
        <f>'Headloss Calcs'!$E$18</f>
        <v>140</v>
      </c>
      <c r="G15" s="53">
        <f t="shared" si="1"/>
        <v>7.0686</v>
      </c>
      <c r="H15" s="53">
        <f t="shared" si="2"/>
        <v>9.4247999999999994</v>
      </c>
      <c r="I15" s="53">
        <f t="shared" si="3"/>
        <v>0.75</v>
      </c>
      <c r="J15" s="53">
        <f t="shared" si="4"/>
        <v>3.5024442886220992</v>
      </c>
      <c r="K15" s="53">
        <f t="shared" si="5"/>
        <v>1.2053035625718753</v>
      </c>
      <c r="L15" s="53"/>
      <c r="M15" s="58">
        <f t="shared" si="6"/>
        <v>0</v>
      </c>
      <c r="N15" s="58">
        <f t="shared" si="7"/>
        <v>1.2053035625718753</v>
      </c>
      <c r="O15" s="59">
        <f t="shared" si="8"/>
        <v>7.6699326609634495</v>
      </c>
    </row>
    <row r="16" spans="1:15" x14ac:dyDescent="0.2">
      <c r="A16" s="37"/>
      <c r="B16" s="55">
        <v>36</v>
      </c>
      <c r="C16" s="56" t="s">
        <v>45</v>
      </c>
      <c r="D16" s="57">
        <f>'Headloss Calcs'!$A$36</f>
        <v>16</v>
      </c>
      <c r="E16" s="53">
        <f t="shared" si="0"/>
        <v>24.757377698554169</v>
      </c>
      <c r="F16" s="38">
        <f>'Headloss Calcs'!$E$18</f>
        <v>140</v>
      </c>
      <c r="G16" s="53">
        <f t="shared" si="1"/>
        <v>7.0686</v>
      </c>
      <c r="H16" s="53">
        <f t="shared" si="2"/>
        <v>9.4247999999999994</v>
      </c>
      <c r="I16" s="53">
        <f t="shared" si="3"/>
        <v>0.75</v>
      </c>
      <c r="J16" s="53">
        <f t="shared" si="4"/>
        <v>3.5024442886220992</v>
      </c>
      <c r="K16" s="53">
        <f t="shared" si="5"/>
        <v>0</v>
      </c>
      <c r="L16" s="53">
        <v>0.2</v>
      </c>
      <c r="M16" s="58">
        <f t="shared" si="6"/>
        <v>3.8096633524539014E-2</v>
      </c>
      <c r="N16" s="58">
        <f t="shared" si="7"/>
        <v>3.8096633524539014E-2</v>
      </c>
      <c r="O16" s="59">
        <f t="shared" si="8"/>
        <v>7.7080292944879885</v>
      </c>
    </row>
    <row r="17" spans="1:15" x14ac:dyDescent="0.2">
      <c r="A17" s="37">
        <v>1320</v>
      </c>
      <c r="B17" s="55">
        <v>36</v>
      </c>
      <c r="C17" s="56" t="s">
        <v>23</v>
      </c>
      <c r="D17" s="57">
        <f>'Headloss Calcs'!$A$36</f>
        <v>16</v>
      </c>
      <c r="E17" s="53">
        <f t="shared" si="0"/>
        <v>24.757377698554169</v>
      </c>
      <c r="F17" s="38">
        <f>'Headloss Calcs'!$E$18</f>
        <v>140</v>
      </c>
      <c r="G17" s="53">
        <f t="shared" si="1"/>
        <v>7.0686</v>
      </c>
      <c r="H17" s="53">
        <f t="shared" si="2"/>
        <v>9.4247999999999994</v>
      </c>
      <c r="I17" s="53">
        <f t="shared" si="3"/>
        <v>0.75</v>
      </c>
      <c r="J17" s="53">
        <f t="shared" si="4"/>
        <v>3.5024442886220992</v>
      </c>
      <c r="K17" s="53">
        <f t="shared" si="5"/>
        <v>1.2053035625718753</v>
      </c>
      <c r="L17" s="53"/>
      <c r="M17" s="58">
        <f t="shared" si="6"/>
        <v>0</v>
      </c>
      <c r="N17" s="58">
        <f t="shared" si="7"/>
        <v>1.2053035625718753</v>
      </c>
      <c r="O17" s="59">
        <f t="shared" si="8"/>
        <v>8.9133328570598636</v>
      </c>
    </row>
    <row r="18" spans="1:15" ht="12" customHeight="1" x14ac:dyDescent="0.2">
      <c r="A18" s="37"/>
      <c r="B18" s="55">
        <v>36</v>
      </c>
      <c r="C18" s="56" t="s">
        <v>44</v>
      </c>
      <c r="D18" s="57">
        <f>'Headloss Calcs'!$A$36</f>
        <v>16</v>
      </c>
      <c r="E18" s="53">
        <f t="shared" si="0"/>
        <v>24.757377698554169</v>
      </c>
      <c r="F18" s="38">
        <f>'Headloss Calcs'!$E$18</f>
        <v>140</v>
      </c>
      <c r="G18" s="53">
        <f t="shared" si="1"/>
        <v>7.0686</v>
      </c>
      <c r="H18" s="53">
        <f t="shared" si="2"/>
        <v>9.4247999999999994</v>
      </c>
      <c r="I18" s="53">
        <f t="shared" si="3"/>
        <v>0.75</v>
      </c>
      <c r="J18" s="53">
        <f t="shared" si="4"/>
        <v>3.5024442886220992</v>
      </c>
      <c r="K18" s="53">
        <f t="shared" si="5"/>
        <v>0</v>
      </c>
      <c r="L18" s="53">
        <v>1</v>
      </c>
      <c r="M18" s="58">
        <f t="shared" si="6"/>
        <v>0.19048316762269504</v>
      </c>
      <c r="N18" s="58">
        <f t="shared" si="7"/>
        <v>0.19048316762269504</v>
      </c>
      <c r="O18" s="59">
        <f t="shared" si="8"/>
        <v>9.1038160246825583</v>
      </c>
    </row>
    <row r="19" spans="1:15" ht="13.5" thickBot="1" x14ac:dyDescent="0.25">
      <c r="A19" s="39"/>
      <c r="B19" s="40"/>
      <c r="C19" s="41"/>
      <c r="D19" s="40"/>
      <c r="E19" s="42"/>
      <c r="F19" s="40"/>
      <c r="G19" s="54"/>
      <c r="H19" s="54"/>
      <c r="I19" s="54"/>
      <c r="J19" s="54"/>
      <c r="K19" s="54"/>
      <c r="L19" s="54"/>
      <c r="M19" s="60"/>
      <c r="N19" s="60" t="s">
        <v>40</v>
      </c>
      <c r="O19" s="61">
        <f>O18</f>
        <v>9.1038160246825583</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Calcs'!$A$36</f>
        <v>16</v>
      </c>
      <c r="E22" s="53">
        <f t="shared" ref="E22:E37" si="9">D22*1000000/(7.48*24*60*60)</f>
        <v>24.757377698554169</v>
      </c>
      <c r="F22" s="38">
        <f>'Headloss Calcs'!$H$18</f>
        <v>100</v>
      </c>
      <c r="G22" s="53">
        <f t="shared" ref="G22:G37" si="10">3.1416/4*(B22/12)^2</f>
        <v>7.0686</v>
      </c>
      <c r="H22" s="53">
        <f t="shared" ref="H22:H37" si="11">3.1416*(B22/12)</f>
        <v>9.4247999999999994</v>
      </c>
      <c r="I22" s="53">
        <f t="shared" ref="I22:I37" si="12">G22/H22</f>
        <v>0.75</v>
      </c>
      <c r="J22" s="53">
        <f t="shared" ref="J22:J37" si="13">E22/G22</f>
        <v>3.5024442886220992</v>
      </c>
      <c r="K22" s="53">
        <f t="shared" ref="K22:K37" si="14">(J22/(1.318*F22*I22^0.63))^1.85*A22</f>
        <v>0</v>
      </c>
      <c r="L22" s="53">
        <v>0.25</v>
      </c>
      <c r="M22" s="58">
        <f t="shared" ref="M22:M37" si="15">L22*(J22^2)/(2*32.2)</f>
        <v>4.7620791905673761E-2</v>
      </c>
      <c r="N22" s="58">
        <f t="shared" ref="N22:N37" si="16">K22+M22</f>
        <v>4.7620791905673761E-2</v>
      </c>
      <c r="O22" s="59">
        <f>N22</f>
        <v>4.7620791905673761E-2</v>
      </c>
    </row>
    <row r="23" spans="1:15" x14ac:dyDescent="0.2">
      <c r="A23" s="37"/>
      <c r="B23" s="55">
        <v>36</v>
      </c>
      <c r="C23" s="56" t="s">
        <v>47</v>
      </c>
      <c r="D23" s="57">
        <f>'Headloss Calcs'!$A$36</f>
        <v>16</v>
      </c>
      <c r="E23" s="53">
        <f t="shared" si="9"/>
        <v>24.757377698554169</v>
      </c>
      <c r="F23" s="38">
        <f>'Headloss Calcs'!$H$18</f>
        <v>100</v>
      </c>
      <c r="G23" s="53">
        <f t="shared" si="10"/>
        <v>7.0686</v>
      </c>
      <c r="H23" s="53">
        <f t="shared" si="11"/>
        <v>9.4247999999999994</v>
      </c>
      <c r="I23" s="53">
        <f t="shared" si="12"/>
        <v>0.75</v>
      </c>
      <c r="J23" s="53">
        <f t="shared" si="13"/>
        <v>3.5024442886220992</v>
      </c>
      <c r="K23" s="53">
        <f t="shared" si="14"/>
        <v>0</v>
      </c>
      <c r="L23" s="53">
        <v>0.25</v>
      </c>
      <c r="M23" s="58">
        <f t="shared" si="15"/>
        <v>4.7620791905673761E-2</v>
      </c>
      <c r="N23" s="58">
        <f t="shared" si="16"/>
        <v>4.7620791905673761E-2</v>
      </c>
      <c r="O23" s="59">
        <f t="shared" ref="O23:O37" si="17">N23+O22</f>
        <v>9.5241583811347522E-2</v>
      </c>
    </row>
    <row r="24" spans="1:15" x14ac:dyDescent="0.2">
      <c r="A24" s="37">
        <v>1320</v>
      </c>
      <c r="B24" s="55">
        <v>36</v>
      </c>
      <c r="C24" s="56" t="s">
        <v>23</v>
      </c>
      <c r="D24" s="57">
        <f>'Headloss Calcs'!$A$36</f>
        <v>16</v>
      </c>
      <c r="E24" s="53">
        <f t="shared" si="9"/>
        <v>24.757377698554169</v>
      </c>
      <c r="F24" s="38">
        <f>'Headloss Calcs'!$H$18</f>
        <v>100</v>
      </c>
      <c r="G24" s="53">
        <f t="shared" si="10"/>
        <v>7.0686</v>
      </c>
      <c r="H24" s="53">
        <f t="shared" si="11"/>
        <v>9.4247999999999994</v>
      </c>
      <c r="I24" s="53">
        <f t="shared" si="12"/>
        <v>0.75</v>
      </c>
      <c r="J24" s="53">
        <f t="shared" si="13"/>
        <v>3.5024442886220992</v>
      </c>
      <c r="K24" s="53">
        <f t="shared" si="14"/>
        <v>2.2461218169014181</v>
      </c>
      <c r="L24" s="53"/>
      <c r="M24" s="58">
        <f t="shared" si="15"/>
        <v>0</v>
      </c>
      <c r="N24" s="58">
        <f t="shared" si="16"/>
        <v>2.2461218169014181</v>
      </c>
      <c r="O24" s="59">
        <f t="shared" si="17"/>
        <v>2.3413634007127655</v>
      </c>
    </row>
    <row r="25" spans="1:15" x14ac:dyDescent="0.2">
      <c r="A25" s="37"/>
      <c r="B25" s="55">
        <v>36</v>
      </c>
      <c r="C25" s="56" t="s">
        <v>45</v>
      </c>
      <c r="D25" s="57">
        <f>'Headloss Calcs'!$A$36</f>
        <v>16</v>
      </c>
      <c r="E25" s="53">
        <f t="shared" si="9"/>
        <v>24.757377698554169</v>
      </c>
      <c r="F25" s="38">
        <f>'Headloss Calcs'!$H$18</f>
        <v>100</v>
      </c>
      <c r="G25" s="53">
        <f t="shared" si="10"/>
        <v>7.0686</v>
      </c>
      <c r="H25" s="53">
        <f t="shared" si="11"/>
        <v>9.4247999999999994</v>
      </c>
      <c r="I25" s="53">
        <f t="shared" si="12"/>
        <v>0.75</v>
      </c>
      <c r="J25" s="53">
        <f t="shared" si="13"/>
        <v>3.5024442886220992</v>
      </c>
      <c r="K25" s="53">
        <f t="shared" si="14"/>
        <v>0</v>
      </c>
      <c r="L25" s="53">
        <v>0.2</v>
      </c>
      <c r="M25" s="58">
        <f t="shared" si="15"/>
        <v>3.8096633524539014E-2</v>
      </c>
      <c r="N25" s="58">
        <f t="shared" si="16"/>
        <v>3.8096633524539014E-2</v>
      </c>
      <c r="O25" s="59">
        <f t="shared" si="17"/>
        <v>2.3794600342373045</v>
      </c>
    </row>
    <row r="26" spans="1:15" x14ac:dyDescent="0.2">
      <c r="A26" s="37">
        <v>1320</v>
      </c>
      <c r="B26" s="55">
        <v>36</v>
      </c>
      <c r="C26" s="69" t="s">
        <v>23</v>
      </c>
      <c r="D26" s="57">
        <f>'Headloss Calcs'!$A$36</f>
        <v>16</v>
      </c>
      <c r="E26" s="53">
        <f t="shared" si="9"/>
        <v>24.757377698554169</v>
      </c>
      <c r="F26" s="38">
        <f>'Headloss Calcs'!$H$18</f>
        <v>100</v>
      </c>
      <c r="G26" s="53">
        <f t="shared" si="10"/>
        <v>7.0686</v>
      </c>
      <c r="H26" s="53">
        <f t="shared" si="11"/>
        <v>9.4247999999999994</v>
      </c>
      <c r="I26" s="53">
        <f t="shared" si="12"/>
        <v>0.75</v>
      </c>
      <c r="J26" s="53">
        <f t="shared" si="13"/>
        <v>3.5024442886220992</v>
      </c>
      <c r="K26" s="53">
        <f t="shared" si="14"/>
        <v>2.2461218169014181</v>
      </c>
      <c r="L26" s="53"/>
      <c r="M26" s="58">
        <f t="shared" si="15"/>
        <v>0</v>
      </c>
      <c r="N26" s="58">
        <f t="shared" si="16"/>
        <v>2.2461218169014181</v>
      </c>
      <c r="O26" s="59">
        <f t="shared" si="17"/>
        <v>4.6255818511387226</v>
      </c>
    </row>
    <row r="27" spans="1:15" x14ac:dyDescent="0.2">
      <c r="A27" s="37"/>
      <c r="B27" s="55">
        <v>36</v>
      </c>
      <c r="C27" s="56" t="s">
        <v>39</v>
      </c>
      <c r="D27" s="57">
        <f>'Headloss Calcs'!$A$36</f>
        <v>16</v>
      </c>
      <c r="E27" s="53">
        <f t="shared" si="9"/>
        <v>24.757377698554169</v>
      </c>
      <c r="F27" s="38">
        <f>'Headloss Calcs'!$H$18</f>
        <v>100</v>
      </c>
      <c r="G27" s="53">
        <f t="shared" si="10"/>
        <v>7.0686</v>
      </c>
      <c r="H27" s="53">
        <f t="shared" si="11"/>
        <v>9.4247999999999994</v>
      </c>
      <c r="I27" s="53">
        <f t="shared" si="12"/>
        <v>0.75</v>
      </c>
      <c r="J27" s="53">
        <f t="shared" si="13"/>
        <v>3.5024442886220992</v>
      </c>
      <c r="K27" s="53">
        <f t="shared" si="14"/>
        <v>0</v>
      </c>
      <c r="L27" s="53">
        <v>0.4</v>
      </c>
      <c r="M27" s="58">
        <f t="shared" si="15"/>
        <v>7.6193267049078028E-2</v>
      </c>
      <c r="N27" s="58">
        <f t="shared" si="16"/>
        <v>7.6193267049078028E-2</v>
      </c>
      <c r="O27" s="59">
        <f t="shared" si="17"/>
        <v>4.7017751181878005</v>
      </c>
    </row>
    <row r="28" spans="1:15" x14ac:dyDescent="0.2">
      <c r="A28" s="37">
        <v>1320</v>
      </c>
      <c r="B28" s="55">
        <v>36</v>
      </c>
      <c r="C28" s="56" t="s">
        <v>23</v>
      </c>
      <c r="D28" s="57">
        <f>'Headloss Calcs'!$A$36</f>
        <v>16</v>
      </c>
      <c r="E28" s="53">
        <f t="shared" si="9"/>
        <v>24.757377698554169</v>
      </c>
      <c r="F28" s="38">
        <f>'Headloss Calcs'!$H$18</f>
        <v>100</v>
      </c>
      <c r="G28" s="53">
        <f t="shared" si="10"/>
        <v>7.0686</v>
      </c>
      <c r="H28" s="53">
        <f t="shared" si="11"/>
        <v>9.4247999999999994</v>
      </c>
      <c r="I28" s="53">
        <f t="shared" si="12"/>
        <v>0.75</v>
      </c>
      <c r="J28" s="53">
        <f t="shared" si="13"/>
        <v>3.5024442886220992</v>
      </c>
      <c r="K28" s="53">
        <f t="shared" si="14"/>
        <v>2.2461218169014181</v>
      </c>
      <c r="L28" s="53"/>
      <c r="M28" s="58">
        <f t="shared" si="15"/>
        <v>0</v>
      </c>
      <c r="N28" s="58">
        <f t="shared" si="16"/>
        <v>2.2461218169014181</v>
      </c>
      <c r="O28" s="59">
        <f t="shared" si="17"/>
        <v>6.9478969350892186</v>
      </c>
    </row>
    <row r="29" spans="1:15" x14ac:dyDescent="0.2">
      <c r="A29" s="37"/>
      <c r="B29" s="55">
        <v>36</v>
      </c>
      <c r="C29" s="56" t="s">
        <v>39</v>
      </c>
      <c r="D29" s="57">
        <f>'Headloss Calcs'!$A$36</f>
        <v>16</v>
      </c>
      <c r="E29" s="53">
        <f t="shared" si="9"/>
        <v>24.757377698554169</v>
      </c>
      <c r="F29" s="38">
        <f>'Headloss Calcs'!$H$18</f>
        <v>100</v>
      </c>
      <c r="G29" s="53">
        <f t="shared" si="10"/>
        <v>7.0686</v>
      </c>
      <c r="H29" s="53">
        <f t="shared" si="11"/>
        <v>9.4247999999999994</v>
      </c>
      <c r="I29" s="53">
        <f t="shared" si="12"/>
        <v>0.75</v>
      </c>
      <c r="J29" s="53">
        <f t="shared" si="13"/>
        <v>3.5024442886220992</v>
      </c>
      <c r="K29" s="53">
        <f t="shared" si="14"/>
        <v>0</v>
      </c>
      <c r="L29" s="53">
        <v>0.4</v>
      </c>
      <c r="M29" s="58">
        <f t="shared" si="15"/>
        <v>7.6193267049078028E-2</v>
      </c>
      <c r="N29" s="58">
        <f t="shared" si="16"/>
        <v>7.6193267049078028E-2</v>
      </c>
      <c r="O29" s="59">
        <f t="shared" si="17"/>
        <v>7.0240902021382965</v>
      </c>
    </row>
    <row r="30" spans="1:15" x14ac:dyDescent="0.2">
      <c r="A30" s="37">
        <v>1320</v>
      </c>
      <c r="B30" s="55">
        <v>36</v>
      </c>
      <c r="C30" s="56" t="s">
        <v>23</v>
      </c>
      <c r="D30" s="57">
        <f>'Headloss Calcs'!$A$36</f>
        <v>16</v>
      </c>
      <c r="E30" s="53">
        <f t="shared" si="9"/>
        <v>24.757377698554169</v>
      </c>
      <c r="F30" s="38">
        <f>'Headloss Calcs'!$H$18</f>
        <v>100</v>
      </c>
      <c r="G30" s="53">
        <f t="shared" si="10"/>
        <v>7.0686</v>
      </c>
      <c r="H30" s="53">
        <f t="shared" si="11"/>
        <v>9.4247999999999994</v>
      </c>
      <c r="I30" s="53">
        <f t="shared" si="12"/>
        <v>0.75</v>
      </c>
      <c r="J30" s="53">
        <f t="shared" si="13"/>
        <v>3.5024442886220992</v>
      </c>
      <c r="K30" s="53">
        <f t="shared" si="14"/>
        <v>2.2461218169014181</v>
      </c>
      <c r="L30" s="53"/>
      <c r="M30" s="58">
        <f t="shared" si="15"/>
        <v>0</v>
      </c>
      <c r="N30" s="58">
        <f t="shared" si="16"/>
        <v>2.2461218169014181</v>
      </c>
      <c r="O30" s="59">
        <f t="shared" si="17"/>
        <v>9.2702120190397146</v>
      </c>
    </row>
    <row r="31" spans="1:15" x14ac:dyDescent="0.2">
      <c r="A31" s="37"/>
      <c r="B31" s="55">
        <v>36</v>
      </c>
      <c r="C31" s="56" t="s">
        <v>48</v>
      </c>
      <c r="D31" s="57">
        <f>'Headloss Calcs'!$A$36</f>
        <v>16</v>
      </c>
      <c r="E31" s="53">
        <f t="shared" si="9"/>
        <v>24.757377698554169</v>
      </c>
      <c r="F31" s="38">
        <f>'Headloss Calcs'!$H$18</f>
        <v>100</v>
      </c>
      <c r="G31" s="53">
        <f t="shared" si="10"/>
        <v>7.0686</v>
      </c>
      <c r="H31" s="53">
        <f t="shared" si="11"/>
        <v>9.4247999999999994</v>
      </c>
      <c r="I31" s="53">
        <f t="shared" si="12"/>
        <v>0.75</v>
      </c>
      <c r="J31" s="53">
        <f t="shared" si="13"/>
        <v>3.5024442886220992</v>
      </c>
      <c r="K31" s="53">
        <f t="shared" si="14"/>
        <v>0</v>
      </c>
      <c r="L31" s="53">
        <v>0.4</v>
      </c>
      <c r="M31" s="58">
        <f t="shared" si="15"/>
        <v>7.6193267049078028E-2</v>
      </c>
      <c r="N31" s="58">
        <f t="shared" si="16"/>
        <v>7.6193267049078028E-2</v>
      </c>
      <c r="O31" s="59">
        <f t="shared" si="17"/>
        <v>9.3464052860887925</v>
      </c>
    </row>
    <row r="32" spans="1:15" x14ac:dyDescent="0.2">
      <c r="A32" s="37">
        <v>1320</v>
      </c>
      <c r="B32" s="55">
        <v>36</v>
      </c>
      <c r="C32" s="56" t="s">
        <v>23</v>
      </c>
      <c r="D32" s="57">
        <f>'Headloss Calcs'!$A$36</f>
        <v>16</v>
      </c>
      <c r="E32" s="53">
        <f t="shared" si="9"/>
        <v>24.757377698554169</v>
      </c>
      <c r="F32" s="38">
        <f>'Headloss Calcs'!$H$18</f>
        <v>100</v>
      </c>
      <c r="G32" s="53">
        <f t="shared" si="10"/>
        <v>7.0686</v>
      </c>
      <c r="H32" s="53">
        <f t="shared" si="11"/>
        <v>9.4247999999999994</v>
      </c>
      <c r="I32" s="53">
        <f t="shared" si="12"/>
        <v>0.75</v>
      </c>
      <c r="J32" s="53">
        <f t="shared" si="13"/>
        <v>3.5024442886220992</v>
      </c>
      <c r="K32" s="53">
        <f t="shared" si="14"/>
        <v>2.2461218169014181</v>
      </c>
      <c r="L32" s="53"/>
      <c r="M32" s="58">
        <f t="shared" si="15"/>
        <v>0</v>
      </c>
      <c r="N32" s="58">
        <f t="shared" si="16"/>
        <v>2.2461218169014181</v>
      </c>
      <c r="O32" s="59">
        <f t="shared" si="17"/>
        <v>11.592527102990211</v>
      </c>
    </row>
    <row r="33" spans="1:15" x14ac:dyDescent="0.2">
      <c r="A33" s="37"/>
      <c r="B33" s="55">
        <v>36</v>
      </c>
      <c r="C33" s="56" t="s">
        <v>39</v>
      </c>
      <c r="D33" s="57">
        <f>'Headloss Calcs'!$A$36</f>
        <v>16</v>
      </c>
      <c r="E33" s="53">
        <f t="shared" si="9"/>
        <v>24.757377698554169</v>
      </c>
      <c r="F33" s="38">
        <f>'Headloss Calcs'!$H$18</f>
        <v>100</v>
      </c>
      <c r="G33" s="53">
        <f t="shared" si="10"/>
        <v>7.0686</v>
      </c>
      <c r="H33" s="53">
        <f t="shared" si="11"/>
        <v>9.4247999999999994</v>
      </c>
      <c r="I33" s="53">
        <f t="shared" si="12"/>
        <v>0.75</v>
      </c>
      <c r="J33" s="53">
        <f t="shared" si="13"/>
        <v>3.5024442886220992</v>
      </c>
      <c r="K33" s="53">
        <f t="shared" si="14"/>
        <v>0</v>
      </c>
      <c r="L33" s="53">
        <v>0.4</v>
      </c>
      <c r="M33" s="58">
        <f t="shared" si="15"/>
        <v>7.6193267049078028E-2</v>
      </c>
      <c r="N33" s="58">
        <f t="shared" si="16"/>
        <v>7.6193267049078028E-2</v>
      </c>
      <c r="O33" s="59">
        <f t="shared" si="17"/>
        <v>11.668720370039289</v>
      </c>
    </row>
    <row r="34" spans="1:15" x14ac:dyDescent="0.2">
      <c r="A34" s="37">
        <v>1320</v>
      </c>
      <c r="B34" s="55">
        <v>36</v>
      </c>
      <c r="C34" s="56" t="s">
        <v>23</v>
      </c>
      <c r="D34" s="57">
        <f>'Headloss Calcs'!$A$36</f>
        <v>16</v>
      </c>
      <c r="E34" s="53">
        <f t="shared" si="9"/>
        <v>24.757377698554169</v>
      </c>
      <c r="F34" s="38">
        <f>'Headloss Calcs'!$H$18</f>
        <v>100</v>
      </c>
      <c r="G34" s="53">
        <f t="shared" si="10"/>
        <v>7.0686</v>
      </c>
      <c r="H34" s="53">
        <f t="shared" si="11"/>
        <v>9.4247999999999994</v>
      </c>
      <c r="I34" s="53">
        <f t="shared" si="12"/>
        <v>0.75</v>
      </c>
      <c r="J34" s="53">
        <f t="shared" si="13"/>
        <v>3.5024442886220992</v>
      </c>
      <c r="K34" s="53">
        <f t="shared" si="14"/>
        <v>2.2461218169014181</v>
      </c>
      <c r="L34" s="53"/>
      <c r="M34" s="58">
        <f t="shared" si="15"/>
        <v>0</v>
      </c>
      <c r="N34" s="58">
        <f t="shared" si="16"/>
        <v>2.2461218169014181</v>
      </c>
      <c r="O34" s="59">
        <f t="shared" si="17"/>
        <v>13.914842186940707</v>
      </c>
    </row>
    <row r="35" spans="1:15" x14ac:dyDescent="0.2">
      <c r="A35" s="37"/>
      <c r="B35" s="55">
        <v>36</v>
      </c>
      <c r="C35" s="56" t="s">
        <v>45</v>
      </c>
      <c r="D35" s="57">
        <f>'Headloss Calcs'!$A$36</f>
        <v>16</v>
      </c>
      <c r="E35" s="53">
        <f t="shared" si="9"/>
        <v>24.757377698554169</v>
      </c>
      <c r="F35" s="38">
        <f>'Headloss Calcs'!$H$18</f>
        <v>100</v>
      </c>
      <c r="G35" s="53">
        <f t="shared" si="10"/>
        <v>7.0686</v>
      </c>
      <c r="H35" s="53">
        <f t="shared" si="11"/>
        <v>9.4247999999999994</v>
      </c>
      <c r="I35" s="53">
        <f t="shared" si="12"/>
        <v>0.75</v>
      </c>
      <c r="J35" s="53">
        <f t="shared" si="13"/>
        <v>3.5024442886220992</v>
      </c>
      <c r="K35" s="53">
        <f t="shared" si="14"/>
        <v>0</v>
      </c>
      <c r="L35" s="53">
        <v>0.2</v>
      </c>
      <c r="M35" s="58">
        <f t="shared" si="15"/>
        <v>3.8096633524539014E-2</v>
      </c>
      <c r="N35" s="58">
        <f t="shared" si="16"/>
        <v>3.8096633524539014E-2</v>
      </c>
      <c r="O35" s="59">
        <f t="shared" si="17"/>
        <v>13.952938820465246</v>
      </c>
    </row>
    <row r="36" spans="1:15" x14ac:dyDescent="0.2">
      <c r="A36" s="37">
        <v>1320</v>
      </c>
      <c r="B36" s="55">
        <v>36</v>
      </c>
      <c r="C36" s="56" t="s">
        <v>23</v>
      </c>
      <c r="D36" s="57">
        <f>'Headloss Calcs'!$A$36</f>
        <v>16</v>
      </c>
      <c r="E36" s="53">
        <f t="shared" si="9"/>
        <v>24.757377698554169</v>
      </c>
      <c r="F36" s="38">
        <f>'Headloss Calcs'!$H$18</f>
        <v>100</v>
      </c>
      <c r="G36" s="53">
        <f t="shared" si="10"/>
        <v>7.0686</v>
      </c>
      <c r="H36" s="53">
        <f t="shared" si="11"/>
        <v>9.4247999999999994</v>
      </c>
      <c r="I36" s="53">
        <f t="shared" si="12"/>
        <v>0.75</v>
      </c>
      <c r="J36" s="53">
        <f t="shared" si="13"/>
        <v>3.5024442886220992</v>
      </c>
      <c r="K36" s="53">
        <f t="shared" si="14"/>
        <v>2.2461218169014181</v>
      </c>
      <c r="L36" s="53"/>
      <c r="M36" s="58">
        <f t="shared" si="15"/>
        <v>0</v>
      </c>
      <c r="N36" s="58">
        <f t="shared" si="16"/>
        <v>2.2461218169014181</v>
      </c>
      <c r="O36" s="59">
        <f t="shared" si="17"/>
        <v>16.199060637366664</v>
      </c>
    </row>
    <row r="37" spans="1:15" ht="12" customHeight="1" x14ac:dyDescent="0.2">
      <c r="A37" s="37"/>
      <c r="B37" s="55">
        <v>36</v>
      </c>
      <c r="C37" s="56" t="s">
        <v>44</v>
      </c>
      <c r="D37" s="57">
        <f>'Headloss Calcs'!$A$36</f>
        <v>16</v>
      </c>
      <c r="E37" s="53">
        <f t="shared" si="9"/>
        <v>24.757377698554169</v>
      </c>
      <c r="F37" s="38">
        <f>'Headloss Calcs'!$H$18</f>
        <v>100</v>
      </c>
      <c r="G37" s="53">
        <f t="shared" si="10"/>
        <v>7.0686</v>
      </c>
      <c r="H37" s="53">
        <f t="shared" si="11"/>
        <v>9.4247999999999994</v>
      </c>
      <c r="I37" s="53">
        <f t="shared" si="12"/>
        <v>0.75</v>
      </c>
      <c r="J37" s="53">
        <f t="shared" si="13"/>
        <v>3.5024442886220992</v>
      </c>
      <c r="K37" s="53">
        <f t="shared" si="14"/>
        <v>0</v>
      </c>
      <c r="L37" s="53">
        <v>1</v>
      </c>
      <c r="M37" s="58">
        <f t="shared" si="15"/>
        <v>0.19048316762269504</v>
      </c>
      <c r="N37" s="58">
        <f t="shared" si="16"/>
        <v>0.19048316762269504</v>
      </c>
      <c r="O37" s="59">
        <f t="shared" si="17"/>
        <v>16.389543804989358</v>
      </c>
    </row>
    <row r="38" spans="1:15" ht="13.5" thickBot="1" x14ac:dyDescent="0.25">
      <c r="A38" s="39"/>
      <c r="B38" s="40"/>
      <c r="C38" s="41"/>
      <c r="D38" s="40"/>
      <c r="E38" s="42"/>
      <c r="F38" s="40"/>
      <c r="G38" s="54"/>
      <c r="H38" s="54"/>
      <c r="I38" s="54"/>
      <c r="J38" s="54"/>
      <c r="K38" s="54"/>
      <c r="L38" s="54"/>
      <c r="M38" s="60"/>
      <c r="N38" s="60" t="s">
        <v>40</v>
      </c>
      <c r="O38" s="61">
        <f>O37</f>
        <v>16.389543804989358</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abSelected="1" zoomScaleNormal="100" zoomScaleSheetLayoutView="100" workbookViewId="0">
      <selection sqref="A1:J4"/>
    </sheetView>
  </sheetViews>
  <sheetFormatPr defaultRowHeight="12.75" x14ac:dyDescent="0.2"/>
  <cols>
    <col min="2" max="2" width="17.85546875" customWidth="1"/>
    <col min="4" max="4" width="10.5703125" customWidth="1"/>
    <col min="5" max="5" width="11" customWidth="1"/>
    <col min="9" max="10" width="10.7109375" customWidth="1"/>
  </cols>
  <sheetData>
    <row r="1" spans="1:11" x14ac:dyDescent="0.2">
      <c r="A1" s="131" t="s">
        <v>104</v>
      </c>
      <c r="B1" s="131"/>
      <c r="C1" s="131"/>
      <c r="D1" s="131"/>
      <c r="E1" s="131"/>
      <c r="F1" s="131"/>
      <c r="G1" s="131"/>
      <c r="H1" s="131"/>
      <c r="I1" s="131"/>
      <c r="J1" s="131"/>
    </row>
    <row r="2" spans="1:11" x14ac:dyDescent="0.2">
      <c r="A2" s="131"/>
      <c r="B2" s="131"/>
      <c r="C2" s="131"/>
      <c r="D2" s="131"/>
      <c r="E2" s="131"/>
      <c r="F2" s="131"/>
      <c r="G2" s="131"/>
      <c r="H2" s="131"/>
      <c r="I2" s="131"/>
      <c r="J2" s="131"/>
    </row>
    <row r="3" spans="1:11" x14ac:dyDescent="0.2">
      <c r="A3" s="131"/>
      <c r="B3" s="131"/>
      <c r="C3" s="131"/>
      <c r="D3" s="131"/>
      <c r="E3" s="131"/>
      <c r="F3" s="131"/>
      <c r="G3" s="131"/>
      <c r="H3" s="131"/>
      <c r="I3" s="131"/>
      <c r="J3" s="131"/>
    </row>
    <row r="4" spans="1:11" x14ac:dyDescent="0.2">
      <c r="A4" s="132"/>
      <c r="B4" s="132"/>
      <c r="C4" s="132"/>
      <c r="D4" s="132"/>
      <c r="E4" s="132"/>
      <c r="F4" s="132"/>
      <c r="G4" s="132"/>
      <c r="H4" s="132"/>
      <c r="I4" s="132"/>
      <c r="J4" s="132"/>
    </row>
    <row r="5" spans="1:11" x14ac:dyDescent="0.2">
      <c r="A5" s="114"/>
      <c r="B5" s="114"/>
      <c r="C5" s="114"/>
      <c r="D5" s="114"/>
      <c r="E5" s="114"/>
      <c r="F5" s="114"/>
      <c r="G5" s="114"/>
      <c r="H5" s="114"/>
      <c r="I5" s="114"/>
      <c r="J5" s="114"/>
    </row>
    <row r="6" spans="1:11" s="3" customFormat="1" ht="15.75" x14ac:dyDescent="0.25">
      <c r="A6" s="3" t="s">
        <v>52</v>
      </c>
      <c r="I6" s="5"/>
      <c r="K6" s="4"/>
    </row>
    <row r="7" spans="1:11" s="3" customFormat="1" ht="15.75" x14ac:dyDescent="0.25">
      <c r="A7" s="121" t="s">
        <v>12</v>
      </c>
      <c r="B7" s="121"/>
      <c r="C7" s="121"/>
      <c r="D7" s="121"/>
      <c r="E7" s="121"/>
      <c r="F7" s="121"/>
      <c r="G7" s="121"/>
      <c r="H7" s="121"/>
      <c r="I7" s="5"/>
      <c r="J7" s="5"/>
      <c r="K7" s="5"/>
    </row>
    <row r="8" spans="1:11" x14ac:dyDescent="0.2">
      <c r="A8" s="33"/>
      <c r="I8" s="1"/>
      <c r="J8" s="1"/>
    </row>
    <row r="9" spans="1:11" x14ac:dyDescent="0.2">
      <c r="A9" s="85" t="s">
        <v>74</v>
      </c>
      <c r="I9" s="1"/>
      <c r="J9" s="1"/>
    </row>
    <row r="10" spans="1:11" x14ac:dyDescent="0.2">
      <c r="G10" s="50"/>
      <c r="I10" s="1"/>
      <c r="J10" s="1"/>
    </row>
    <row r="11" spans="1:11" ht="18" x14ac:dyDescent="0.25">
      <c r="A11" s="86" t="s">
        <v>53</v>
      </c>
      <c r="F11" s="86" t="s">
        <v>54</v>
      </c>
    </row>
    <row r="12" spans="1:11" x14ac:dyDescent="0.2">
      <c r="A12" t="s">
        <v>11</v>
      </c>
      <c r="C12" s="26">
        <v>36</v>
      </c>
      <c r="D12" s="33"/>
      <c r="I12" s="33"/>
    </row>
    <row r="13" spans="1:11" x14ac:dyDescent="0.2">
      <c r="F13" t="s">
        <v>11</v>
      </c>
      <c r="H13" s="26">
        <v>36</v>
      </c>
    </row>
    <row r="14" spans="1:11" ht="13.5" thickBot="1" x14ac:dyDescent="0.25"/>
    <row r="15" spans="1:11" ht="13.5" thickTop="1" x14ac:dyDescent="0.2">
      <c r="A15" s="115" t="s">
        <v>2</v>
      </c>
      <c r="B15" s="117" t="s">
        <v>2</v>
      </c>
      <c r="C15" s="119" t="s">
        <v>9</v>
      </c>
      <c r="F15" s="115" t="s">
        <v>2</v>
      </c>
      <c r="G15" s="117" t="s">
        <v>2</v>
      </c>
      <c r="H15" s="117" t="s">
        <v>9</v>
      </c>
      <c r="I15" s="126" t="s">
        <v>55</v>
      </c>
    </row>
    <row r="16" spans="1:11" ht="13.5" thickBot="1" x14ac:dyDescent="0.25">
      <c r="A16" s="116"/>
      <c r="B16" s="118"/>
      <c r="C16" s="120"/>
      <c r="F16" s="116"/>
      <c r="G16" s="118"/>
      <c r="H16" s="118"/>
      <c r="I16" s="130"/>
    </row>
    <row r="17" spans="1:13" ht="14.25" thickTop="1" thickBot="1" x14ac:dyDescent="0.25">
      <c r="A17" s="16" t="s">
        <v>3</v>
      </c>
      <c r="B17" s="19" t="s">
        <v>4</v>
      </c>
      <c r="C17" s="20" t="s">
        <v>10</v>
      </c>
      <c r="F17" s="16" t="s">
        <v>3</v>
      </c>
      <c r="G17" s="19" t="s">
        <v>4</v>
      </c>
      <c r="H17" s="19" t="s">
        <v>10</v>
      </c>
      <c r="I17" s="23"/>
    </row>
    <row r="18" spans="1:13" ht="14.25" thickTop="1" thickBot="1" x14ac:dyDescent="0.25">
      <c r="A18" s="9">
        <v>33</v>
      </c>
      <c r="B18" s="22">
        <f>(A18*1000000)/1440</f>
        <v>22916.666666666668</v>
      </c>
      <c r="C18" s="11">
        <f>(B18*0.002228)/((PI()*(($C$12/12)^2)/4))</f>
        <v>7.22327656536328</v>
      </c>
      <c r="F18" s="6">
        <v>4</v>
      </c>
      <c r="G18" s="21">
        <f>(F18*1000000)/1440</f>
        <v>2777.7777777777778</v>
      </c>
      <c r="H18" s="7">
        <f>(G18*0.002228)/((PI()*(($C$12/12)^2)/4))</f>
        <v>0.87554867458948848</v>
      </c>
      <c r="I18" s="76" t="s">
        <v>56</v>
      </c>
    </row>
    <row r="19" spans="1:13" ht="13.5" thickTop="1" x14ac:dyDescent="0.2">
      <c r="F19" s="6">
        <v>7</v>
      </c>
      <c r="G19" s="21">
        <f>(F19*1000000)/1440</f>
        <v>4861.1111111111113</v>
      </c>
      <c r="H19" s="7">
        <f>(G19*0.002228)/((PI()*(($C$12/12)^2)/4))</f>
        <v>1.5322101805316048</v>
      </c>
      <c r="I19" s="76" t="s">
        <v>56</v>
      </c>
    </row>
    <row r="20" spans="1:13" x14ac:dyDescent="0.2">
      <c r="F20" s="6">
        <v>10</v>
      </c>
      <c r="G20" s="21">
        <f>(F20*1000000)/1440</f>
        <v>6944.4444444444443</v>
      </c>
      <c r="H20" s="7">
        <f>(G20*0.002228)/((PI()*(($C$12/12)^2)/4))</f>
        <v>2.1888716864737212</v>
      </c>
      <c r="I20" s="76" t="s">
        <v>57</v>
      </c>
    </row>
    <row r="21" spans="1:13" ht="13.5" thickBot="1" x14ac:dyDescent="0.25">
      <c r="C21" s="51"/>
      <c r="D21" s="33"/>
      <c r="F21" s="9">
        <v>20</v>
      </c>
      <c r="G21" s="22">
        <f>(F21*1000000)/1440</f>
        <v>13888.888888888889</v>
      </c>
      <c r="H21" s="10">
        <f>(G21*0.002228)/((PI()*(($C$12/12)^2)/4))</f>
        <v>4.3777433729474424</v>
      </c>
      <c r="I21" s="77" t="s">
        <v>57</v>
      </c>
    </row>
    <row r="22" spans="1:13" ht="13.5" thickTop="1" x14ac:dyDescent="0.2"/>
    <row r="24" spans="1:13" ht="18" x14ac:dyDescent="0.25">
      <c r="A24" s="88" t="s">
        <v>58</v>
      </c>
      <c r="B24" s="89"/>
      <c r="C24" s="89"/>
      <c r="D24" s="89"/>
      <c r="E24" s="89"/>
      <c r="F24" s="89"/>
      <c r="G24" s="89"/>
      <c r="H24" s="89"/>
      <c r="I24" s="89"/>
      <c r="J24" s="90"/>
      <c r="K24" s="90"/>
      <c r="L24" s="90"/>
      <c r="M24" s="91"/>
    </row>
    <row r="25" spans="1:13" x14ac:dyDescent="0.2">
      <c r="A25" s="78"/>
      <c r="B25" s="45"/>
      <c r="C25" s="45"/>
      <c r="D25" s="45"/>
      <c r="E25" s="45"/>
      <c r="F25" s="45"/>
      <c r="G25" s="45"/>
      <c r="H25" s="45"/>
      <c r="I25" s="45"/>
      <c r="J25" s="45"/>
      <c r="K25" s="45"/>
      <c r="L25" s="45"/>
      <c r="M25" s="79"/>
    </row>
    <row r="26" spans="1:13" x14ac:dyDescent="0.2">
      <c r="A26" s="78" t="s">
        <v>62</v>
      </c>
      <c r="B26" s="45"/>
      <c r="C26" s="45"/>
      <c r="D26" s="45"/>
      <c r="E26" s="45"/>
      <c r="F26" s="63"/>
      <c r="G26" s="63"/>
      <c r="H26" s="63"/>
      <c r="I26" s="63"/>
      <c r="J26" s="63"/>
      <c r="K26" s="45"/>
      <c r="L26" s="45"/>
      <c r="M26" s="79"/>
    </row>
    <row r="27" spans="1:13" x14ac:dyDescent="0.2">
      <c r="A27" s="78" t="s">
        <v>11</v>
      </c>
      <c r="B27" s="45"/>
      <c r="C27" s="26">
        <v>16</v>
      </c>
      <c r="D27" s="45" t="s">
        <v>61</v>
      </c>
      <c r="E27" s="45"/>
      <c r="F27" s="63"/>
      <c r="G27" s="63"/>
      <c r="H27" s="51"/>
      <c r="I27" s="63"/>
      <c r="J27" s="63"/>
      <c r="K27" s="45"/>
      <c r="L27" s="45"/>
      <c r="M27" s="79"/>
    </row>
    <row r="28" spans="1:13" x14ac:dyDescent="0.2">
      <c r="A28" s="78" t="s">
        <v>11</v>
      </c>
      <c r="B28" s="45"/>
      <c r="C28" s="26">
        <v>18</v>
      </c>
      <c r="D28" s="45" t="s">
        <v>73</v>
      </c>
      <c r="E28" s="45"/>
      <c r="F28" s="63"/>
      <c r="G28" s="63"/>
      <c r="H28" s="51"/>
      <c r="I28" s="63"/>
      <c r="J28" s="63"/>
      <c r="K28" s="45"/>
      <c r="L28" s="45"/>
      <c r="M28" s="79"/>
    </row>
    <row r="29" spans="1:13" x14ac:dyDescent="0.2">
      <c r="A29" s="78"/>
      <c r="B29" s="45"/>
      <c r="C29" s="51"/>
      <c r="D29" s="45"/>
      <c r="E29" s="45"/>
      <c r="F29" s="63"/>
      <c r="G29" s="63"/>
      <c r="H29" s="51"/>
      <c r="I29" s="63"/>
      <c r="J29" s="63"/>
      <c r="K29" s="45"/>
      <c r="L29" s="45"/>
      <c r="M29" s="79"/>
    </row>
    <row r="30" spans="1:13" ht="13.5" thickBot="1" x14ac:dyDescent="0.25">
      <c r="A30" s="78"/>
      <c r="B30" s="45"/>
      <c r="C30" s="45"/>
      <c r="D30" s="45"/>
      <c r="E30" s="45"/>
      <c r="F30" s="63"/>
      <c r="G30" s="63"/>
      <c r="H30" s="63"/>
      <c r="I30" s="63"/>
      <c r="J30" s="63"/>
      <c r="K30" s="45"/>
      <c r="L30" s="45"/>
      <c r="M30" s="79"/>
    </row>
    <row r="31" spans="1:13" ht="13.5" thickTop="1" x14ac:dyDescent="0.2">
      <c r="A31" s="78"/>
      <c r="B31" s="115" t="s">
        <v>2</v>
      </c>
      <c r="C31" s="122" t="s">
        <v>2</v>
      </c>
      <c r="D31" s="122" t="s">
        <v>9</v>
      </c>
      <c r="E31" s="126" t="s">
        <v>55</v>
      </c>
      <c r="F31" s="63"/>
      <c r="G31" s="124"/>
      <c r="H31" s="124"/>
      <c r="I31" s="124"/>
      <c r="J31" s="128"/>
      <c r="K31" s="45"/>
      <c r="L31" s="45"/>
      <c r="M31" s="79"/>
    </row>
    <row r="32" spans="1:13" ht="13.5" thickBot="1" x14ac:dyDescent="0.25">
      <c r="A32" s="78"/>
      <c r="B32" s="116"/>
      <c r="C32" s="123"/>
      <c r="D32" s="123"/>
      <c r="E32" s="127"/>
      <c r="F32" s="63"/>
      <c r="G32" s="124"/>
      <c r="H32" s="125"/>
      <c r="I32" s="125"/>
      <c r="J32" s="129"/>
      <c r="K32" s="45"/>
      <c r="L32" s="45"/>
      <c r="M32" s="79"/>
    </row>
    <row r="33" spans="1:13" ht="14.25" thickTop="1" thickBot="1" x14ac:dyDescent="0.25">
      <c r="A33" s="78"/>
      <c r="B33" s="16" t="s">
        <v>3</v>
      </c>
      <c r="C33" s="19" t="s">
        <v>60</v>
      </c>
      <c r="D33" s="19" t="s">
        <v>10</v>
      </c>
      <c r="E33" s="23"/>
      <c r="F33" s="63"/>
      <c r="G33" s="108"/>
      <c r="H33" s="108"/>
      <c r="I33" s="108"/>
      <c r="J33" s="63"/>
      <c r="K33" s="45"/>
      <c r="L33" s="45"/>
      <c r="M33" s="79"/>
    </row>
    <row r="34" spans="1:13" ht="13.5" thickTop="1" x14ac:dyDescent="0.2">
      <c r="A34" s="78" t="s">
        <v>61</v>
      </c>
      <c r="B34" s="6">
        <v>8.25</v>
      </c>
      <c r="C34" s="7">
        <f>(B34*1000000)/(7.48*86400)</f>
        <v>12.765522875816993</v>
      </c>
      <c r="D34" s="7">
        <f>(C34)/((PI()*(($C$27/12)^2)/4))</f>
        <v>9.1426323007752384</v>
      </c>
      <c r="E34" s="76" t="s">
        <v>63</v>
      </c>
      <c r="F34" s="63"/>
      <c r="G34" s="109"/>
      <c r="H34" s="109"/>
      <c r="I34" s="109"/>
      <c r="J34" s="63"/>
      <c r="K34" s="45"/>
      <c r="L34" s="45"/>
      <c r="M34" s="79"/>
    </row>
    <row r="35" spans="1:13" ht="13.5" thickBot="1" x14ac:dyDescent="0.25">
      <c r="A35" s="78" t="s">
        <v>73</v>
      </c>
      <c r="B35" s="9">
        <v>8.25</v>
      </c>
      <c r="C35" s="10">
        <f>(B35*1000000)/(7.48*86400)</f>
        <v>12.765522875816993</v>
      </c>
      <c r="D35" s="10">
        <f>(C35)/((PI()*(($C$28/12)^2)/4))</f>
        <v>7.2238082376495703</v>
      </c>
      <c r="E35" s="77" t="s">
        <v>57</v>
      </c>
      <c r="F35" s="63"/>
      <c r="G35" s="109"/>
      <c r="H35" s="109"/>
      <c r="I35" s="109"/>
      <c r="J35" s="63"/>
      <c r="K35" s="45"/>
      <c r="L35" s="45"/>
      <c r="M35" s="79"/>
    </row>
    <row r="36" spans="1:13" ht="13.5" thickTop="1" x14ac:dyDescent="0.2">
      <c r="A36" s="80"/>
      <c r="B36" s="7"/>
      <c r="C36" s="7"/>
      <c r="D36" s="45"/>
      <c r="E36" s="45"/>
      <c r="F36" s="63"/>
      <c r="G36" s="109"/>
      <c r="H36" s="109"/>
      <c r="I36" s="109"/>
      <c r="J36" s="63"/>
      <c r="K36" s="45"/>
      <c r="L36" s="45"/>
      <c r="M36" s="79"/>
    </row>
    <row r="37" spans="1:13" x14ac:dyDescent="0.2">
      <c r="A37" s="81" t="s">
        <v>59</v>
      </c>
      <c r="B37" s="82"/>
      <c r="C37" s="82"/>
      <c r="D37" s="82"/>
      <c r="E37" s="82"/>
      <c r="F37" s="63"/>
      <c r="G37" s="109"/>
      <c r="H37" s="109"/>
      <c r="I37" s="109"/>
      <c r="J37" s="63"/>
      <c r="K37" s="82"/>
      <c r="L37" s="82"/>
      <c r="M37" s="83"/>
    </row>
    <row r="39" spans="1:13" ht="18" x14ac:dyDescent="0.25">
      <c r="A39" s="87" t="s">
        <v>64</v>
      </c>
      <c r="B39" s="87"/>
      <c r="C39" s="87"/>
      <c r="D39" s="87"/>
      <c r="E39" s="87"/>
      <c r="F39" s="87"/>
      <c r="G39" s="87"/>
      <c r="H39" s="87"/>
      <c r="I39" s="87"/>
      <c r="J39" s="87"/>
      <c r="K39" s="87"/>
      <c r="L39" s="87"/>
      <c r="M39" s="87"/>
    </row>
    <row r="40" spans="1:13" ht="13.5" thickBot="1" x14ac:dyDescent="0.25">
      <c r="A40" s="33"/>
    </row>
    <row r="41" spans="1:13" ht="66" thickTop="1" x14ac:dyDescent="0.2">
      <c r="A41" s="35" t="s">
        <v>25</v>
      </c>
      <c r="B41" s="35" t="s">
        <v>26</v>
      </c>
      <c r="C41" s="35" t="s">
        <v>27</v>
      </c>
      <c r="D41" s="35" t="s">
        <v>28</v>
      </c>
      <c r="E41" s="35" t="s">
        <v>29</v>
      </c>
      <c r="F41" s="35" t="s">
        <v>30</v>
      </c>
      <c r="G41" s="35" t="s">
        <v>31</v>
      </c>
      <c r="H41" s="35" t="s">
        <v>32</v>
      </c>
      <c r="I41" s="35" t="s">
        <v>33</v>
      </c>
      <c r="J41" s="35" t="s">
        <v>35</v>
      </c>
      <c r="K41" s="35" t="s">
        <v>36</v>
      </c>
      <c r="L41" s="35" t="s">
        <v>37</v>
      </c>
      <c r="M41" s="36" t="s">
        <v>38</v>
      </c>
    </row>
    <row r="42" spans="1:13" x14ac:dyDescent="0.2">
      <c r="A42" s="55">
        <v>18</v>
      </c>
      <c r="B42" s="56" t="s">
        <v>65</v>
      </c>
      <c r="C42" s="57">
        <v>8.25</v>
      </c>
      <c r="D42" s="53">
        <f t="shared" ref="D42:D49" si="0">C42*1000000/(7.48*24*60*60)</f>
        <v>12.765522875816993</v>
      </c>
      <c r="E42" s="38">
        <f>'Headloss Calcs'!$E$18</f>
        <v>140</v>
      </c>
      <c r="F42" s="53">
        <f t="shared" ref="F42:F49" si="1">3.1416/4*(A42/12)^2</f>
        <v>1.76715</v>
      </c>
      <c r="G42" s="53">
        <f t="shared" ref="G42:G49" si="2">3.1416*(A42/12)</f>
        <v>4.7123999999999997</v>
      </c>
      <c r="H42" s="53">
        <f t="shared" ref="H42:H49" si="3">F42/G42</f>
        <v>0.375</v>
      </c>
      <c r="I42" s="53">
        <f t="shared" ref="I42:I49" si="4">D42/F42</f>
        <v>7.2237913452830789</v>
      </c>
      <c r="J42" s="53">
        <v>0</v>
      </c>
      <c r="K42" s="58">
        <f t="shared" ref="K42:K49" si="5">J42*(I42^2)/(2*32.2)</f>
        <v>0</v>
      </c>
      <c r="L42" s="58">
        <f>K42</f>
        <v>0</v>
      </c>
      <c r="M42" s="59">
        <f>L42</f>
        <v>0</v>
      </c>
    </row>
    <row r="43" spans="1:13" x14ac:dyDescent="0.2">
      <c r="A43" s="55">
        <v>14</v>
      </c>
      <c r="B43" s="56" t="s">
        <v>66</v>
      </c>
      <c r="C43" s="57">
        <v>8.25</v>
      </c>
      <c r="D43" s="53">
        <f t="shared" si="0"/>
        <v>12.765522875816993</v>
      </c>
      <c r="E43" s="38">
        <f>'Headloss Calcs'!$E$18</f>
        <v>140</v>
      </c>
      <c r="F43" s="53">
        <f t="shared" si="1"/>
        <v>1.0690166666666669</v>
      </c>
      <c r="G43" s="53">
        <f t="shared" si="2"/>
        <v>3.6652</v>
      </c>
      <c r="H43" s="53">
        <f t="shared" si="3"/>
        <v>0.29166666666666674</v>
      </c>
      <c r="I43" s="110">
        <f t="shared" si="4"/>
        <v>11.941369366692433</v>
      </c>
      <c r="J43" s="53">
        <v>0.35</v>
      </c>
      <c r="K43" s="58">
        <f t="shared" si="5"/>
        <v>0.77497990408576301</v>
      </c>
      <c r="L43" s="58">
        <f t="shared" ref="L43:L49" si="6">K43</f>
        <v>0.77497990408576301</v>
      </c>
      <c r="M43" s="59">
        <f t="shared" ref="M43:M49" si="7">L43+M42</f>
        <v>0.77497990408576301</v>
      </c>
    </row>
    <row r="44" spans="1:13" x14ac:dyDescent="0.2">
      <c r="A44" s="55">
        <v>18</v>
      </c>
      <c r="B44" s="56" t="s">
        <v>45</v>
      </c>
      <c r="C44" s="57">
        <v>8.25</v>
      </c>
      <c r="D44" s="53">
        <f t="shared" si="0"/>
        <v>12.765522875816993</v>
      </c>
      <c r="E44" s="38">
        <f>'Headloss Calcs'!$E$18</f>
        <v>140</v>
      </c>
      <c r="F44" s="53">
        <f t="shared" si="1"/>
        <v>1.76715</v>
      </c>
      <c r="G44" s="53">
        <f t="shared" si="2"/>
        <v>4.7123999999999997</v>
      </c>
      <c r="H44" s="53">
        <f t="shared" si="3"/>
        <v>0.375</v>
      </c>
      <c r="I44" s="53">
        <f t="shared" si="4"/>
        <v>7.2237913452830789</v>
      </c>
      <c r="J44" s="53">
        <v>0.2</v>
      </c>
      <c r="K44" s="58">
        <f t="shared" si="5"/>
        <v>0.162059507453996</v>
      </c>
      <c r="L44" s="58">
        <f t="shared" si="6"/>
        <v>0.162059507453996</v>
      </c>
      <c r="M44" s="59">
        <f t="shared" si="7"/>
        <v>0.937039411539759</v>
      </c>
    </row>
    <row r="45" spans="1:13" x14ac:dyDescent="0.2">
      <c r="A45" s="55">
        <v>18</v>
      </c>
      <c r="B45" s="56" t="s">
        <v>45</v>
      </c>
      <c r="C45" s="57">
        <v>8.25</v>
      </c>
      <c r="D45" s="53">
        <f t="shared" si="0"/>
        <v>12.765522875816993</v>
      </c>
      <c r="E45" s="38">
        <f>'Headloss Calcs'!$E$18</f>
        <v>140</v>
      </c>
      <c r="F45" s="53">
        <f t="shared" si="1"/>
        <v>1.76715</v>
      </c>
      <c r="G45" s="53">
        <f t="shared" si="2"/>
        <v>4.7123999999999997</v>
      </c>
      <c r="H45" s="53">
        <f t="shared" si="3"/>
        <v>0.375</v>
      </c>
      <c r="I45" s="53">
        <f t="shared" si="4"/>
        <v>7.2237913452830789</v>
      </c>
      <c r="J45" s="53">
        <v>0.2</v>
      </c>
      <c r="K45" s="58">
        <f t="shared" si="5"/>
        <v>0.162059507453996</v>
      </c>
      <c r="L45" s="58">
        <f t="shared" si="6"/>
        <v>0.162059507453996</v>
      </c>
      <c r="M45" s="59">
        <f t="shared" si="7"/>
        <v>1.099098918993755</v>
      </c>
    </row>
    <row r="46" spans="1:13" x14ac:dyDescent="0.2">
      <c r="A46" s="55">
        <v>18</v>
      </c>
      <c r="B46" s="56" t="s">
        <v>67</v>
      </c>
      <c r="C46" s="57">
        <v>8.25</v>
      </c>
      <c r="D46" s="53">
        <f t="shared" si="0"/>
        <v>12.765522875816993</v>
      </c>
      <c r="E46" s="38">
        <f>'Headloss Calcs'!$E$18</f>
        <v>140</v>
      </c>
      <c r="F46" s="53">
        <f t="shared" si="1"/>
        <v>1.76715</v>
      </c>
      <c r="G46" s="53">
        <f t="shared" si="2"/>
        <v>4.7123999999999997</v>
      </c>
      <c r="H46" s="53">
        <f t="shared" si="3"/>
        <v>0.375</v>
      </c>
      <c r="I46" s="53">
        <f t="shared" si="4"/>
        <v>7.2237913452830789</v>
      </c>
      <c r="J46" s="53">
        <v>2.5</v>
      </c>
      <c r="K46" s="58">
        <f t="shared" si="5"/>
        <v>2.0257438431749497</v>
      </c>
      <c r="L46" s="58">
        <f t="shared" si="6"/>
        <v>2.0257438431749497</v>
      </c>
      <c r="M46" s="59">
        <f t="shared" si="7"/>
        <v>3.1248427621687047</v>
      </c>
    </row>
    <row r="47" spans="1:13" x14ac:dyDescent="0.2">
      <c r="A47" s="55">
        <v>18</v>
      </c>
      <c r="B47" s="56" t="s">
        <v>68</v>
      </c>
      <c r="C47" s="57">
        <v>8.25</v>
      </c>
      <c r="D47" s="53">
        <f t="shared" si="0"/>
        <v>12.765522875816993</v>
      </c>
      <c r="E47" s="38">
        <f>'Headloss Calcs'!$E$18</f>
        <v>140</v>
      </c>
      <c r="F47" s="53">
        <f t="shared" si="1"/>
        <v>1.76715</v>
      </c>
      <c r="G47" s="53">
        <f t="shared" si="2"/>
        <v>4.7123999999999997</v>
      </c>
      <c r="H47" s="53">
        <f t="shared" si="3"/>
        <v>0.375</v>
      </c>
      <c r="I47" s="53">
        <f t="shared" si="4"/>
        <v>7.2237913452830789</v>
      </c>
      <c r="J47" s="53">
        <v>0.91</v>
      </c>
      <c r="K47" s="58">
        <f t="shared" si="5"/>
        <v>0.73737075891568171</v>
      </c>
      <c r="L47" s="58">
        <f t="shared" si="6"/>
        <v>0.73737075891568171</v>
      </c>
      <c r="M47" s="59">
        <f t="shared" si="7"/>
        <v>3.8622135210843864</v>
      </c>
    </row>
    <row r="48" spans="1:13" x14ac:dyDescent="0.2">
      <c r="A48" s="55">
        <v>18</v>
      </c>
      <c r="B48" s="56" t="s">
        <v>69</v>
      </c>
      <c r="C48" s="57">
        <v>8.25</v>
      </c>
      <c r="D48" s="53">
        <f t="shared" si="0"/>
        <v>12.765522875816993</v>
      </c>
      <c r="E48" s="38">
        <f>'Headloss Calcs'!$E$18</f>
        <v>140</v>
      </c>
      <c r="F48" s="53">
        <f t="shared" si="1"/>
        <v>1.76715</v>
      </c>
      <c r="G48" s="53">
        <f t="shared" si="2"/>
        <v>4.7123999999999997</v>
      </c>
      <c r="H48" s="53">
        <f t="shared" si="3"/>
        <v>0.375</v>
      </c>
      <c r="I48" s="53">
        <f t="shared" si="4"/>
        <v>7.2237913452830789</v>
      </c>
      <c r="J48" s="53">
        <v>1.8</v>
      </c>
      <c r="K48" s="58">
        <f t="shared" si="5"/>
        <v>1.4585355670859639</v>
      </c>
      <c r="L48" s="58">
        <f t="shared" si="6"/>
        <v>1.4585355670859639</v>
      </c>
      <c r="M48" s="59">
        <f t="shared" si="7"/>
        <v>5.3207490881703503</v>
      </c>
    </row>
    <row r="49" spans="1:13" x14ac:dyDescent="0.2">
      <c r="A49" s="55">
        <v>18</v>
      </c>
      <c r="B49" s="56" t="s">
        <v>70</v>
      </c>
      <c r="C49" s="57">
        <v>8.25</v>
      </c>
      <c r="D49" s="53">
        <f t="shared" si="0"/>
        <v>12.765522875816993</v>
      </c>
      <c r="E49" s="38">
        <f>'Headloss Calcs'!$E$18</f>
        <v>140</v>
      </c>
      <c r="F49" s="53">
        <f t="shared" si="1"/>
        <v>1.76715</v>
      </c>
      <c r="G49" s="53">
        <f t="shared" si="2"/>
        <v>4.7123999999999997</v>
      </c>
      <c r="H49" s="53">
        <f t="shared" si="3"/>
        <v>0.375</v>
      </c>
      <c r="I49" s="53">
        <f t="shared" si="4"/>
        <v>7.2237913452830789</v>
      </c>
      <c r="J49" s="53">
        <v>0.6</v>
      </c>
      <c r="K49" s="58">
        <f t="shared" si="5"/>
        <v>0.48617852236198794</v>
      </c>
      <c r="L49" s="58">
        <f t="shared" si="6"/>
        <v>0.48617852236198794</v>
      </c>
      <c r="M49" s="59">
        <f t="shared" si="7"/>
        <v>5.8069276105323384</v>
      </c>
    </row>
    <row r="50" spans="1:13" x14ac:dyDescent="0.2">
      <c r="J50" s="2"/>
      <c r="K50" s="73"/>
      <c r="L50" s="92" t="s">
        <v>40</v>
      </c>
      <c r="M50" s="94">
        <f>M49</f>
        <v>5.8069276105323384</v>
      </c>
    </row>
    <row r="51" spans="1:13" x14ac:dyDescent="0.2">
      <c r="A51" s="111" t="s">
        <v>93</v>
      </c>
      <c r="B51" s="111"/>
      <c r="C51" s="111"/>
      <c r="D51" s="111"/>
      <c r="E51" s="111"/>
      <c r="F51" s="111"/>
    </row>
    <row r="52" spans="1:13" ht="13.5" hidden="1" thickBot="1" x14ac:dyDescent="0.25">
      <c r="A52" s="33" t="s">
        <v>84</v>
      </c>
    </row>
    <row r="53" spans="1:13" ht="66" hidden="1" thickTop="1" x14ac:dyDescent="0.2">
      <c r="A53" s="35" t="s">
        <v>25</v>
      </c>
      <c r="B53" s="35" t="s">
        <v>26</v>
      </c>
      <c r="C53" s="35" t="s">
        <v>27</v>
      </c>
      <c r="D53" s="35" t="s">
        <v>28</v>
      </c>
      <c r="E53" s="35" t="s">
        <v>29</v>
      </c>
      <c r="F53" s="35" t="s">
        <v>30</v>
      </c>
      <c r="G53" s="35" t="s">
        <v>31</v>
      </c>
      <c r="H53" s="35" t="s">
        <v>32</v>
      </c>
      <c r="I53" s="35" t="s">
        <v>33</v>
      </c>
      <c r="J53" s="35" t="s">
        <v>35</v>
      </c>
      <c r="K53" s="35" t="s">
        <v>36</v>
      </c>
      <c r="L53" s="35" t="s">
        <v>37</v>
      </c>
      <c r="M53" s="36" t="s">
        <v>38</v>
      </c>
    </row>
    <row r="54" spans="1:13" hidden="1" x14ac:dyDescent="0.2">
      <c r="A54" s="55">
        <v>10</v>
      </c>
      <c r="B54" s="56" t="s">
        <v>65</v>
      </c>
      <c r="C54" s="57">
        <v>3.25</v>
      </c>
      <c r="D54" s="53">
        <f t="shared" ref="D54:D61" si="8">C54*1000000/(7.48*24*60*60)</f>
        <v>5.0288423450188153</v>
      </c>
      <c r="E54" s="38">
        <f>'Headloss Calcs'!$E$18</f>
        <v>140</v>
      </c>
      <c r="F54" s="53">
        <f>3.1416/4*(A54/12)^2</f>
        <v>0.54541666666666677</v>
      </c>
      <c r="G54" s="53">
        <f>3.1416*(A54/12)</f>
        <v>2.6179999999999999</v>
      </c>
      <c r="H54" s="53">
        <f>F54/G54</f>
        <v>0.20833333333333337</v>
      </c>
      <c r="I54" s="53">
        <f>D54/F54</f>
        <v>9.2201845897976735</v>
      </c>
      <c r="J54" s="53">
        <v>0</v>
      </c>
      <c r="K54" s="58">
        <f t="shared" ref="K54:K61" si="9">J54*(I54^2)/(2*32.2)</f>
        <v>0</v>
      </c>
      <c r="L54" s="58">
        <f>K54</f>
        <v>0</v>
      </c>
      <c r="M54" s="59">
        <f>L54</f>
        <v>0</v>
      </c>
    </row>
    <row r="55" spans="1:13" hidden="1" x14ac:dyDescent="0.2">
      <c r="A55" s="55">
        <v>10</v>
      </c>
      <c r="B55" s="56" t="s">
        <v>66</v>
      </c>
      <c r="C55" s="57">
        <v>3.25</v>
      </c>
      <c r="D55" s="53">
        <f t="shared" si="8"/>
        <v>5.0288423450188153</v>
      </c>
      <c r="E55" s="38">
        <f>'Headloss Calcs'!$E$18</f>
        <v>140</v>
      </c>
      <c r="F55" s="53">
        <f t="shared" ref="F55:F61" si="10">3.1416/4*(A55/12)^2</f>
        <v>0.54541666666666677</v>
      </c>
      <c r="G55" s="53">
        <f t="shared" ref="G55:G61" si="11">3.1416*(A55/12)</f>
        <v>2.6179999999999999</v>
      </c>
      <c r="H55" s="53">
        <f t="shared" ref="H55:H61" si="12">F55/G55</f>
        <v>0.20833333333333337</v>
      </c>
      <c r="I55" s="53">
        <f t="shared" ref="I55:I61" si="13">D55/F55</f>
        <v>9.2201845897976735</v>
      </c>
      <c r="J55" s="53">
        <v>0.35</v>
      </c>
      <c r="K55" s="58">
        <f t="shared" si="9"/>
        <v>0.46202067320620915</v>
      </c>
      <c r="L55" s="58">
        <f t="shared" ref="L55:L61" si="14">K55</f>
        <v>0.46202067320620915</v>
      </c>
      <c r="M55" s="59">
        <f>L55+M54</f>
        <v>0.46202067320620915</v>
      </c>
    </row>
    <row r="56" spans="1:13" hidden="1" x14ac:dyDescent="0.2">
      <c r="A56" s="55">
        <v>10</v>
      </c>
      <c r="B56" s="56" t="s">
        <v>45</v>
      </c>
      <c r="C56" s="57">
        <v>3.25</v>
      </c>
      <c r="D56" s="53">
        <f t="shared" si="8"/>
        <v>5.0288423450188153</v>
      </c>
      <c r="E56" s="38">
        <f>'Headloss Calcs'!$E$18</f>
        <v>140</v>
      </c>
      <c r="F56" s="53">
        <f t="shared" si="10"/>
        <v>0.54541666666666677</v>
      </c>
      <c r="G56" s="53">
        <f t="shared" si="11"/>
        <v>2.6179999999999999</v>
      </c>
      <c r="H56" s="53">
        <f t="shared" si="12"/>
        <v>0.20833333333333337</v>
      </c>
      <c r="I56" s="53">
        <f t="shared" si="13"/>
        <v>9.2201845897976735</v>
      </c>
      <c r="J56" s="53">
        <v>0.2</v>
      </c>
      <c r="K56" s="58">
        <f t="shared" si="9"/>
        <v>0.26401181326069095</v>
      </c>
      <c r="L56" s="58">
        <f t="shared" si="14"/>
        <v>0.26401181326069095</v>
      </c>
      <c r="M56" s="59">
        <f t="shared" ref="M56:M61" si="15">L56+M55</f>
        <v>0.72603248646690011</v>
      </c>
    </row>
    <row r="57" spans="1:13" hidden="1" x14ac:dyDescent="0.2">
      <c r="A57" s="55">
        <v>10</v>
      </c>
      <c r="B57" s="56" t="s">
        <v>45</v>
      </c>
      <c r="C57" s="57">
        <v>3.25</v>
      </c>
      <c r="D57" s="53">
        <f t="shared" si="8"/>
        <v>5.0288423450188153</v>
      </c>
      <c r="E57" s="38">
        <f>'Headloss Calcs'!$E$18</f>
        <v>140</v>
      </c>
      <c r="F57" s="53">
        <f t="shared" si="10"/>
        <v>0.54541666666666677</v>
      </c>
      <c r="G57" s="53">
        <f t="shared" si="11"/>
        <v>2.6179999999999999</v>
      </c>
      <c r="H57" s="53">
        <f t="shared" si="12"/>
        <v>0.20833333333333337</v>
      </c>
      <c r="I57" s="53">
        <f t="shared" si="13"/>
        <v>9.2201845897976735</v>
      </c>
      <c r="J57" s="53">
        <v>0.2</v>
      </c>
      <c r="K57" s="58">
        <f t="shared" si="9"/>
        <v>0.26401181326069095</v>
      </c>
      <c r="L57" s="58">
        <f t="shared" si="14"/>
        <v>0.26401181326069095</v>
      </c>
      <c r="M57" s="59">
        <f t="shared" si="15"/>
        <v>0.99004429972759112</v>
      </c>
    </row>
    <row r="58" spans="1:13" hidden="1" x14ac:dyDescent="0.2">
      <c r="A58" s="55">
        <v>10</v>
      </c>
      <c r="B58" s="56" t="s">
        <v>67</v>
      </c>
      <c r="C58" s="57">
        <v>3.25</v>
      </c>
      <c r="D58" s="53">
        <f t="shared" si="8"/>
        <v>5.0288423450188153</v>
      </c>
      <c r="E58" s="38">
        <f>'Headloss Calcs'!$E$18</f>
        <v>140</v>
      </c>
      <c r="F58" s="53">
        <f t="shared" si="10"/>
        <v>0.54541666666666677</v>
      </c>
      <c r="G58" s="53">
        <f t="shared" si="11"/>
        <v>2.6179999999999999</v>
      </c>
      <c r="H58" s="53">
        <f t="shared" si="12"/>
        <v>0.20833333333333337</v>
      </c>
      <c r="I58" s="53">
        <f t="shared" si="13"/>
        <v>9.2201845897976735</v>
      </c>
      <c r="J58" s="53">
        <v>2.5</v>
      </c>
      <c r="K58" s="58">
        <f t="shared" si="9"/>
        <v>3.3001476657586366</v>
      </c>
      <c r="L58" s="58">
        <f t="shared" si="14"/>
        <v>3.3001476657586366</v>
      </c>
      <c r="M58" s="59">
        <f t="shared" si="15"/>
        <v>4.2901919654862279</v>
      </c>
    </row>
    <row r="59" spans="1:13" hidden="1" x14ac:dyDescent="0.2">
      <c r="A59" s="55">
        <v>10</v>
      </c>
      <c r="B59" s="56" t="s">
        <v>68</v>
      </c>
      <c r="C59" s="57">
        <v>3.25</v>
      </c>
      <c r="D59" s="53">
        <f t="shared" si="8"/>
        <v>5.0288423450188153</v>
      </c>
      <c r="E59" s="38">
        <f>'Headloss Calcs'!$E$18</f>
        <v>140</v>
      </c>
      <c r="F59" s="53">
        <f t="shared" si="10"/>
        <v>0.54541666666666677</v>
      </c>
      <c r="G59" s="53">
        <f t="shared" si="11"/>
        <v>2.6179999999999999</v>
      </c>
      <c r="H59" s="53">
        <f t="shared" si="12"/>
        <v>0.20833333333333337</v>
      </c>
      <c r="I59" s="53">
        <f t="shared" si="13"/>
        <v>9.2201845897976735</v>
      </c>
      <c r="J59" s="53">
        <v>0.85</v>
      </c>
      <c r="K59" s="58">
        <f t="shared" si="9"/>
        <v>1.1220502063579365</v>
      </c>
      <c r="L59" s="58">
        <f t="shared" si="14"/>
        <v>1.1220502063579365</v>
      </c>
      <c r="M59" s="59">
        <f t="shared" si="15"/>
        <v>5.4122421718441647</v>
      </c>
    </row>
    <row r="60" spans="1:13" hidden="1" x14ac:dyDescent="0.2">
      <c r="A60" s="55">
        <v>10</v>
      </c>
      <c r="B60" s="56" t="s">
        <v>69</v>
      </c>
      <c r="C60" s="57">
        <v>3.25</v>
      </c>
      <c r="D60" s="53">
        <f t="shared" si="8"/>
        <v>5.0288423450188153</v>
      </c>
      <c r="E60" s="38">
        <f>'Headloss Calcs'!$E$18</f>
        <v>140</v>
      </c>
      <c r="F60" s="53">
        <f t="shared" si="10"/>
        <v>0.54541666666666677</v>
      </c>
      <c r="G60" s="53">
        <f t="shared" si="11"/>
        <v>2.6179999999999999</v>
      </c>
      <c r="H60" s="53">
        <f t="shared" si="12"/>
        <v>0.20833333333333337</v>
      </c>
      <c r="I60" s="53">
        <f t="shared" si="13"/>
        <v>9.2201845897976735</v>
      </c>
      <c r="J60" s="53">
        <v>1.8</v>
      </c>
      <c r="K60" s="58">
        <f t="shared" si="9"/>
        <v>2.3761063193462189</v>
      </c>
      <c r="L60" s="58">
        <f t="shared" si="14"/>
        <v>2.3761063193462189</v>
      </c>
      <c r="M60" s="59">
        <f t="shared" si="15"/>
        <v>7.7883484911903835</v>
      </c>
    </row>
    <row r="61" spans="1:13" hidden="1" x14ac:dyDescent="0.2">
      <c r="A61" s="55">
        <v>10</v>
      </c>
      <c r="B61" s="56" t="s">
        <v>70</v>
      </c>
      <c r="C61" s="57">
        <v>3.25</v>
      </c>
      <c r="D61" s="53">
        <f t="shared" si="8"/>
        <v>5.0288423450188153</v>
      </c>
      <c r="E61" s="38">
        <f>'Headloss Calcs'!$E$18</f>
        <v>140</v>
      </c>
      <c r="F61" s="53">
        <f t="shared" si="10"/>
        <v>0.54541666666666677</v>
      </c>
      <c r="G61" s="53">
        <f t="shared" si="11"/>
        <v>2.6179999999999999</v>
      </c>
      <c r="H61" s="53">
        <f t="shared" si="12"/>
        <v>0.20833333333333337</v>
      </c>
      <c r="I61" s="53">
        <f t="shared" si="13"/>
        <v>9.2201845897976735</v>
      </c>
      <c r="J61" s="53">
        <v>0.6</v>
      </c>
      <c r="K61" s="58">
        <f t="shared" si="9"/>
        <v>0.79203543978207291</v>
      </c>
      <c r="L61" s="58">
        <f t="shared" si="14"/>
        <v>0.79203543978207291</v>
      </c>
      <c r="M61" s="59">
        <f t="shared" si="15"/>
        <v>8.5803839309724559</v>
      </c>
    </row>
    <row r="62" spans="1:13" x14ac:dyDescent="0.2">
      <c r="J62" s="2"/>
      <c r="L62" s="92"/>
      <c r="M62" s="94"/>
    </row>
    <row r="65" spans="1:13" ht="18" x14ac:dyDescent="0.25">
      <c r="A65" s="87" t="s">
        <v>75</v>
      </c>
      <c r="B65" s="87"/>
      <c r="C65" s="87"/>
      <c r="D65" s="87"/>
      <c r="E65" s="87"/>
      <c r="F65" s="87"/>
      <c r="G65" s="87"/>
      <c r="H65" s="87"/>
      <c r="I65" s="87"/>
      <c r="J65" s="87"/>
      <c r="K65" s="87"/>
      <c r="L65" s="87"/>
      <c r="M65" s="87"/>
    </row>
    <row r="66" spans="1:13" ht="18" x14ac:dyDescent="0.25">
      <c r="A66" s="87"/>
      <c r="B66" s="87"/>
      <c r="C66" s="87"/>
      <c r="D66" s="87"/>
      <c r="E66" s="87"/>
      <c r="F66" s="87"/>
      <c r="G66" s="87"/>
      <c r="H66" s="87"/>
      <c r="I66" s="87"/>
      <c r="J66" s="87"/>
      <c r="K66" s="87"/>
      <c r="L66" s="87"/>
      <c r="M66" s="87"/>
    </row>
    <row r="67" spans="1:13" ht="13.5" thickBot="1" x14ac:dyDescent="0.25">
      <c r="A67" s="33"/>
    </row>
    <row r="68" spans="1:13" ht="66" thickTop="1" x14ac:dyDescent="0.2">
      <c r="A68" s="35" t="s">
        <v>25</v>
      </c>
      <c r="B68" s="35" t="s">
        <v>26</v>
      </c>
      <c r="C68" s="35" t="s">
        <v>27</v>
      </c>
      <c r="D68" s="35" t="s">
        <v>28</v>
      </c>
      <c r="E68" s="35" t="s">
        <v>29</v>
      </c>
      <c r="F68" s="35" t="s">
        <v>30</v>
      </c>
      <c r="G68" s="35" t="s">
        <v>31</v>
      </c>
      <c r="H68" s="35" t="s">
        <v>32</v>
      </c>
      <c r="I68" s="35" t="s">
        <v>33</v>
      </c>
      <c r="J68" s="35" t="s">
        <v>72</v>
      </c>
      <c r="K68" s="35" t="s">
        <v>71</v>
      </c>
      <c r="L68" s="35"/>
      <c r="M68" s="36"/>
    </row>
    <row r="69" spans="1:13" x14ac:dyDescent="0.2">
      <c r="A69" s="55">
        <v>18</v>
      </c>
      <c r="B69" s="56" t="s">
        <v>65</v>
      </c>
      <c r="C69" s="57">
        <v>8.25</v>
      </c>
      <c r="D69" s="53">
        <f>C69*1000000/(7.48*24*60*60)</f>
        <v>12.765522875816993</v>
      </c>
      <c r="E69" s="38">
        <v>140</v>
      </c>
      <c r="F69" s="53">
        <f>3.1416/4*(A69/12)^2</f>
        <v>1.76715</v>
      </c>
      <c r="G69" s="53">
        <f>3.1416*(A69/12)</f>
        <v>4.7123999999999997</v>
      </c>
      <c r="H69" s="53">
        <f>F69/G69</f>
        <v>0.375</v>
      </c>
      <c r="I69" s="53">
        <f>D69/F69</f>
        <v>7.2237913452830789</v>
      </c>
      <c r="J69" s="75">
        <v>30</v>
      </c>
      <c r="K69" s="74">
        <f>(I69/(1.318*E69*(H69)^0.63))^1.85*J69</f>
        <v>0.23448930775961585</v>
      </c>
      <c r="L69" s="58"/>
      <c r="M69" s="59"/>
    </row>
    <row r="70" spans="1:13" x14ac:dyDescent="0.2">
      <c r="A70" s="55">
        <v>36</v>
      </c>
      <c r="B70" s="56" t="s">
        <v>65</v>
      </c>
      <c r="C70" s="57">
        <v>8.25</v>
      </c>
      <c r="D70" s="53">
        <f>C70*1000000/(7.48*24*60*60)</f>
        <v>12.765522875816993</v>
      </c>
      <c r="E70" s="38">
        <f>'Headloss Calcs'!$E$18</f>
        <v>140</v>
      </c>
      <c r="F70" s="53">
        <f>3.1416/4*(A70/12)^2</f>
        <v>7.0686</v>
      </c>
      <c r="G70" s="53">
        <f>3.1416*(A70/12)</f>
        <v>9.4247999999999994</v>
      </c>
      <c r="H70" s="53">
        <f>F70/G70</f>
        <v>0.75</v>
      </c>
      <c r="I70" s="53">
        <f>D70/F70</f>
        <v>1.8059478363207697</v>
      </c>
      <c r="J70" s="75">
        <v>50</v>
      </c>
      <c r="K70" s="74">
        <f>((I70/(1.318*E70*(H70)^0.63))^1.85)*J70</f>
        <v>1.3406343730959391E-2</v>
      </c>
      <c r="L70" s="58"/>
      <c r="M70" s="59"/>
    </row>
    <row r="71" spans="1:13" x14ac:dyDescent="0.2">
      <c r="J71" s="92" t="s">
        <v>40</v>
      </c>
      <c r="K71" s="94">
        <f>K69+K70</f>
        <v>0.24789565149057524</v>
      </c>
    </row>
    <row r="73" spans="1:13" ht="13.5" hidden="1" thickBot="1" x14ac:dyDescent="0.25">
      <c r="A73" s="33" t="s">
        <v>84</v>
      </c>
    </row>
    <row r="74" spans="1:13" ht="66" hidden="1" thickTop="1" x14ac:dyDescent="0.2">
      <c r="A74" s="35" t="s">
        <v>25</v>
      </c>
      <c r="B74" s="35" t="s">
        <v>26</v>
      </c>
      <c r="C74" s="35" t="s">
        <v>27</v>
      </c>
      <c r="D74" s="35" t="s">
        <v>28</v>
      </c>
      <c r="E74" s="35" t="s">
        <v>29</v>
      </c>
      <c r="F74" s="35" t="s">
        <v>30</v>
      </c>
      <c r="G74" s="35" t="s">
        <v>31</v>
      </c>
      <c r="H74" s="35" t="s">
        <v>32</v>
      </c>
      <c r="I74" s="35" t="s">
        <v>33</v>
      </c>
      <c r="J74" s="35" t="s">
        <v>72</v>
      </c>
      <c r="K74" s="35" t="s">
        <v>71</v>
      </c>
      <c r="L74" s="35"/>
      <c r="M74" s="36"/>
    </row>
    <row r="75" spans="1:13" hidden="1" x14ac:dyDescent="0.2">
      <c r="A75" s="55">
        <v>10</v>
      </c>
      <c r="B75" s="56" t="s">
        <v>65</v>
      </c>
      <c r="C75" s="57">
        <v>3.25</v>
      </c>
      <c r="D75" s="53">
        <f>C75*1000000/(7.48*24*60*60)</f>
        <v>5.0288423450188153</v>
      </c>
      <c r="E75" s="38">
        <v>140</v>
      </c>
      <c r="F75" s="53">
        <f>3.1416/4*(A75/12)^2</f>
        <v>0.54541666666666677</v>
      </c>
      <c r="G75" s="53">
        <f>3.1416*(A75/12)</f>
        <v>2.6179999999999999</v>
      </c>
      <c r="H75" s="53">
        <f>F75/G75</f>
        <v>0.20833333333333337</v>
      </c>
      <c r="I75" s="53">
        <f>D75/F75</f>
        <v>9.2201845897976735</v>
      </c>
      <c r="J75" s="75">
        <v>30</v>
      </c>
      <c r="K75" s="74">
        <f>(I75/(1.318*E75*(H75)^0.63))^1.85*J75</f>
        <v>0.7306271914287833</v>
      </c>
      <c r="L75" s="58"/>
      <c r="M75" s="59"/>
    </row>
    <row r="76" spans="1:13" hidden="1" x14ac:dyDescent="0.2">
      <c r="A76" s="55">
        <v>36</v>
      </c>
      <c r="B76" s="56" t="s">
        <v>65</v>
      </c>
      <c r="C76" s="57">
        <v>3.25</v>
      </c>
      <c r="D76" s="53">
        <f>C76*1000000/(7.48*24*60*60)</f>
        <v>5.0288423450188153</v>
      </c>
      <c r="E76" s="38">
        <f>'Headloss Calcs'!$E$18</f>
        <v>140</v>
      </c>
      <c r="F76" s="53">
        <f>3.1416/4*(A76/12)^2</f>
        <v>7.0686</v>
      </c>
      <c r="G76" s="53">
        <f>3.1416*(A76/12)</f>
        <v>9.4247999999999994</v>
      </c>
      <c r="H76" s="53">
        <f>F76/G76</f>
        <v>0.75</v>
      </c>
      <c r="I76" s="53">
        <f>D76/F76</f>
        <v>0.71143399612636382</v>
      </c>
      <c r="J76" s="75">
        <v>50</v>
      </c>
      <c r="K76" s="74">
        <f>((I76/(1.318*E76*(H76)^0.63))^1.85)*J76</f>
        <v>2.3925155176532723E-3</v>
      </c>
      <c r="L76" s="58"/>
      <c r="M76" s="59"/>
    </row>
    <row r="77" spans="1:13" x14ac:dyDescent="0.2">
      <c r="J77" s="92" t="s">
        <v>40</v>
      </c>
      <c r="K77" s="94">
        <f>K75+K76</f>
        <v>0.73301970694643659</v>
      </c>
    </row>
    <row r="80" spans="1:13" x14ac:dyDescent="0.2">
      <c r="A80" s="33" t="s">
        <v>76</v>
      </c>
      <c r="B80" s="33"/>
      <c r="C80" s="33"/>
      <c r="D80" s="93">
        <f>M50+K71</f>
        <v>6.0548232620229134</v>
      </c>
    </row>
    <row r="81" spans="1:13" x14ac:dyDescent="0.2">
      <c r="A81" s="33"/>
      <c r="B81" s="33"/>
      <c r="C81" s="33"/>
      <c r="D81" s="33"/>
    </row>
    <row r="82" spans="1:13" hidden="1" x14ac:dyDescent="0.2">
      <c r="A82" s="33" t="s">
        <v>77</v>
      </c>
      <c r="B82" s="33"/>
      <c r="C82" s="33"/>
      <c r="D82" s="93">
        <f>M62+K77</f>
        <v>0.73301970694643659</v>
      </c>
    </row>
    <row r="83" spans="1:13" hidden="1" x14ac:dyDescent="0.2"/>
    <row r="85" spans="1:13" ht="18" x14ac:dyDescent="0.25">
      <c r="A85" s="87" t="s">
        <v>78</v>
      </c>
      <c r="B85" s="96"/>
      <c r="C85" s="96"/>
      <c r="D85" s="96"/>
      <c r="E85" s="96"/>
      <c r="F85" s="96"/>
      <c r="G85" s="96"/>
      <c r="H85" s="96"/>
      <c r="I85" s="96"/>
      <c r="J85" s="96"/>
      <c r="K85" s="96"/>
      <c r="L85" s="96"/>
      <c r="M85" s="96"/>
    </row>
    <row r="86" spans="1:13" ht="18" x14ac:dyDescent="0.25">
      <c r="A86" s="87"/>
      <c r="B86" s="96"/>
      <c r="C86" s="96"/>
      <c r="D86" s="96"/>
      <c r="E86" s="96"/>
      <c r="F86" s="96"/>
      <c r="G86" s="96"/>
      <c r="H86" s="96"/>
      <c r="I86" s="96"/>
      <c r="J86" s="96"/>
      <c r="K86" s="96"/>
      <c r="L86" s="96"/>
      <c r="M86" s="96"/>
    </row>
    <row r="87" spans="1:13" ht="13.5" thickBot="1" x14ac:dyDescent="0.25">
      <c r="A87" s="33" t="s">
        <v>81</v>
      </c>
    </row>
    <row r="88" spans="1:13" ht="66" thickTop="1" x14ac:dyDescent="0.2">
      <c r="A88" s="35" t="s">
        <v>25</v>
      </c>
      <c r="B88" s="35" t="s">
        <v>27</v>
      </c>
      <c r="C88" s="35" t="s">
        <v>28</v>
      </c>
      <c r="D88" s="35" t="s">
        <v>29</v>
      </c>
      <c r="E88" s="35" t="s">
        <v>30</v>
      </c>
      <c r="F88" s="35" t="s">
        <v>31</v>
      </c>
      <c r="G88" s="35" t="s">
        <v>32</v>
      </c>
      <c r="H88" s="35" t="s">
        <v>33</v>
      </c>
      <c r="I88" s="35" t="s">
        <v>72</v>
      </c>
      <c r="J88" s="35" t="s">
        <v>71</v>
      </c>
    </row>
    <row r="89" spans="1:13" x14ac:dyDescent="0.2">
      <c r="A89" s="55">
        <v>36</v>
      </c>
      <c r="B89" s="57">
        <v>33</v>
      </c>
      <c r="C89" s="53">
        <f>B89*1000000/(7.48*24*60*60)</f>
        <v>51.062091503267972</v>
      </c>
      <c r="D89" s="38">
        <v>140</v>
      </c>
      <c r="E89" s="53">
        <f>3.1416/4*(A89/12)^2</f>
        <v>7.0686</v>
      </c>
      <c r="F89" s="53">
        <f>3.1416*(A89/12)</f>
        <v>9.4247999999999994</v>
      </c>
      <c r="G89" s="53">
        <f>E89/F89</f>
        <v>0.75</v>
      </c>
      <c r="H89" s="53">
        <f>C89/E89</f>
        <v>7.2237913452830789</v>
      </c>
      <c r="I89" s="95">
        <v>10560</v>
      </c>
      <c r="J89" s="74">
        <f>(H89/(1.318*D89*(G89)^0.63))^1.85*I89</f>
        <v>36.797240229985967</v>
      </c>
    </row>
    <row r="90" spans="1:13" x14ac:dyDescent="0.2">
      <c r="A90" s="62"/>
      <c r="B90" s="64"/>
      <c r="C90" s="7"/>
      <c r="D90" s="44"/>
      <c r="E90" s="7"/>
      <c r="F90" s="7"/>
      <c r="G90" s="7"/>
      <c r="H90" s="7"/>
      <c r="I90" s="99" t="s">
        <v>40</v>
      </c>
      <c r="J90" s="66">
        <f>J89</f>
        <v>36.797240229985967</v>
      </c>
    </row>
    <row r="91" spans="1:13" ht="13.5" thickBot="1" x14ac:dyDescent="0.25">
      <c r="A91" s="33" t="s">
        <v>82</v>
      </c>
    </row>
    <row r="92" spans="1:13" ht="66" thickTop="1" x14ac:dyDescent="0.2">
      <c r="A92" s="35" t="s">
        <v>25</v>
      </c>
      <c r="B92" s="35" t="s">
        <v>26</v>
      </c>
      <c r="C92" s="35" t="s">
        <v>27</v>
      </c>
      <c r="D92" s="35" t="s">
        <v>28</v>
      </c>
      <c r="E92" s="35" t="s">
        <v>29</v>
      </c>
      <c r="F92" s="35" t="s">
        <v>30</v>
      </c>
      <c r="G92" s="35" t="s">
        <v>31</v>
      </c>
      <c r="H92" s="35" t="s">
        <v>32</v>
      </c>
      <c r="I92" s="35" t="s">
        <v>33</v>
      </c>
      <c r="J92" s="35" t="s">
        <v>35</v>
      </c>
      <c r="K92" s="35" t="s">
        <v>36</v>
      </c>
      <c r="L92" s="35" t="s">
        <v>37</v>
      </c>
      <c r="M92" s="97"/>
    </row>
    <row r="93" spans="1:13" x14ac:dyDescent="0.2">
      <c r="A93" s="55">
        <v>36</v>
      </c>
      <c r="B93" s="56" t="s">
        <v>45</v>
      </c>
      <c r="C93" s="57">
        <v>33</v>
      </c>
      <c r="D93" s="53">
        <f t="shared" ref="D93:D100" si="16">C93*1000000/(7.48*24*60*60)</f>
        <v>51.062091503267972</v>
      </c>
      <c r="E93" s="38">
        <f>'Headloss Calcs'!$E$18</f>
        <v>140</v>
      </c>
      <c r="F93" s="53">
        <f t="shared" ref="F93:F100" si="17">3.1416/4*(A93/12)^2</f>
        <v>7.0686</v>
      </c>
      <c r="G93" s="53">
        <f t="shared" ref="G93:G100" si="18">3.1416*(A93/12)</f>
        <v>9.4247999999999994</v>
      </c>
      <c r="H93" s="53">
        <f t="shared" ref="H93:H100" si="19">F93/G93</f>
        <v>0.75</v>
      </c>
      <c r="I93" s="53">
        <f t="shared" ref="I93:I100" si="20">D93/F93</f>
        <v>7.2237913452830789</v>
      </c>
      <c r="J93" s="53">
        <v>0.2</v>
      </c>
      <c r="K93" s="58">
        <f t="shared" ref="K93:K98" si="21">J93*(I93^2)/(2*32.2)</f>
        <v>0.162059507453996</v>
      </c>
      <c r="L93" s="58">
        <f>K93</f>
        <v>0.162059507453996</v>
      </c>
      <c r="M93" s="98"/>
    </row>
    <row r="94" spans="1:13" x14ac:dyDescent="0.2">
      <c r="A94" s="55">
        <v>36</v>
      </c>
      <c r="B94" s="56" t="s">
        <v>45</v>
      </c>
      <c r="C94" s="57">
        <v>33</v>
      </c>
      <c r="D94" s="53">
        <f t="shared" si="16"/>
        <v>51.062091503267972</v>
      </c>
      <c r="E94" s="38">
        <f>'Headloss Calcs'!$E$18</f>
        <v>140</v>
      </c>
      <c r="F94" s="53">
        <f t="shared" si="17"/>
        <v>7.0686</v>
      </c>
      <c r="G94" s="53">
        <f t="shared" si="18"/>
        <v>9.4247999999999994</v>
      </c>
      <c r="H94" s="53">
        <f t="shared" si="19"/>
        <v>0.75</v>
      </c>
      <c r="I94" s="53">
        <f t="shared" si="20"/>
        <v>7.2237913452830789</v>
      </c>
      <c r="J94" s="53">
        <v>0.2</v>
      </c>
      <c r="K94" s="58">
        <f t="shared" si="21"/>
        <v>0.162059507453996</v>
      </c>
      <c r="L94" s="58">
        <f t="shared" ref="L94:L100" si="22">K94</f>
        <v>0.162059507453996</v>
      </c>
      <c r="M94" s="98"/>
    </row>
    <row r="95" spans="1:13" x14ac:dyDescent="0.2">
      <c r="A95" s="55">
        <v>36</v>
      </c>
      <c r="B95" s="56" t="s">
        <v>39</v>
      </c>
      <c r="C95" s="57">
        <v>33</v>
      </c>
      <c r="D95" s="53">
        <f t="shared" si="16"/>
        <v>51.062091503267972</v>
      </c>
      <c r="E95" s="38">
        <f>'Headloss Calcs'!$E$18</f>
        <v>140</v>
      </c>
      <c r="F95" s="53">
        <f t="shared" si="17"/>
        <v>7.0686</v>
      </c>
      <c r="G95" s="53">
        <f t="shared" si="18"/>
        <v>9.4247999999999994</v>
      </c>
      <c r="H95" s="53">
        <f t="shared" si="19"/>
        <v>0.75</v>
      </c>
      <c r="I95" s="53">
        <f t="shared" si="20"/>
        <v>7.2237913452830789</v>
      </c>
      <c r="J95" s="53">
        <v>0.4</v>
      </c>
      <c r="K95" s="58">
        <f t="shared" si="21"/>
        <v>0.324119014907992</v>
      </c>
      <c r="L95" s="58">
        <f t="shared" si="22"/>
        <v>0.324119014907992</v>
      </c>
      <c r="M95" s="98"/>
    </row>
    <row r="96" spans="1:13" x14ac:dyDescent="0.2">
      <c r="A96" s="55">
        <v>36</v>
      </c>
      <c r="B96" s="56" t="s">
        <v>39</v>
      </c>
      <c r="C96" s="57">
        <v>33</v>
      </c>
      <c r="D96" s="53">
        <f t="shared" si="16"/>
        <v>51.062091503267972</v>
      </c>
      <c r="E96" s="38">
        <f>'Headloss Calcs'!$E$18</f>
        <v>140</v>
      </c>
      <c r="F96" s="53">
        <f t="shared" si="17"/>
        <v>7.0686</v>
      </c>
      <c r="G96" s="53">
        <f t="shared" si="18"/>
        <v>9.4247999999999994</v>
      </c>
      <c r="H96" s="53">
        <f t="shared" si="19"/>
        <v>0.75</v>
      </c>
      <c r="I96" s="53">
        <f t="shared" si="20"/>
        <v>7.2237913452830789</v>
      </c>
      <c r="J96" s="53">
        <v>0.4</v>
      </c>
      <c r="K96" s="58">
        <f t="shared" si="21"/>
        <v>0.324119014907992</v>
      </c>
      <c r="L96" s="58">
        <f t="shared" si="22"/>
        <v>0.324119014907992</v>
      </c>
      <c r="M96" s="98"/>
    </row>
    <row r="97" spans="1:13" x14ac:dyDescent="0.2">
      <c r="A97" s="55">
        <v>36</v>
      </c>
      <c r="B97" s="56" t="s">
        <v>39</v>
      </c>
      <c r="C97" s="57">
        <v>33</v>
      </c>
      <c r="D97" s="53">
        <f t="shared" si="16"/>
        <v>51.062091503267972</v>
      </c>
      <c r="E97" s="38">
        <f>'Headloss Calcs'!$E$18</f>
        <v>140</v>
      </c>
      <c r="F97" s="53">
        <f t="shared" si="17"/>
        <v>7.0686</v>
      </c>
      <c r="G97" s="53">
        <f t="shared" si="18"/>
        <v>9.4247999999999994</v>
      </c>
      <c r="H97" s="53">
        <f t="shared" si="19"/>
        <v>0.75</v>
      </c>
      <c r="I97" s="53">
        <f t="shared" si="20"/>
        <v>7.2237913452830789</v>
      </c>
      <c r="J97" s="53">
        <v>0.4</v>
      </c>
      <c r="K97" s="58">
        <f t="shared" si="21"/>
        <v>0.324119014907992</v>
      </c>
      <c r="L97" s="58">
        <f t="shared" si="22"/>
        <v>0.324119014907992</v>
      </c>
      <c r="M97" s="98"/>
    </row>
    <row r="98" spans="1:13" x14ac:dyDescent="0.2">
      <c r="A98" s="55">
        <v>30</v>
      </c>
      <c r="B98" s="56" t="s">
        <v>79</v>
      </c>
      <c r="C98" s="57">
        <v>33</v>
      </c>
      <c r="D98" s="53">
        <f t="shared" si="16"/>
        <v>51.062091503267972</v>
      </c>
      <c r="E98" s="38">
        <f>'Headloss Calcs'!$E$18</f>
        <v>140</v>
      </c>
      <c r="F98" s="53">
        <f t="shared" si="17"/>
        <v>4.9087499999999995</v>
      </c>
      <c r="G98" s="53">
        <f t="shared" si="18"/>
        <v>7.8540000000000001</v>
      </c>
      <c r="H98" s="53">
        <f t="shared" si="19"/>
        <v>0.62499999999999989</v>
      </c>
      <c r="I98" s="53">
        <f t="shared" si="20"/>
        <v>10.402259537207634</v>
      </c>
      <c r="J98" s="53">
        <v>0.25</v>
      </c>
      <c r="K98" s="58">
        <f t="shared" si="21"/>
        <v>0.42005824332075764</v>
      </c>
      <c r="L98" s="58">
        <f t="shared" si="22"/>
        <v>0.42005824332075764</v>
      </c>
      <c r="M98" s="98"/>
    </row>
    <row r="99" spans="1:13" x14ac:dyDescent="0.2">
      <c r="A99" s="55">
        <v>30</v>
      </c>
      <c r="B99" s="56" t="s">
        <v>47</v>
      </c>
      <c r="C99" s="57">
        <v>33</v>
      </c>
      <c r="D99" s="53">
        <f t="shared" si="16"/>
        <v>51.062091503267972</v>
      </c>
      <c r="E99" s="38">
        <f>'Headloss Calcs'!$E$18</f>
        <v>140</v>
      </c>
      <c r="F99" s="53">
        <f t="shared" si="17"/>
        <v>4.9087499999999995</v>
      </c>
      <c r="G99" s="53">
        <f t="shared" si="18"/>
        <v>7.8540000000000001</v>
      </c>
      <c r="H99" s="53">
        <f t="shared" si="19"/>
        <v>0.62499999999999989</v>
      </c>
      <c r="I99" s="53">
        <f t="shared" si="20"/>
        <v>10.402259537207634</v>
      </c>
      <c r="J99" s="53">
        <v>0.26</v>
      </c>
      <c r="K99" s="58">
        <f>J99*(I99^2)/(2*32.2)</f>
        <v>0.43686057305358794</v>
      </c>
      <c r="L99" s="58">
        <f t="shared" si="22"/>
        <v>0.43686057305358794</v>
      </c>
      <c r="M99" s="98"/>
    </row>
    <row r="100" spans="1:13" x14ac:dyDescent="0.2">
      <c r="A100" s="55">
        <v>36</v>
      </c>
      <c r="B100" s="56" t="s">
        <v>80</v>
      </c>
      <c r="C100" s="57">
        <v>33</v>
      </c>
      <c r="D100" s="53">
        <f t="shared" si="16"/>
        <v>51.062091503267972</v>
      </c>
      <c r="E100" s="38">
        <f>'Headloss Calcs'!$E$18</f>
        <v>140</v>
      </c>
      <c r="F100" s="53">
        <f t="shared" si="17"/>
        <v>7.0686</v>
      </c>
      <c r="G100" s="53">
        <f t="shared" si="18"/>
        <v>9.4247999999999994</v>
      </c>
      <c r="H100" s="53">
        <f t="shared" si="19"/>
        <v>0.75</v>
      </c>
      <c r="I100" s="53">
        <f t="shared" si="20"/>
        <v>7.2237913452830789</v>
      </c>
      <c r="J100" s="53">
        <v>1</v>
      </c>
      <c r="K100" s="58">
        <f>J100*(I100^2)/(2*32.2)</f>
        <v>0.81029753726997988</v>
      </c>
      <c r="L100" s="58">
        <f t="shared" si="22"/>
        <v>0.81029753726997988</v>
      </c>
      <c r="M100" s="98"/>
    </row>
    <row r="101" spans="1:13" x14ac:dyDescent="0.2">
      <c r="K101" s="92" t="s">
        <v>40</v>
      </c>
      <c r="L101" s="100">
        <f>SUM(L93:L100)</f>
        <v>2.9636924132762932</v>
      </c>
    </row>
    <row r="103" spans="1:13" x14ac:dyDescent="0.2">
      <c r="A103" s="33" t="s">
        <v>83</v>
      </c>
      <c r="C103" s="100">
        <f>J89+L101</f>
        <v>39.760932643262258</v>
      </c>
    </row>
  </sheetData>
  <mergeCells count="17">
    <mergeCell ref="A1:J4"/>
    <mergeCell ref="B31:B32"/>
    <mergeCell ref="C31:C32"/>
    <mergeCell ref="G31:G32"/>
    <mergeCell ref="A7:H7"/>
    <mergeCell ref="A15:A16"/>
    <mergeCell ref="B15:B16"/>
    <mergeCell ref="C15:C16"/>
    <mergeCell ref="F15:F16"/>
    <mergeCell ref="G15:G16"/>
    <mergeCell ref="D31:D32"/>
    <mergeCell ref="I31:I32"/>
    <mergeCell ref="E31:E32"/>
    <mergeCell ref="H15:H16"/>
    <mergeCell ref="J31:J32"/>
    <mergeCell ref="H31:H32"/>
    <mergeCell ref="I15:I16"/>
  </mergeCells>
  <phoneticPr fontId="2" type="noConversion"/>
  <pageMargins left="0.75" right="0.75" top="1" bottom="1" header="0.5" footer="0.5"/>
  <pageSetup scale="92" orientation="landscape" r:id="rId1"/>
  <headerFooter alignWithMargins="0"/>
  <rowBreaks count="2" manualBreakCount="2">
    <brk id="37" max="16383" man="1"/>
    <brk id="84"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Calcs'!$A$37</f>
        <v>17</v>
      </c>
      <c r="E3" s="53">
        <f t="shared" ref="E3:E18" si="0">D3*1000000/(7.48*24*60*60)</f>
        <v>26.304713804713806</v>
      </c>
      <c r="F3" s="38">
        <f>'Headloss Calcs'!$E$18</f>
        <v>140</v>
      </c>
      <c r="G3" s="53">
        <f t="shared" ref="G3:G18" si="1">3.1416/4*(B3/12)^2</f>
        <v>7.0686</v>
      </c>
      <c r="H3" s="53">
        <f t="shared" ref="H3:H18" si="2">3.1416*(B3/12)</f>
        <v>9.4247999999999994</v>
      </c>
      <c r="I3" s="53">
        <f t="shared" ref="I3:I18" si="3">G3/H3</f>
        <v>0.75</v>
      </c>
      <c r="J3" s="53">
        <f t="shared" ref="J3:J18" si="4">E3/G3</f>
        <v>3.7213470566609805</v>
      </c>
      <c r="K3" s="53">
        <f t="shared" ref="K3:K18" si="5">(J3/(1.318*F3*I3^0.63))^1.85*A3</f>
        <v>0</v>
      </c>
      <c r="L3" s="53">
        <v>0.25</v>
      </c>
      <c r="M3" s="58">
        <f t="shared" ref="M3:M18" si="6">L3*(J3^2)/(2*32.2)</f>
        <v>5.3759409612264525E-2</v>
      </c>
      <c r="N3" s="58">
        <f t="shared" ref="N3:N18" si="7">K3+M3</f>
        <v>5.3759409612264525E-2</v>
      </c>
      <c r="O3" s="59">
        <f>N3</f>
        <v>5.3759409612264525E-2</v>
      </c>
    </row>
    <row r="4" spans="1:15" x14ac:dyDescent="0.2">
      <c r="A4" s="37"/>
      <c r="B4" s="55">
        <v>36</v>
      </c>
      <c r="C4" s="56" t="s">
        <v>47</v>
      </c>
      <c r="D4" s="57">
        <f>'Headloss Calcs'!$A$37</f>
        <v>17</v>
      </c>
      <c r="E4" s="53">
        <f t="shared" si="0"/>
        <v>26.304713804713806</v>
      </c>
      <c r="F4" s="38">
        <f>'Headloss Calcs'!$E$18</f>
        <v>140</v>
      </c>
      <c r="G4" s="53">
        <f t="shared" si="1"/>
        <v>7.0686</v>
      </c>
      <c r="H4" s="53">
        <f t="shared" si="2"/>
        <v>9.4247999999999994</v>
      </c>
      <c r="I4" s="53">
        <f t="shared" si="3"/>
        <v>0.75</v>
      </c>
      <c r="J4" s="53">
        <f t="shared" si="4"/>
        <v>3.7213470566609805</v>
      </c>
      <c r="K4" s="53">
        <f t="shared" si="5"/>
        <v>0</v>
      </c>
      <c r="L4" s="53">
        <v>0.25</v>
      </c>
      <c r="M4" s="58">
        <f t="shared" si="6"/>
        <v>5.3759409612264525E-2</v>
      </c>
      <c r="N4" s="58">
        <f t="shared" si="7"/>
        <v>5.3759409612264525E-2</v>
      </c>
      <c r="O4" s="59">
        <f t="shared" ref="O4:O18" si="8">N4+O3</f>
        <v>0.10751881922452905</v>
      </c>
    </row>
    <row r="5" spans="1:15" x14ac:dyDescent="0.2">
      <c r="A5" s="37">
        <v>1320</v>
      </c>
      <c r="B5" s="55">
        <v>36</v>
      </c>
      <c r="C5" s="56" t="s">
        <v>23</v>
      </c>
      <c r="D5" s="57">
        <f>'Headloss Calcs'!$A$37</f>
        <v>17</v>
      </c>
      <c r="E5" s="53">
        <f t="shared" si="0"/>
        <v>26.304713804713806</v>
      </c>
      <c r="F5" s="38">
        <f>'Headloss Calcs'!$E$18</f>
        <v>140</v>
      </c>
      <c r="G5" s="53">
        <f t="shared" si="1"/>
        <v>7.0686</v>
      </c>
      <c r="H5" s="53">
        <f t="shared" si="2"/>
        <v>9.4247999999999994</v>
      </c>
      <c r="I5" s="53">
        <f t="shared" si="3"/>
        <v>0.75</v>
      </c>
      <c r="J5" s="53">
        <f t="shared" si="4"/>
        <v>3.7213470566609805</v>
      </c>
      <c r="K5" s="53">
        <f t="shared" si="5"/>
        <v>1.3483572568636693</v>
      </c>
      <c r="L5" s="53"/>
      <c r="M5" s="58">
        <f t="shared" si="6"/>
        <v>0</v>
      </c>
      <c r="N5" s="58">
        <f t="shared" si="7"/>
        <v>1.3483572568636693</v>
      </c>
      <c r="O5" s="59">
        <f t="shared" si="8"/>
        <v>1.4558760760881984</v>
      </c>
    </row>
    <row r="6" spans="1:15" x14ac:dyDescent="0.2">
      <c r="A6" s="37"/>
      <c r="B6" s="55">
        <v>36</v>
      </c>
      <c r="C6" s="56" t="s">
        <v>45</v>
      </c>
      <c r="D6" s="57">
        <f>'Headloss Calcs'!$A$37</f>
        <v>17</v>
      </c>
      <c r="E6" s="53">
        <f t="shared" si="0"/>
        <v>26.304713804713806</v>
      </c>
      <c r="F6" s="38">
        <f>'Headloss Calcs'!$E$18</f>
        <v>140</v>
      </c>
      <c r="G6" s="53">
        <f t="shared" si="1"/>
        <v>7.0686</v>
      </c>
      <c r="H6" s="53">
        <f t="shared" si="2"/>
        <v>9.4247999999999994</v>
      </c>
      <c r="I6" s="53">
        <f t="shared" si="3"/>
        <v>0.75</v>
      </c>
      <c r="J6" s="53">
        <f t="shared" si="4"/>
        <v>3.7213470566609805</v>
      </c>
      <c r="K6" s="53">
        <f t="shared" si="5"/>
        <v>0</v>
      </c>
      <c r="L6" s="53">
        <v>0.2</v>
      </c>
      <c r="M6" s="58">
        <f t="shared" si="6"/>
        <v>4.3007527689811621E-2</v>
      </c>
      <c r="N6" s="58">
        <f t="shared" si="7"/>
        <v>4.3007527689811621E-2</v>
      </c>
      <c r="O6" s="59">
        <f t="shared" si="8"/>
        <v>1.49888360377801</v>
      </c>
    </row>
    <row r="7" spans="1:15" x14ac:dyDescent="0.2">
      <c r="A7" s="37">
        <v>1320</v>
      </c>
      <c r="B7" s="55">
        <v>36</v>
      </c>
      <c r="C7" s="69" t="s">
        <v>23</v>
      </c>
      <c r="D7" s="57">
        <f>'Headloss Calcs'!$A$37</f>
        <v>17</v>
      </c>
      <c r="E7" s="53">
        <f t="shared" si="0"/>
        <v>26.304713804713806</v>
      </c>
      <c r="F7" s="38">
        <f>'Headloss Calcs'!$E$18</f>
        <v>140</v>
      </c>
      <c r="G7" s="53">
        <f t="shared" si="1"/>
        <v>7.0686</v>
      </c>
      <c r="H7" s="53">
        <f t="shared" si="2"/>
        <v>9.4247999999999994</v>
      </c>
      <c r="I7" s="53">
        <f t="shared" si="3"/>
        <v>0.75</v>
      </c>
      <c r="J7" s="53">
        <f t="shared" si="4"/>
        <v>3.7213470566609805</v>
      </c>
      <c r="K7" s="53">
        <f t="shared" si="5"/>
        <v>1.3483572568636693</v>
      </c>
      <c r="L7" s="53"/>
      <c r="M7" s="58">
        <f t="shared" si="6"/>
        <v>0</v>
      </c>
      <c r="N7" s="58">
        <f t="shared" si="7"/>
        <v>1.3483572568636693</v>
      </c>
      <c r="O7" s="59">
        <f t="shared" si="8"/>
        <v>2.847240860641679</v>
      </c>
    </row>
    <row r="8" spans="1:15" x14ac:dyDescent="0.2">
      <c r="A8" s="37"/>
      <c r="B8" s="55">
        <v>36</v>
      </c>
      <c r="C8" s="56" t="s">
        <v>39</v>
      </c>
      <c r="D8" s="57">
        <f>'Headloss Calcs'!$A$37</f>
        <v>17</v>
      </c>
      <c r="E8" s="53">
        <f t="shared" si="0"/>
        <v>26.304713804713806</v>
      </c>
      <c r="F8" s="38">
        <f>'Headloss Calcs'!$E$18</f>
        <v>140</v>
      </c>
      <c r="G8" s="53">
        <f t="shared" si="1"/>
        <v>7.0686</v>
      </c>
      <c r="H8" s="53">
        <f t="shared" si="2"/>
        <v>9.4247999999999994</v>
      </c>
      <c r="I8" s="53">
        <f t="shared" si="3"/>
        <v>0.75</v>
      </c>
      <c r="J8" s="53">
        <f t="shared" si="4"/>
        <v>3.7213470566609805</v>
      </c>
      <c r="K8" s="53">
        <f t="shared" si="5"/>
        <v>0</v>
      </c>
      <c r="L8" s="53">
        <v>0.4</v>
      </c>
      <c r="M8" s="58">
        <f t="shared" si="6"/>
        <v>8.6015055379623243E-2</v>
      </c>
      <c r="N8" s="58">
        <f t="shared" si="7"/>
        <v>8.6015055379623243E-2</v>
      </c>
      <c r="O8" s="59">
        <f t="shared" si="8"/>
        <v>2.9332559160213023</v>
      </c>
    </row>
    <row r="9" spans="1:15" x14ac:dyDescent="0.2">
      <c r="A9" s="37">
        <v>1320</v>
      </c>
      <c r="B9" s="55">
        <v>36</v>
      </c>
      <c r="C9" s="56" t="s">
        <v>23</v>
      </c>
      <c r="D9" s="57">
        <f>'Headloss Calcs'!$A$37</f>
        <v>17</v>
      </c>
      <c r="E9" s="53">
        <f t="shared" si="0"/>
        <v>26.304713804713806</v>
      </c>
      <c r="F9" s="38">
        <f>'Headloss Calcs'!$E$18</f>
        <v>140</v>
      </c>
      <c r="G9" s="53">
        <f t="shared" si="1"/>
        <v>7.0686</v>
      </c>
      <c r="H9" s="53">
        <f t="shared" si="2"/>
        <v>9.4247999999999994</v>
      </c>
      <c r="I9" s="53">
        <f t="shared" si="3"/>
        <v>0.75</v>
      </c>
      <c r="J9" s="53">
        <f t="shared" si="4"/>
        <v>3.7213470566609805</v>
      </c>
      <c r="K9" s="53">
        <f t="shared" si="5"/>
        <v>1.3483572568636693</v>
      </c>
      <c r="L9" s="53"/>
      <c r="M9" s="58">
        <f t="shared" si="6"/>
        <v>0</v>
      </c>
      <c r="N9" s="58">
        <f t="shared" si="7"/>
        <v>1.3483572568636693</v>
      </c>
      <c r="O9" s="59">
        <f t="shared" si="8"/>
        <v>4.2816131728849713</v>
      </c>
    </row>
    <row r="10" spans="1:15" x14ac:dyDescent="0.2">
      <c r="A10" s="37"/>
      <c r="B10" s="55">
        <v>36</v>
      </c>
      <c r="C10" s="56" t="s">
        <v>39</v>
      </c>
      <c r="D10" s="57">
        <f>'Headloss Calcs'!$A$37</f>
        <v>17</v>
      </c>
      <c r="E10" s="53">
        <f t="shared" si="0"/>
        <v>26.304713804713806</v>
      </c>
      <c r="F10" s="38">
        <f>'Headloss Calcs'!$E$18</f>
        <v>140</v>
      </c>
      <c r="G10" s="53">
        <f t="shared" si="1"/>
        <v>7.0686</v>
      </c>
      <c r="H10" s="53">
        <f t="shared" si="2"/>
        <v>9.4247999999999994</v>
      </c>
      <c r="I10" s="53">
        <f t="shared" si="3"/>
        <v>0.75</v>
      </c>
      <c r="J10" s="53">
        <f t="shared" si="4"/>
        <v>3.7213470566609805</v>
      </c>
      <c r="K10" s="53">
        <f t="shared" si="5"/>
        <v>0</v>
      </c>
      <c r="L10" s="53">
        <v>0.4</v>
      </c>
      <c r="M10" s="58">
        <f t="shared" si="6"/>
        <v>8.6015055379623243E-2</v>
      </c>
      <c r="N10" s="58">
        <f t="shared" si="7"/>
        <v>8.6015055379623243E-2</v>
      </c>
      <c r="O10" s="59">
        <f t="shared" si="8"/>
        <v>4.3676282282645946</v>
      </c>
    </row>
    <row r="11" spans="1:15" x14ac:dyDescent="0.2">
      <c r="A11" s="37">
        <v>1320</v>
      </c>
      <c r="B11" s="55">
        <v>36</v>
      </c>
      <c r="C11" s="56" t="s">
        <v>23</v>
      </c>
      <c r="D11" s="57">
        <f>'Headloss Calcs'!$A$37</f>
        <v>17</v>
      </c>
      <c r="E11" s="53">
        <f t="shared" si="0"/>
        <v>26.304713804713806</v>
      </c>
      <c r="F11" s="38">
        <f>'Headloss Calcs'!$E$18</f>
        <v>140</v>
      </c>
      <c r="G11" s="53">
        <f t="shared" si="1"/>
        <v>7.0686</v>
      </c>
      <c r="H11" s="53">
        <f t="shared" si="2"/>
        <v>9.4247999999999994</v>
      </c>
      <c r="I11" s="53">
        <f t="shared" si="3"/>
        <v>0.75</v>
      </c>
      <c r="J11" s="53">
        <f t="shared" si="4"/>
        <v>3.7213470566609805</v>
      </c>
      <c r="K11" s="53">
        <f t="shared" si="5"/>
        <v>1.3483572568636693</v>
      </c>
      <c r="L11" s="53"/>
      <c r="M11" s="58">
        <f t="shared" si="6"/>
        <v>0</v>
      </c>
      <c r="N11" s="58">
        <f t="shared" si="7"/>
        <v>1.3483572568636693</v>
      </c>
      <c r="O11" s="59">
        <f t="shared" si="8"/>
        <v>5.7159854851282637</v>
      </c>
    </row>
    <row r="12" spans="1:15" x14ac:dyDescent="0.2">
      <c r="A12" s="37"/>
      <c r="B12" s="55">
        <v>36</v>
      </c>
      <c r="C12" s="56" t="s">
        <v>48</v>
      </c>
      <c r="D12" s="57">
        <f>'Headloss Calcs'!$A$37</f>
        <v>17</v>
      </c>
      <c r="E12" s="53">
        <f t="shared" si="0"/>
        <v>26.304713804713806</v>
      </c>
      <c r="F12" s="38">
        <f>'Headloss Calcs'!$E$18</f>
        <v>140</v>
      </c>
      <c r="G12" s="53">
        <f t="shared" si="1"/>
        <v>7.0686</v>
      </c>
      <c r="H12" s="53">
        <f t="shared" si="2"/>
        <v>9.4247999999999994</v>
      </c>
      <c r="I12" s="53">
        <f t="shared" si="3"/>
        <v>0.75</v>
      </c>
      <c r="J12" s="53">
        <f t="shared" si="4"/>
        <v>3.7213470566609805</v>
      </c>
      <c r="K12" s="53">
        <f t="shared" si="5"/>
        <v>0</v>
      </c>
      <c r="L12" s="53">
        <v>0.4</v>
      </c>
      <c r="M12" s="58">
        <f t="shared" si="6"/>
        <v>8.6015055379623243E-2</v>
      </c>
      <c r="N12" s="58">
        <f t="shared" si="7"/>
        <v>8.6015055379623243E-2</v>
      </c>
      <c r="O12" s="59">
        <f t="shared" si="8"/>
        <v>5.8020005405078869</v>
      </c>
    </row>
    <row r="13" spans="1:15" x14ac:dyDescent="0.2">
      <c r="A13" s="37">
        <v>1320</v>
      </c>
      <c r="B13" s="55">
        <v>36</v>
      </c>
      <c r="C13" s="56" t="s">
        <v>23</v>
      </c>
      <c r="D13" s="57">
        <f>'Headloss Calcs'!$A$37</f>
        <v>17</v>
      </c>
      <c r="E13" s="53">
        <f t="shared" si="0"/>
        <v>26.304713804713806</v>
      </c>
      <c r="F13" s="38">
        <f>'Headloss Calcs'!$E$18</f>
        <v>140</v>
      </c>
      <c r="G13" s="53">
        <f t="shared" si="1"/>
        <v>7.0686</v>
      </c>
      <c r="H13" s="53">
        <f t="shared" si="2"/>
        <v>9.4247999999999994</v>
      </c>
      <c r="I13" s="53">
        <f t="shared" si="3"/>
        <v>0.75</v>
      </c>
      <c r="J13" s="53">
        <f t="shared" si="4"/>
        <v>3.7213470566609805</v>
      </c>
      <c r="K13" s="53">
        <f t="shared" si="5"/>
        <v>1.3483572568636693</v>
      </c>
      <c r="L13" s="53"/>
      <c r="M13" s="58">
        <f t="shared" si="6"/>
        <v>0</v>
      </c>
      <c r="N13" s="58">
        <f t="shared" si="7"/>
        <v>1.3483572568636693</v>
      </c>
      <c r="O13" s="59">
        <f t="shared" si="8"/>
        <v>7.150357797371556</v>
      </c>
    </row>
    <row r="14" spans="1:15" x14ac:dyDescent="0.2">
      <c r="A14" s="37"/>
      <c r="B14" s="55">
        <v>36</v>
      </c>
      <c r="C14" s="56" t="s">
        <v>39</v>
      </c>
      <c r="D14" s="57">
        <f>'Headloss Calcs'!$A$37</f>
        <v>17</v>
      </c>
      <c r="E14" s="53">
        <f t="shared" si="0"/>
        <v>26.304713804713806</v>
      </c>
      <c r="F14" s="38">
        <f>'Headloss Calcs'!$E$18</f>
        <v>140</v>
      </c>
      <c r="G14" s="53">
        <f t="shared" si="1"/>
        <v>7.0686</v>
      </c>
      <c r="H14" s="53">
        <f t="shared" si="2"/>
        <v>9.4247999999999994</v>
      </c>
      <c r="I14" s="53">
        <f t="shared" si="3"/>
        <v>0.75</v>
      </c>
      <c r="J14" s="53">
        <f t="shared" si="4"/>
        <v>3.7213470566609805</v>
      </c>
      <c r="K14" s="53">
        <f t="shared" si="5"/>
        <v>0</v>
      </c>
      <c r="L14" s="53">
        <v>0.4</v>
      </c>
      <c r="M14" s="58">
        <f t="shared" si="6"/>
        <v>8.6015055379623243E-2</v>
      </c>
      <c r="N14" s="58">
        <f t="shared" si="7"/>
        <v>8.6015055379623243E-2</v>
      </c>
      <c r="O14" s="59">
        <f t="shared" si="8"/>
        <v>7.2363728527511793</v>
      </c>
    </row>
    <row r="15" spans="1:15" x14ac:dyDescent="0.2">
      <c r="A15" s="37">
        <v>1320</v>
      </c>
      <c r="B15" s="55">
        <v>36</v>
      </c>
      <c r="C15" s="56" t="s">
        <v>23</v>
      </c>
      <c r="D15" s="57">
        <f>'Headloss Calcs'!$A$37</f>
        <v>17</v>
      </c>
      <c r="E15" s="53">
        <f t="shared" si="0"/>
        <v>26.304713804713806</v>
      </c>
      <c r="F15" s="38">
        <f>'Headloss Calcs'!$E$18</f>
        <v>140</v>
      </c>
      <c r="G15" s="53">
        <f t="shared" si="1"/>
        <v>7.0686</v>
      </c>
      <c r="H15" s="53">
        <f t="shared" si="2"/>
        <v>9.4247999999999994</v>
      </c>
      <c r="I15" s="53">
        <f t="shared" si="3"/>
        <v>0.75</v>
      </c>
      <c r="J15" s="53">
        <f t="shared" si="4"/>
        <v>3.7213470566609805</v>
      </c>
      <c r="K15" s="53">
        <f t="shared" si="5"/>
        <v>1.3483572568636693</v>
      </c>
      <c r="L15" s="53"/>
      <c r="M15" s="58">
        <f t="shared" si="6"/>
        <v>0</v>
      </c>
      <c r="N15" s="58">
        <f t="shared" si="7"/>
        <v>1.3483572568636693</v>
      </c>
      <c r="O15" s="59">
        <f t="shared" si="8"/>
        <v>8.5847301096148492</v>
      </c>
    </row>
    <row r="16" spans="1:15" x14ac:dyDescent="0.2">
      <c r="A16" s="37"/>
      <c r="B16" s="55">
        <v>36</v>
      </c>
      <c r="C16" s="56" t="s">
        <v>45</v>
      </c>
      <c r="D16" s="57">
        <f>'Headloss Calcs'!$A$37</f>
        <v>17</v>
      </c>
      <c r="E16" s="53">
        <f t="shared" si="0"/>
        <v>26.304713804713806</v>
      </c>
      <c r="F16" s="38">
        <f>'Headloss Calcs'!$E$18</f>
        <v>140</v>
      </c>
      <c r="G16" s="53">
        <f t="shared" si="1"/>
        <v>7.0686</v>
      </c>
      <c r="H16" s="53">
        <f t="shared" si="2"/>
        <v>9.4247999999999994</v>
      </c>
      <c r="I16" s="53">
        <f t="shared" si="3"/>
        <v>0.75</v>
      </c>
      <c r="J16" s="53">
        <f t="shared" si="4"/>
        <v>3.7213470566609805</v>
      </c>
      <c r="K16" s="53">
        <f t="shared" si="5"/>
        <v>0</v>
      </c>
      <c r="L16" s="53">
        <v>0.2</v>
      </c>
      <c r="M16" s="58">
        <f t="shared" si="6"/>
        <v>4.3007527689811621E-2</v>
      </c>
      <c r="N16" s="58">
        <f t="shared" si="7"/>
        <v>4.3007527689811621E-2</v>
      </c>
      <c r="O16" s="59">
        <f t="shared" si="8"/>
        <v>8.6277376373046604</v>
      </c>
    </row>
    <row r="17" spans="1:15" x14ac:dyDescent="0.2">
      <c r="A17" s="37">
        <v>1320</v>
      </c>
      <c r="B17" s="55">
        <v>36</v>
      </c>
      <c r="C17" s="56" t="s">
        <v>23</v>
      </c>
      <c r="D17" s="57">
        <f>'Headloss Calcs'!$A$37</f>
        <v>17</v>
      </c>
      <c r="E17" s="53">
        <f t="shared" si="0"/>
        <v>26.304713804713806</v>
      </c>
      <c r="F17" s="38">
        <f>'Headloss Calcs'!$E$18</f>
        <v>140</v>
      </c>
      <c r="G17" s="53">
        <f t="shared" si="1"/>
        <v>7.0686</v>
      </c>
      <c r="H17" s="53">
        <f t="shared" si="2"/>
        <v>9.4247999999999994</v>
      </c>
      <c r="I17" s="53">
        <f t="shared" si="3"/>
        <v>0.75</v>
      </c>
      <c r="J17" s="53">
        <f t="shared" si="4"/>
        <v>3.7213470566609805</v>
      </c>
      <c r="K17" s="53">
        <f t="shared" si="5"/>
        <v>1.3483572568636693</v>
      </c>
      <c r="L17" s="53"/>
      <c r="M17" s="58">
        <f t="shared" si="6"/>
        <v>0</v>
      </c>
      <c r="N17" s="58">
        <f t="shared" si="7"/>
        <v>1.3483572568636693</v>
      </c>
      <c r="O17" s="59">
        <f t="shared" si="8"/>
        <v>9.9760948941683303</v>
      </c>
    </row>
    <row r="18" spans="1:15" ht="12" customHeight="1" x14ac:dyDescent="0.2">
      <c r="A18" s="37"/>
      <c r="B18" s="55">
        <v>36</v>
      </c>
      <c r="C18" s="56" t="s">
        <v>44</v>
      </c>
      <c r="D18" s="57">
        <f>'Headloss Calcs'!$A$37</f>
        <v>17</v>
      </c>
      <c r="E18" s="53">
        <f t="shared" si="0"/>
        <v>26.304713804713806</v>
      </c>
      <c r="F18" s="38">
        <f>'Headloss Calcs'!$E$18</f>
        <v>140</v>
      </c>
      <c r="G18" s="53">
        <f t="shared" si="1"/>
        <v>7.0686</v>
      </c>
      <c r="H18" s="53">
        <f t="shared" si="2"/>
        <v>9.4247999999999994</v>
      </c>
      <c r="I18" s="53">
        <f t="shared" si="3"/>
        <v>0.75</v>
      </c>
      <c r="J18" s="53">
        <f t="shared" si="4"/>
        <v>3.7213470566609805</v>
      </c>
      <c r="K18" s="53">
        <f t="shared" si="5"/>
        <v>0</v>
      </c>
      <c r="L18" s="53">
        <v>1</v>
      </c>
      <c r="M18" s="58">
        <f t="shared" si="6"/>
        <v>0.2150376384490581</v>
      </c>
      <c r="N18" s="58">
        <f t="shared" si="7"/>
        <v>0.2150376384490581</v>
      </c>
      <c r="O18" s="59">
        <f t="shared" si="8"/>
        <v>10.191132532617388</v>
      </c>
    </row>
    <row r="19" spans="1:15" ht="13.5" thickBot="1" x14ac:dyDescent="0.25">
      <c r="A19" s="39"/>
      <c r="B19" s="40"/>
      <c r="C19" s="41"/>
      <c r="D19" s="40"/>
      <c r="E19" s="42"/>
      <c r="F19" s="40"/>
      <c r="G19" s="54"/>
      <c r="H19" s="54"/>
      <c r="I19" s="54"/>
      <c r="J19" s="54"/>
      <c r="K19" s="54"/>
      <c r="L19" s="54"/>
      <c r="M19" s="60"/>
      <c r="N19" s="60" t="s">
        <v>40</v>
      </c>
      <c r="O19" s="61">
        <f>O18</f>
        <v>10.191132532617388</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Calcs'!$A$37</f>
        <v>17</v>
      </c>
      <c r="E22" s="53">
        <f t="shared" ref="E22:E37" si="9">D22*1000000/(7.48*24*60*60)</f>
        <v>26.304713804713806</v>
      </c>
      <c r="F22" s="38">
        <f>'Headloss Calcs'!$H$18</f>
        <v>100</v>
      </c>
      <c r="G22" s="53">
        <f t="shared" ref="G22:G37" si="10">3.1416/4*(B22/12)^2</f>
        <v>7.0686</v>
      </c>
      <c r="H22" s="53">
        <f t="shared" ref="H22:H37" si="11">3.1416*(B22/12)</f>
        <v>9.4247999999999994</v>
      </c>
      <c r="I22" s="53">
        <f t="shared" ref="I22:I37" si="12">G22/H22</f>
        <v>0.75</v>
      </c>
      <c r="J22" s="53">
        <f t="shared" ref="J22:J37" si="13">E22/G22</f>
        <v>3.7213470566609805</v>
      </c>
      <c r="K22" s="53">
        <f t="shared" ref="K22:K37" si="14">(J22/(1.318*F22*I22^0.63))^1.85*A22</f>
        <v>0</v>
      </c>
      <c r="L22" s="53">
        <v>0.25</v>
      </c>
      <c r="M22" s="58">
        <f t="shared" ref="M22:M37" si="15">L22*(J22^2)/(2*32.2)</f>
        <v>5.3759409612264525E-2</v>
      </c>
      <c r="N22" s="58">
        <f t="shared" ref="N22:N37" si="16">K22+M22</f>
        <v>5.3759409612264525E-2</v>
      </c>
      <c r="O22" s="59">
        <f>N22</f>
        <v>5.3759409612264525E-2</v>
      </c>
    </row>
    <row r="23" spans="1:15" x14ac:dyDescent="0.2">
      <c r="A23" s="37"/>
      <c r="B23" s="55">
        <v>36</v>
      </c>
      <c r="C23" s="56" t="s">
        <v>47</v>
      </c>
      <c r="D23" s="57">
        <f>'Headloss Calcs'!$A$37</f>
        <v>17</v>
      </c>
      <c r="E23" s="53">
        <f t="shared" si="9"/>
        <v>26.304713804713806</v>
      </c>
      <c r="F23" s="38">
        <f>'Headloss Calcs'!$H$18</f>
        <v>100</v>
      </c>
      <c r="G23" s="53">
        <f t="shared" si="10"/>
        <v>7.0686</v>
      </c>
      <c r="H23" s="53">
        <f t="shared" si="11"/>
        <v>9.4247999999999994</v>
      </c>
      <c r="I23" s="53">
        <f t="shared" si="12"/>
        <v>0.75</v>
      </c>
      <c r="J23" s="53">
        <f t="shared" si="13"/>
        <v>3.7213470566609805</v>
      </c>
      <c r="K23" s="53">
        <f t="shared" si="14"/>
        <v>0</v>
      </c>
      <c r="L23" s="53">
        <v>0.25</v>
      </c>
      <c r="M23" s="58">
        <f t="shared" si="15"/>
        <v>5.3759409612264525E-2</v>
      </c>
      <c r="N23" s="58">
        <f t="shared" si="16"/>
        <v>5.3759409612264525E-2</v>
      </c>
      <c r="O23" s="59">
        <f t="shared" ref="O23:O37" si="17">N23+O22</f>
        <v>0.10751881922452905</v>
      </c>
    </row>
    <row r="24" spans="1:15" x14ac:dyDescent="0.2">
      <c r="A24" s="37">
        <v>1320</v>
      </c>
      <c r="B24" s="55">
        <v>36</v>
      </c>
      <c r="C24" s="56" t="s">
        <v>23</v>
      </c>
      <c r="D24" s="57">
        <f>'Headloss Calcs'!$A$37</f>
        <v>17</v>
      </c>
      <c r="E24" s="53">
        <f t="shared" si="9"/>
        <v>26.304713804713806</v>
      </c>
      <c r="F24" s="38">
        <f>'Headloss Calcs'!$H$18</f>
        <v>100</v>
      </c>
      <c r="G24" s="53">
        <f t="shared" si="10"/>
        <v>7.0686</v>
      </c>
      <c r="H24" s="53">
        <f t="shared" si="11"/>
        <v>9.4247999999999994</v>
      </c>
      <c r="I24" s="53">
        <f t="shared" si="12"/>
        <v>0.75</v>
      </c>
      <c r="J24" s="53">
        <f t="shared" si="13"/>
        <v>3.7213470566609805</v>
      </c>
      <c r="K24" s="53">
        <f t="shared" si="14"/>
        <v>2.5127069608559589</v>
      </c>
      <c r="L24" s="53"/>
      <c r="M24" s="58">
        <f t="shared" si="15"/>
        <v>0</v>
      </c>
      <c r="N24" s="58">
        <f t="shared" si="16"/>
        <v>2.5127069608559589</v>
      </c>
      <c r="O24" s="59">
        <f t="shared" si="17"/>
        <v>2.6202257800804878</v>
      </c>
    </row>
    <row r="25" spans="1:15" x14ac:dyDescent="0.2">
      <c r="A25" s="37"/>
      <c r="B25" s="55">
        <v>36</v>
      </c>
      <c r="C25" s="56" t="s">
        <v>45</v>
      </c>
      <c r="D25" s="57">
        <f>'Headloss Calcs'!$A$37</f>
        <v>17</v>
      </c>
      <c r="E25" s="53">
        <f t="shared" si="9"/>
        <v>26.304713804713806</v>
      </c>
      <c r="F25" s="38">
        <f>'Headloss Calcs'!$H$18</f>
        <v>100</v>
      </c>
      <c r="G25" s="53">
        <f t="shared" si="10"/>
        <v>7.0686</v>
      </c>
      <c r="H25" s="53">
        <f t="shared" si="11"/>
        <v>9.4247999999999994</v>
      </c>
      <c r="I25" s="53">
        <f t="shared" si="12"/>
        <v>0.75</v>
      </c>
      <c r="J25" s="53">
        <f t="shared" si="13"/>
        <v>3.7213470566609805</v>
      </c>
      <c r="K25" s="53">
        <f t="shared" si="14"/>
        <v>0</v>
      </c>
      <c r="L25" s="53">
        <v>0.2</v>
      </c>
      <c r="M25" s="58">
        <f t="shared" si="15"/>
        <v>4.3007527689811621E-2</v>
      </c>
      <c r="N25" s="58">
        <f t="shared" si="16"/>
        <v>4.3007527689811621E-2</v>
      </c>
      <c r="O25" s="59">
        <f t="shared" si="17"/>
        <v>2.6632333077702994</v>
      </c>
    </row>
    <row r="26" spans="1:15" x14ac:dyDescent="0.2">
      <c r="A26" s="37">
        <v>1320</v>
      </c>
      <c r="B26" s="55">
        <v>36</v>
      </c>
      <c r="C26" s="69" t="s">
        <v>23</v>
      </c>
      <c r="D26" s="57">
        <f>'Headloss Calcs'!$A$37</f>
        <v>17</v>
      </c>
      <c r="E26" s="53">
        <f t="shared" si="9"/>
        <v>26.304713804713806</v>
      </c>
      <c r="F26" s="38">
        <f>'Headloss Calcs'!$H$18</f>
        <v>100</v>
      </c>
      <c r="G26" s="53">
        <f t="shared" si="10"/>
        <v>7.0686</v>
      </c>
      <c r="H26" s="53">
        <f t="shared" si="11"/>
        <v>9.4247999999999994</v>
      </c>
      <c r="I26" s="53">
        <f t="shared" si="12"/>
        <v>0.75</v>
      </c>
      <c r="J26" s="53">
        <f t="shared" si="13"/>
        <v>3.7213470566609805</v>
      </c>
      <c r="K26" s="53">
        <f t="shared" si="14"/>
        <v>2.5127069608559589</v>
      </c>
      <c r="L26" s="53"/>
      <c r="M26" s="58">
        <f t="shared" si="15"/>
        <v>0</v>
      </c>
      <c r="N26" s="58">
        <f t="shared" si="16"/>
        <v>2.5127069608559589</v>
      </c>
      <c r="O26" s="59">
        <f t="shared" si="17"/>
        <v>5.1759402686262579</v>
      </c>
    </row>
    <row r="27" spans="1:15" x14ac:dyDescent="0.2">
      <c r="A27" s="37"/>
      <c r="B27" s="55">
        <v>36</v>
      </c>
      <c r="C27" s="56" t="s">
        <v>39</v>
      </c>
      <c r="D27" s="57">
        <f>'Headloss Calcs'!$A$37</f>
        <v>17</v>
      </c>
      <c r="E27" s="53">
        <f t="shared" si="9"/>
        <v>26.304713804713806</v>
      </c>
      <c r="F27" s="38">
        <f>'Headloss Calcs'!$H$18</f>
        <v>100</v>
      </c>
      <c r="G27" s="53">
        <f t="shared" si="10"/>
        <v>7.0686</v>
      </c>
      <c r="H27" s="53">
        <f t="shared" si="11"/>
        <v>9.4247999999999994</v>
      </c>
      <c r="I27" s="53">
        <f t="shared" si="12"/>
        <v>0.75</v>
      </c>
      <c r="J27" s="53">
        <f t="shared" si="13"/>
        <v>3.7213470566609805</v>
      </c>
      <c r="K27" s="53">
        <f t="shared" si="14"/>
        <v>0</v>
      </c>
      <c r="L27" s="53">
        <v>0.4</v>
      </c>
      <c r="M27" s="58">
        <f t="shared" si="15"/>
        <v>8.6015055379623243E-2</v>
      </c>
      <c r="N27" s="58">
        <f t="shared" si="16"/>
        <v>8.6015055379623243E-2</v>
      </c>
      <c r="O27" s="59">
        <f t="shared" si="17"/>
        <v>5.2619553240058812</v>
      </c>
    </row>
    <row r="28" spans="1:15" x14ac:dyDescent="0.2">
      <c r="A28" s="37">
        <v>1320</v>
      </c>
      <c r="B28" s="55">
        <v>36</v>
      </c>
      <c r="C28" s="56" t="s">
        <v>23</v>
      </c>
      <c r="D28" s="57">
        <f>'Headloss Calcs'!$A$37</f>
        <v>17</v>
      </c>
      <c r="E28" s="53">
        <f t="shared" si="9"/>
        <v>26.304713804713806</v>
      </c>
      <c r="F28" s="38">
        <f>'Headloss Calcs'!$H$18</f>
        <v>100</v>
      </c>
      <c r="G28" s="53">
        <f t="shared" si="10"/>
        <v>7.0686</v>
      </c>
      <c r="H28" s="53">
        <f t="shared" si="11"/>
        <v>9.4247999999999994</v>
      </c>
      <c r="I28" s="53">
        <f t="shared" si="12"/>
        <v>0.75</v>
      </c>
      <c r="J28" s="53">
        <f t="shared" si="13"/>
        <v>3.7213470566609805</v>
      </c>
      <c r="K28" s="53">
        <f t="shared" si="14"/>
        <v>2.5127069608559589</v>
      </c>
      <c r="L28" s="53"/>
      <c r="M28" s="58">
        <f t="shared" si="15"/>
        <v>0</v>
      </c>
      <c r="N28" s="58">
        <f t="shared" si="16"/>
        <v>2.5127069608559589</v>
      </c>
      <c r="O28" s="59">
        <f t="shared" si="17"/>
        <v>7.7746622848618401</v>
      </c>
    </row>
    <row r="29" spans="1:15" x14ac:dyDescent="0.2">
      <c r="A29" s="37"/>
      <c r="B29" s="55">
        <v>36</v>
      </c>
      <c r="C29" s="56" t="s">
        <v>39</v>
      </c>
      <c r="D29" s="57">
        <f>'Headloss Calcs'!$A$37</f>
        <v>17</v>
      </c>
      <c r="E29" s="53">
        <f t="shared" si="9"/>
        <v>26.304713804713806</v>
      </c>
      <c r="F29" s="38">
        <f>'Headloss Calcs'!$H$18</f>
        <v>100</v>
      </c>
      <c r="G29" s="53">
        <f t="shared" si="10"/>
        <v>7.0686</v>
      </c>
      <c r="H29" s="53">
        <f t="shared" si="11"/>
        <v>9.4247999999999994</v>
      </c>
      <c r="I29" s="53">
        <f t="shared" si="12"/>
        <v>0.75</v>
      </c>
      <c r="J29" s="53">
        <f t="shared" si="13"/>
        <v>3.7213470566609805</v>
      </c>
      <c r="K29" s="53">
        <f t="shared" si="14"/>
        <v>0</v>
      </c>
      <c r="L29" s="53">
        <v>0.4</v>
      </c>
      <c r="M29" s="58">
        <f t="shared" si="15"/>
        <v>8.6015055379623243E-2</v>
      </c>
      <c r="N29" s="58">
        <f t="shared" si="16"/>
        <v>8.6015055379623243E-2</v>
      </c>
      <c r="O29" s="59">
        <f t="shared" si="17"/>
        <v>7.8606773402414634</v>
      </c>
    </row>
    <row r="30" spans="1:15" x14ac:dyDescent="0.2">
      <c r="A30" s="37">
        <v>1320</v>
      </c>
      <c r="B30" s="55">
        <v>36</v>
      </c>
      <c r="C30" s="56" t="s">
        <v>23</v>
      </c>
      <c r="D30" s="57">
        <f>'Headloss Calcs'!$A$37</f>
        <v>17</v>
      </c>
      <c r="E30" s="53">
        <f t="shared" si="9"/>
        <v>26.304713804713806</v>
      </c>
      <c r="F30" s="38">
        <f>'Headloss Calcs'!$H$18</f>
        <v>100</v>
      </c>
      <c r="G30" s="53">
        <f t="shared" si="10"/>
        <v>7.0686</v>
      </c>
      <c r="H30" s="53">
        <f t="shared" si="11"/>
        <v>9.4247999999999994</v>
      </c>
      <c r="I30" s="53">
        <f t="shared" si="12"/>
        <v>0.75</v>
      </c>
      <c r="J30" s="53">
        <f t="shared" si="13"/>
        <v>3.7213470566609805</v>
      </c>
      <c r="K30" s="53">
        <f t="shared" si="14"/>
        <v>2.5127069608559589</v>
      </c>
      <c r="L30" s="53"/>
      <c r="M30" s="58">
        <f t="shared" si="15"/>
        <v>0</v>
      </c>
      <c r="N30" s="58">
        <f t="shared" si="16"/>
        <v>2.5127069608559589</v>
      </c>
      <c r="O30" s="59">
        <f t="shared" si="17"/>
        <v>10.373384301097422</v>
      </c>
    </row>
    <row r="31" spans="1:15" x14ac:dyDescent="0.2">
      <c r="A31" s="37"/>
      <c r="B31" s="55">
        <v>36</v>
      </c>
      <c r="C31" s="56" t="s">
        <v>48</v>
      </c>
      <c r="D31" s="57">
        <f>'Headloss Calcs'!$A$37</f>
        <v>17</v>
      </c>
      <c r="E31" s="53">
        <f t="shared" si="9"/>
        <v>26.304713804713806</v>
      </c>
      <c r="F31" s="38">
        <f>'Headloss Calcs'!$H$18</f>
        <v>100</v>
      </c>
      <c r="G31" s="53">
        <f t="shared" si="10"/>
        <v>7.0686</v>
      </c>
      <c r="H31" s="53">
        <f t="shared" si="11"/>
        <v>9.4247999999999994</v>
      </c>
      <c r="I31" s="53">
        <f t="shared" si="12"/>
        <v>0.75</v>
      </c>
      <c r="J31" s="53">
        <f t="shared" si="13"/>
        <v>3.7213470566609805</v>
      </c>
      <c r="K31" s="53">
        <f t="shared" si="14"/>
        <v>0</v>
      </c>
      <c r="L31" s="53">
        <v>0.4</v>
      </c>
      <c r="M31" s="58">
        <f t="shared" si="15"/>
        <v>8.6015055379623243E-2</v>
      </c>
      <c r="N31" s="58">
        <f t="shared" si="16"/>
        <v>8.6015055379623243E-2</v>
      </c>
      <c r="O31" s="59">
        <f t="shared" si="17"/>
        <v>10.459399356477045</v>
      </c>
    </row>
    <row r="32" spans="1:15" x14ac:dyDescent="0.2">
      <c r="A32" s="37">
        <v>1320</v>
      </c>
      <c r="B32" s="55">
        <v>36</v>
      </c>
      <c r="C32" s="56" t="s">
        <v>23</v>
      </c>
      <c r="D32" s="57">
        <f>'Headloss Calcs'!$A$37</f>
        <v>17</v>
      </c>
      <c r="E32" s="53">
        <f t="shared" si="9"/>
        <v>26.304713804713806</v>
      </c>
      <c r="F32" s="38">
        <f>'Headloss Calcs'!$H$18</f>
        <v>100</v>
      </c>
      <c r="G32" s="53">
        <f t="shared" si="10"/>
        <v>7.0686</v>
      </c>
      <c r="H32" s="53">
        <f t="shared" si="11"/>
        <v>9.4247999999999994</v>
      </c>
      <c r="I32" s="53">
        <f t="shared" si="12"/>
        <v>0.75</v>
      </c>
      <c r="J32" s="53">
        <f t="shared" si="13"/>
        <v>3.7213470566609805</v>
      </c>
      <c r="K32" s="53">
        <f t="shared" si="14"/>
        <v>2.5127069608559589</v>
      </c>
      <c r="L32" s="53"/>
      <c r="M32" s="58">
        <f t="shared" si="15"/>
        <v>0</v>
      </c>
      <c r="N32" s="58">
        <f t="shared" si="16"/>
        <v>2.5127069608559589</v>
      </c>
      <c r="O32" s="59">
        <f t="shared" si="17"/>
        <v>12.972106317333004</v>
      </c>
    </row>
    <row r="33" spans="1:15" x14ac:dyDescent="0.2">
      <c r="A33" s="37"/>
      <c r="B33" s="55">
        <v>36</v>
      </c>
      <c r="C33" s="56" t="s">
        <v>39</v>
      </c>
      <c r="D33" s="57">
        <f>'Headloss Calcs'!$A$37</f>
        <v>17</v>
      </c>
      <c r="E33" s="53">
        <f t="shared" si="9"/>
        <v>26.304713804713806</v>
      </c>
      <c r="F33" s="38">
        <f>'Headloss Calcs'!$H$18</f>
        <v>100</v>
      </c>
      <c r="G33" s="53">
        <f t="shared" si="10"/>
        <v>7.0686</v>
      </c>
      <c r="H33" s="53">
        <f t="shared" si="11"/>
        <v>9.4247999999999994</v>
      </c>
      <c r="I33" s="53">
        <f t="shared" si="12"/>
        <v>0.75</v>
      </c>
      <c r="J33" s="53">
        <f t="shared" si="13"/>
        <v>3.7213470566609805</v>
      </c>
      <c r="K33" s="53">
        <f t="shared" si="14"/>
        <v>0</v>
      </c>
      <c r="L33" s="53">
        <v>0.4</v>
      </c>
      <c r="M33" s="58">
        <f t="shared" si="15"/>
        <v>8.6015055379623243E-2</v>
      </c>
      <c r="N33" s="58">
        <f t="shared" si="16"/>
        <v>8.6015055379623243E-2</v>
      </c>
      <c r="O33" s="59">
        <f t="shared" si="17"/>
        <v>13.058121372712627</v>
      </c>
    </row>
    <row r="34" spans="1:15" x14ac:dyDescent="0.2">
      <c r="A34" s="37">
        <v>1320</v>
      </c>
      <c r="B34" s="55">
        <v>36</v>
      </c>
      <c r="C34" s="56" t="s">
        <v>23</v>
      </c>
      <c r="D34" s="57">
        <f>'Headloss Calcs'!$A$37</f>
        <v>17</v>
      </c>
      <c r="E34" s="53">
        <f t="shared" si="9"/>
        <v>26.304713804713806</v>
      </c>
      <c r="F34" s="38">
        <f>'Headloss Calcs'!$H$18</f>
        <v>100</v>
      </c>
      <c r="G34" s="53">
        <f t="shared" si="10"/>
        <v>7.0686</v>
      </c>
      <c r="H34" s="53">
        <f t="shared" si="11"/>
        <v>9.4247999999999994</v>
      </c>
      <c r="I34" s="53">
        <f t="shared" si="12"/>
        <v>0.75</v>
      </c>
      <c r="J34" s="53">
        <f t="shared" si="13"/>
        <v>3.7213470566609805</v>
      </c>
      <c r="K34" s="53">
        <f t="shared" si="14"/>
        <v>2.5127069608559589</v>
      </c>
      <c r="L34" s="53"/>
      <c r="M34" s="58">
        <f t="shared" si="15"/>
        <v>0</v>
      </c>
      <c r="N34" s="58">
        <f t="shared" si="16"/>
        <v>2.5127069608559589</v>
      </c>
      <c r="O34" s="59">
        <f t="shared" si="17"/>
        <v>15.570828333568585</v>
      </c>
    </row>
    <row r="35" spans="1:15" x14ac:dyDescent="0.2">
      <c r="A35" s="37"/>
      <c r="B35" s="55">
        <v>36</v>
      </c>
      <c r="C35" s="56" t="s">
        <v>45</v>
      </c>
      <c r="D35" s="57">
        <f>'Headloss Calcs'!$A$37</f>
        <v>17</v>
      </c>
      <c r="E35" s="53">
        <f t="shared" si="9"/>
        <v>26.304713804713806</v>
      </c>
      <c r="F35" s="38">
        <f>'Headloss Calcs'!$H$18</f>
        <v>100</v>
      </c>
      <c r="G35" s="53">
        <f t="shared" si="10"/>
        <v>7.0686</v>
      </c>
      <c r="H35" s="53">
        <f t="shared" si="11"/>
        <v>9.4247999999999994</v>
      </c>
      <c r="I35" s="53">
        <f t="shared" si="12"/>
        <v>0.75</v>
      </c>
      <c r="J35" s="53">
        <f t="shared" si="13"/>
        <v>3.7213470566609805</v>
      </c>
      <c r="K35" s="53">
        <f t="shared" si="14"/>
        <v>0</v>
      </c>
      <c r="L35" s="53">
        <v>0.2</v>
      </c>
      <c r="M35" s="58">
        <f t="shared" si="15"/>
        <v>4.3007527689811621E-2</v>
      </c>
      <c r="N35" s="58">
        <f t="shared" si="16"/>
        <v>4.3007527689811621E-2</v>
      </c>
      <c r="O35" s="59">
        <f t="shared" si="17"/>
        <v>15.613835861258396</v>
      </c>
    </row>
    <row r="36" spans="1:15" x14ac:dyDescent="0.2">
      <c r="A36" s="37">
        <v>1320</v>
      </c>
      <c r="B36" s="55">
        <v>36</v>
      </c>
      <c r="C36" s="56" t="s">
        <v>23</v>
      </c>
      <c r="D36" s="57">
        <f>'Headloss Calcs'!$A$37</f>
        <v>17</v>
      </c>
      <c r="E36" s="53">
        <f t="shared" si="9"/>
        <v>26.304713804713806</v>
      </c>
      <c r="F36" s="38">
        <f>'Headloss Calcs'!$H$18</f>
        <v>100</v>
      </c>
      <c r="G36" s="53">
        <f t="shared" si="10"/>
        <v>7.0686</v>
      </c>
      <c r="H36" s="53">
        <f t="shared" si="11"/>
        <v>9.4247999999999994</v>
      </c>
      <c r="I36" s="53">
        <f t="shared" si="12"/>
        <v>0.75</v>
      </c>
      <c r="J36" s="53">
        <f t="shared" si="13"/>
        <v>3.7213470566609805</v>
      </c>
      <c r="K36" s="53">
        <f t="shared" si="14"/>
        <v>2.5127069608559589</v>
      </c>
      <c r="L36" s="53"/>
      <c r="M36" s="58">
        <f t="shared" si="15"/>
        <v>0</v>
      </c>
      <c r="N36" s="58">
        <f t="shared" si="16"/>
        <v>2.5127069608559589</v>
      </c>
      <c r="O36" s="59">
        <f t="shared" si="17"/>
        <v>18.126542822114356</v>
      </c>
    </row>
    <row r="37" spans="1:15" ht="12" customHeight="1" x14ac:dyDescent="0.2">
      <c r="A37" s="37"/>
      <c r="B37" s="55">
        <v>36</v>
      </c>
      <c r="C37" s="56" t="s">
        <v>44</v>
      </c>
      <c r="D37" s="57">
        <f>'Headloss Calcs'!$A$37</f>
        <v>17</v>
      </c>
      <c r="E37" s="53">
        <f t="shared" si="9"/>
        <v>26.304713804713806</v>
      </c>
      <c r="F37" s="38">
        <f>'Headloss Calcs'!$H$18</f>
        <v>100</v>
      </c>
      <c r="G37" s="53">
        <f t="shared" si="10"/>
        <v>7.0686</v>
      </c>
      <c r="H37" s="53">
        <f t="shared" si="11"/>
        <v>9.4247999999999994</v>
      </c>
      <c r="I37" s="53">
        <f t="shared" si="12"/>
        <v>0.75</v>
      </c>
      <c r="J37" s="53">
        <f t="shared" si="13"/>
        <v>3.7213470566609805</v>
      </c>
      <c r="K37" s="53">
        <f t="shared" si="14"/>
        <v>0</v>
      </c>
      <c r="L37" s="53">
        <v>1</v>
      </c>
      <c r="M37" s="58">
        <f t="shared" si="15"/>
        <v>0.2150376384490581</v>
      </c>
      <c r="N37" s="58">
        <f t="shared" si="16"/>
        <v>0.2150376384490581</v>
      </c>
      <c r="O37" s="59">
        <f t="shared" si="17"/>
        <v>18.341580460563414</v>
      </c>
    </row>
    <row r="38" spans="1:15" ht="13.5" thickBot="1" x14ac:dyDescent="0.25">
      <c r="A38" s="39"/>
      <c r="B38" s="40"/>
      <c r="C38" s="41"/>
      <c r="D38" s="40"/>
      <c r="E38" s="42"/>
      <c r="F38" s="40"/>
      <c r="G38" s="54"/>
      <c r="H38" s="54"/>
      <c r="I38" s="54"/>
      <c r="J38" s="54"/>
      <c r="K38" s="54"/>
      <c r="L38" s="54"/>
      <c r="M38" s="60"/>
      <c r="N38" s="60" t="s">
        <v>40</v>
      </c>
      <c r="O38" s="61">
        <f>O37</f>
        <v>18.341580460563414</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50"/>
  <sheetViews>
    <sheetView topLeftCell="C17"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Calcs'!$A$38</f>
        <v>18</v>
      </c>
      <c r="E3" s="53">
        <f t="shared" ref="E3:E18" si="0">D3*1000000/(7.48*24*60*60)</f>
        <v>27.85204991087344</v>
      </c>
      <c r="F3" s="38">
        <f>'Headloss Calcs'!$E$18</f>
        <v>140</v>
      </c>
      <c r="G3" s="53">
        <f t="shared" ref="G3:G18" si="1">3.1416/4*(B3/12)^2</f>
        <v>7.0686</v>
      </c>
      <c r="H3" s="53">
        <f t="shared" ref="H3:H18" si="2">3.1416*(B3/12)</f>
        <v>9.4247999999999994</v>
      </c>
      <c r="I3" s="53">
        <f t="shared" ref="I3:I18" si="3">G3/H3</f>
        <v>0.75</v>
      </c>
      <c r="J3" s="53">
        <f t="shared" ref="J3:J18" si="4">E3/G3</f>
        <v>3.9402498246998614</v>
      </c>
      <c r="K3" s="53">
        <f t="shared" ref="K3:K18" si="5">(J3/(1.318*F3*I3^0.63))^1.85*A3</f>
        <v>0</v>
      </c>
      <c r="L3" s="53">
        <v>0.25</v>
      </c>
      <c r="M3" s="58">
        <f t="shared" ref="M3:M18" si="6">L3*(J3^2)/(2*32.2)</f>
        <v>6.0270064755618351E-2</v>
      </c>
      <c r="N3" s="58">
        <f t="shared" ref="N3:N18" si="7">K3+M3</f>
        <v>6.0270064755618351E-2</v>
      </c>
      <c r="O3" s="59">
        <f>N3</f>
        <v>6.0270064755618351E-2</v>
      </c>
    </row>
    <row r="4" spans="1:15" x14ac:dyDescent="0.2">
      <c r="A4" s="37"/>
      <c r="B4" s="55">
        <v>36</v>
      </c>
      <c r="C4" s="56" t="s">
        <v>47</v>
      </c>
      <c r="D4" s="57">
        <f>'Headloss Calcs'!$A$38</f>
        <v>18</v>
      </c>
      <c r="E4" s="53">
        <f t="shared" si="0"/>
        <v>27.85204991087344</v>
      </c>
      <c r="F4" s="38">
        <f>'Headloss Calcs'!$E$18</f>
        <v>140</v>
      </c>
      <c r="G4" s="53">
        <f t="shared" si="1"/>
        <v>7.0686</v>
      </c>
      <c r="H4" s="53">
        <f t="shared" si="2"/>
        <v>9.4247999999999994</v>
      </c>
      <c r="I4" s="53">
        <f t="shared" si="3"/>
        <v>0.75</v>
      </c>
      <c r="J4" s="53">
        <f t="shared" si="4"/>
        <v>3.9402498246998614</v>
      </c>
      <c r="K4" s="53">
        <f t="shared" si="5"/>
        <v>0</v>
      </c>
      <c r="L4" s="53">
        <v>0.25</v>
      </c>
      <c r="M4" s="58">
        <f t="shared" si="6"/>
        <v>6.0270064755618351E-2</v>
      </c>
      <c r="N4" s="58">
        <f t="shared" si="7"/>
        <v>6.0270064755618351E-2</v>
      </c>
      <c r="O4" s="59">
        <f t="shared" ref="O4:O18" si="8">N4+O3</f>
        <v>0.1205401295112367</v>
      </c>
    </row>
    <row r="5" spans="1:15" x14ac:dyDescent="0.2">
      <c r="A5" s="37">
        <v>1320</v>
      </c>
      <c r="B5" s="55">
        <v>36</v>
      </c>
      <c r="C5" s="56" t="s">
        <v>23</v>
      </c>
      <c r="D5" s="57">
        <f>'Headloss Calcs'!$A$38</f>
        <v>18</v>
      </c>
      <c r="E5" s="53">
        <f t="shared" si="0"/>
        <v>27.85204991087344</v>
      </c>
      <c r="F5" s="38">
        <f>'Headloss Calcs'!$E$18</f>
        <v>140</v>
      </c>
      <c r="G5" s="53">
        <f t="shared" si="1"/>
        <v>7.0686</v>
      </c>
      <c r="H5" s="53">
        <f t="shared" si="2"/>
        <v>9.4247999999999994</v>
      </c>
      <c r="I5" s="53">
        <f t="shared" si="3"/>
        <v>0.75</v>
      </c>
      <c r="J5" s="53">
        <f t="shared" si="4"/>
        <v>3.9402498246998614</v>
      </c>
      <c r="K5" s="53">
        <f t="shared" si="5"/>
        <v>1.498747966149407</v>
      </c>
      <c r="L5" s="53"/>
      <c r="M5" s="58">
        <f t="shared" si="6"/>
        <v>0</v>
      </c>
      <c r="N5" s="58">
        <f t="shared" si="7"/>
        <v>1.498747966149407</v>
      </c>
      <c r="O5" s="59">
        <f t="shared" si="8"/>
        <v>1.6192880956606437</v>
      </c>
    </row>
    <row r="6" spans="1:15" x14ac:dyDescent="0.2">
      <c r="A6" s="37"/>
      <c r="B6" s="55">
        <v>36</v>
      </c>
      <c r="C6" s="56" t="s">
        <v>45</v>
      </c>
      <c r="D6" s="57">
        <f>'Headloss Calcs'!$A$38</f>
        <v>18</v>
      </c>
      <c r="E6" s="53">
        <f t="shared" si="0"/>
        <v>27.85204991087344</v>
      </c>
      <c r="F6" s="38">
        <f>'Headloss Calcs'!$E$18</f>
        <v>140</v>
      </c>
      <c r="G6" s="53">
        <f t="shared" si="1"/>
        <v>7.0686</v>
      </c>
      <c r="H6" s="53">
        <f t="shared" si="2"/>
        <v>9.4247999999999994</v>
      </c>
      <c r="I6" s="53">
        <f t="shared" si="3"/>
        <v>0.75</v>
      </c>
      <c r="J6" s="53">
        <f t="shared" si="4"/>
        <v>3.9402498246998614</v>
      </c>
      <c r="K6" s="53">
        <f t="shared" si="5"/>
        <v>0</v>
      </c>
      <c r="L6" s="53">
        <v>0.2</v>
      </c>
      <c r="M6" s="58">
        <f t="shared" si="6"/>
        <v>4.8216051804494682E-2</v>
      </c>
      <c r="N6" s="58">
        <f t="shared" si="7"/>
        <v>4.8216051804494682E-2</v>
      </c>
      <c r="O6" s="59">
        <f t="shared" si="8"/>
        <v>1.6675041474651384</v>
      </c>
    </row>
    <row r="7" spans="1:15" x14ac:dyDescent="0.2">
      <c r="A7" s="37">
        <v>1320</v>
      </c>
      <c r="B7" s="55">
        <v>36</v>
      </c>
      <c r="C7" s="69" t="s">
        <v>23</v>
      </c>
      <c r="D7" s="57">
        <f>'Headloss Calcs'!$A$38</f>
        <v>18</v>
      </c>
      <c r="E7" s="53">
        <f t="shared" si="0"/>
        <v>27.85204991087344</v>
      </c>
      <c r="F7" s="38">
        <f>'Headloss Calcs'!$E$18</f>
        <v>140</v>
      </c>
      <c r="G7" s="53">
        <f t="shared" si="1"/>
        <v>7.0686</v>
      </c>
      <c r="H7" s="53">
        <f t="shared" si="2"/>
        <v>9.4247999999999994</v>
      </c>
      <c r="I7" s="53">
        <f t="shared" si="3"/>
        <v>0.75</v>
      </c>
      <c r="J7" s="53">
        <f t="shared" si="4"/>
        <v>3.9402498246998614</v>
      </c>
      <c r="K7" s="53">
        <f t="shared" si="5"/>
        <v>1.498747966149407</v>
      </c>
      <c r="L7" s="53"/>
      <c r="M7" s="58">
        <f t="shared" si="6"/>
        <v>0</v>
      </c>
      <c r="N7" s="58">
        <f t="shared" si="7"/>
        <v>1.498747966149407</v>
      </c>
      <c r="O7" s="59">
        <f t="shared" si="8"/>
        <v>3.1662521136145454</v>
      </c>
    </row>
    <row r="8" spans="1:15" x14ac:dyDescent="0.2">
      <c r="A8" s="37"/>
      <c r="B8" s="55">
        <v>36</v>
      </c>
      <c r="C8" s="56" t="s">
        <v>39</v>
      </c>
      <c r="D8" s="57">
        <f>'Headloss Calcs'!$A$38</f>
        <v>18</v>
      </c>
      <c r="E8" s="53">
        <f t="shared" si="0"/>
        <v>27.85204991087344</v>
      </c>
      <c r="F8" s="38">
        <f>'Headloss Calcs'!$E$18</f>
        <v>140</v>
      </c>
      <c r="G8" s="53">
        <f t="shared" si="1"/>
        <v>7.0686</v>
      </c>
      <c r="H8" s="53">
        <f t="shared" si="2"/>
        <v>9.4247999999999994</v>
      </c>
      <c r="I8" s="53">
        <f t="shared" si="3"/>
        <v>0.75</v>
      </c>
      <c r="J8" s="53">
        <f t="shared" si="4"/>
        <v>3.9402498246998614</v>
      </c>
      <c r="K8" s="53">
        <f t="shared" si="5"/>
        <v>0</v>
      </c>
      <c r="L8" s="53">
        <v>0.4</v>
      </c>
      <c r="M8" s="58">
        <f t="shared" si="6"/>
        <v>9.6432103608989364E-2</v>
      </c>
      <c r="N8" s="58">
        <f t="shared" si="7"/>
        <v>9.6432103608989364E-2</v>
      </c>
      <c r="O8" s="59">
        <f t="shared" si="8"/>
        <v>3.2626842172235349</v>
      </c>
    </row>
    <row r="9" spans="1:15" x14ac:dyDescent="0.2">
      <c r="A9" s="37">
        <v>1320</v>
      </c>
      <c r="B9" s="55">
        <v>36</v>
      </c>
      <c r="C9" s="56" t="s">
        <v>23</v>
      </c>
      <c r="D9" s="57">
        <f>'Headloss Calcs'!$A$38</f>
        <v>18</v>
      </c>
      <c r="E9" s="53">
        <f t="shared" si="0"/>
        <v>27.85204991087344</v>
      </c>
      <c r="F9" s="38">
        <f>'Headloss Calcs'!$E$18</f>
        <v>140</v>
      </c>
      <c r="G9" s="53">
        <f t="shared" si="1"/>
        <v>7.0686</v>
      </c>
      <c r="H9" s="53">
        <f t="shared" si="2"/>
        <v>9.4247999999999994</v>
      </c>
      <c r="I9" s="53">
        <f t="shared" si="3"/>
        <v>0.75</v>
      </c>
      <c r="J9" s="53">
        <f t="shared" si="4"/>
        <v>3.9402498246998614</v>
      </c>
      <c r="K9" s="53">
        <f t="shared" si="5"/>
        <v>1.498747966149407</v>
      </c>
      <c r="L9" s="53"/>
      <c r="M9" s="58">
        <f t="shared" si="6"/>
        <v>0</v>
      </c>
      <c r="N9" s="58">
        <f t="shared" si="7"/>
        <v>1.498747966149407</v>
      </c>
      <c r="O9" s="59">
        <f t="shared" si="8"/>
        <v>4.7614321833729418</v>
      </c>
    </row>
    <row r="10" spans="1:15" x14ac:dyDescent="0.2">
      <c r="A10" s="37"/>
      <c r="B10" s="55">
        <v>36</v>
      </c>
      <c r="C10" s="56" t="s">
        <v>39</v>
      </c>
      <c r="D10" s="57">
        <f>'Headloss Calcs'!$A$38</f>
        <v>18</v>
      </c>
      <c r="E10" s="53">
        <f t="shared" si="0"/>
        <v>27.85204991087344</v>
      </c>
      <c r="F10" s="38">
        <f>'Headloss Calcs'!$E$18</f>
        <v>140</v>
      </c>
      <c r="G10" s="53">
        <f t="shared" si="1"/>
        <v>7.0686</v>
      </c>
      <c r="H10" s="53">
        <f t="shared" si="2"/>
        <v>9.4247999999999994</v>
      </c>
      <c r="I10" s="53">
        <f t="shared" si="3"/>
        <v>0.75</v>
      </c>
      <c r="J10" s="53">
        <f t="shared" si="4"/>
        <v>3.9402498246998614</v>
      </c>
      <c r="K10" s="53">
        <f t="shared" si="5"/>
        <v>0</v>
      </c>
      <c r="L10" s="53">
        <v>0.4</v>
      </c>
      <c r="M10" s="58">
        <f t="shared" si="6"/>
        <v>9.6432103608989364E-2</v>
      </c>
      <c r="N10" s="58">
        <f t="shared" si="7"/>
        <v>9.6432103608989364E-2</v>
      </c>
      <c r="O10" s="59">
        <f t="shared" si="8"/>
        <v>4.8578642869819308</v>
      </c>
    </row>
    <row r="11" spans="1:15" x14ac:dyDescent="0.2">
      <c r="A11" s="37">
        <v>1320</v>
      </c>
      <c r="B11" s="55">
        <v>36</v>
      </c>
      <c r="C11" s="56" t="s">
        <v>23</v>
      </c>
      <c r="D11" s="57">
        <f>'Headloss Calcs'!$A$38</f>
        <v>18</v>
      </c>
      <c r="E11" s="53">
        <f t="shared" si="0"/>
        <v>27.85204991087344</v>
      </c>
      <c r="F11" s="38">
        <f>'Headloss Calcs'!$E$18</f>
        <v>140</v>
      </c>
      <c r="G11" s="53">
        <f t="shared" si="1"/>
        <v>7.0686</v>
      </c>
      <c r="H11" s="53">
        <f t="shared" si="2"/>
        <v>9.4247999999999994</v>
      </c>
      <c r="I11" s="53">
        <f t="shared" si="3"/>
        <v>0.75</v>
      </c>
      <c r="J11" s="53">
        <f t="shared" si="4"/>
        <v>3.9402498246998614</v>
      </c>
      <c r="K11" s="53">
        <f t="shared" si="5"/>
        <v>1.498747966149407</v>
      </c>
      <c r="L11" s="53"/>
      <c r="M11" s="58">
        <f t="shared" si="6"/>
        <v>0</v>
      </c>
      <c r="N11" s="58">
        <f t="shared" si="7"/>
        <v>1.498747966149407</v>
      </c>
      <c r="O11" s="59">
        <f t="shared" si="8"/>
        <v>6.3566122531313383</v>
      </c>
    </row>
    <row r="12" spans="1:15" x14ac:dyDescent="0.2">
      <c r="A12" s="37"/>
      <c r="B12" s="55">
        <v>36</v>
      </c>
      <c r="C12" s="56" t="s">
        <v>48</v>
      </c>
      <c r="D12" s="57">
        <f>'Headloss Calcs'!$A$38</f>
        <v>18</v>
      </c>
      <c r="E12" s="53">
        <f t="shared" si="0"/>
        <v>27.85204991087344</v>
      </c>
      <c r="F12" s="38">
        <f>'Headloss Calcs'!$E$18</f>
        <v>140</v>
      </c>
      <c r="G12" s="53">
        <f t="shared" si="1"/>
        <v>7.0686</v>
      </c>
      <c r="H12" s="53">
        <f t="shared" si="2"/>
        <v>9.4247999999999994</v>
      </c>
      <c r="I12" s="53">
        <f t="shared" si="3"/>
        <v>0.75</v>
      </c>
      <c r="J12" s="53">
        <f t="shared" si="4"/>
        <v>3.9402498246998614</v>
      </c>
      <c r="K12" s="53">
        <f t="shared" si="5"/>
        <v>0</v>
      </c>
      <c r="L12" s="53">
        <v>0.4</v>
      </c>
      <c r="M12" s="58">
        <f t="shared" si="6"/>
        <v>9.6432103608989364E-2</v>
      </c>
      <c r="N12" s="58">
        <f t="shared" si="7"/>
        <v>9.6432103608989364E-2</v>
      </c>
      <c r="O12" s="59">
        <f t="shared" si="8"/>
        <v>6.4530443567403273</v>
      </c>
    </row>
    <row r="13" spans="1:15" x14ac:dyDescent="0.2">
      <c r="A13" s="37">
        <v>1320</v>
      </c>
      <c r="B13" s="55">
        <v>36</v>
      </c>
      <c r="C13" s="56" t="s">
        <v>23</v>
      </c>
      <c r="D13" s="57">
        <f>'Headloss Calcs'!$A$38</f>
        <v>18</v>
      </c>
      <c r="E13" s="53">
        <f t="shared" si="0"/>
        <v>27.85204991087344</v>
      </c>
      <c r="F13" s="38">
        <f>'Headloss Calcs'!$E$18</f>
        <v>140</v>
      </c>
      <c r="G13" s="53">
        <f t="shared" si="1"/>
        <v>7.0686</v>
      </c>
      <c r="H13" s="53">
        <f t="shared" si="2"/>
        <v>9.4247999999999994</v>
      </c>
      <c r="I13" s="53">
        <f t="shared" si="3"/>
        <v>0.75</v>
      </c>
      <c r="J13" s="53">
        <f t="shared" si="4"/>
        <v>3.9402498246998614</v>
      </c>
      <c r="K13" s="53">
        <f t="shared" si="5"/>
        <v>1.498747966149407</v>
      </c>
      <c r="L13" s="53"/>
      <c r="M13" s="58">
        <f t="shared" si="6"/>
        <v>0</v>
      </c>
      <c r="N13" s="58">
        <f t="shared" si="7"/>
        <v>1.498747966149407</v>
      </c>
      <c r="O13" s="59">
        <f t="shared" si="8"/>
        <v>7.9517923228897338</v>
      </c>
    </row>
    <row r="14" spans="1:15" x14ac:dyDescent="0.2">
      <c r="A14" s="37"/>
      <c r="B14" s="55">
        <v>36</v>
      </c>
      <c r="C14" s="56" t="s">
        <v>39</v>
      </c>
      <c r="D14" s="57">
        <f>'Headloss Calcs'!$A$38</f>
        <v>18</v>
      </c>
      <c r="E14" s="53">
        <f t="shared" si="0"/>
        <v>27.85204991087344</v>
      </c>
      <c r="F14" s="38">
        <f>'Headloss Calcs'!$E$18</f>
        <v>140</v>
      </c>
      <c r="G14" s="53">
        <f t="shared" si="1"/>
        <v>7.0686</v>
      </c>
      <c r="H14" s="53">
        <f t="shared" si="2"/>
        <v>9.4247999999999994</v>
      </c>
      <c r="I14" s="53">
        <f t="shared" si="3"/>
        <v>0.75</v>
      </c>
      <c r="J14" s="53">
        <f t="shared" si="4"/>
        <v>3.9402498246998614</v>
      </c>
      <c r="K14" s="53">
        <f t="shared" si="5"/>
        <v>0</v>
      </c>
      <c r="L14" s="53">
        <v>0.4</v>
      </c>
      <c r="M14" s="58">
        <f t="shared" si="6"/>
        <v>9.6432103608989364E-2</v>
      </c>
      <c r="N14" s="58">
        <f t="shared" si="7"/>
        <v>9.6432103608989364E-2</v>
      </c>
      <c r="O14" s="59">
        <f t="shared" si="8"/>
        <v>8.0482244264987237</v>
      </c>
    </row>
    <row r="15" spans="1:15" x14ac:dyDescent="0.2">
      <c r="A15" s="37">
        <v>1320</v>
      </c>
      <c r="B15" s="55">
        <v>36</v>
      </c>
      <c r="C15" s="56" t="s">
        <v>23</v>
      </c>
      <c r="D15" s="57">
        <f>'Headloss Calcs'!$A$38</f>
        <v>18</v>
      </c>
      <c r="E15" s="53">
        <f t="shared" si="0"/>
        <v>27.85204991087344</v>
      </c>
      <c r="F15" s="38">
        <f>'Headloss Calcs'!$E$18</f>
        <v>140</v>
      </c>
      <c r="G15" s="53">
        <f t="shared" si="1"/>
        <v>7.0686</v>
      </c>
      <c r="H15" s="53">
        <f t="shared" si="2"/>
        <v>9.4247999999999994</v>
      </c>
      <c r="I15" s="53">
        <f t="shared" si="3"/>
        <v>0.75</v>
      </c>
      <c r="J15" s="53">
        <f t="shared" si="4"/>
        <v>3.9402498246998614</v>
      </c>
      <c r="K15" s="53">
        <f t="shared" si="5"/>
        <v>1.498747966149407</v>
      </c>
      <c r="L15" s="53"/>
      <c r="M15" s="58">
        <f t="shared" si="6"/>
        <v>0</v>
      </c>
      <c r="N15" s="58">
        <f t="shared" si="7"/>
        <v>1.498747966149407</v>
      </c>
      <c r="O15" s="59">
        <f t="shared" si="8"/>
        <v>9.5469723926481311</v>
      </c>
    </row>
    <row r="16" spans="1:15" x14ac:dyDescent="0.2">
      <c r="A16" s="37"/>
      <c r="B16" s="55">
        <v>36</v>
      </c>
      <c r="C16" s="56" t="s">
        <v>45</v>
      </c>
      <c r="D16" s="57">
        <f>'Headloss Calcs'!$A$38</f>
        <v>18</v>
      </c>
      <c r="E16" s="53">
        <f t="shared" si="0"/>
        <v>27.85204991087344</v>
      </c>
      <c r="F16" s="38">
        <f>'Headloss Calcs'!$E$18</f>
        <v>140</v>
      </c>
      <c r="G16" s="53">
        <f t="shared" si="1"/>
        <v>7.0686</v>
      </c>
      <c r="H16" s="53">
        <f t="shared" si="2"/>
        <v>9.4247999999999994</v>
      </c>
      <c r="I16" s="53">
        <f t="shared" si="3"/>
        <v>0.75</v>
      </c>
      <c r="J16" s="53">
        <f t="shared" si="4"/>
        <v>3.9402498246998614</v>
      </c>
      <c r="K16" s="53">
        <f t="shared" si="5"/>
        <v>0</v>
      </c>
      <c r="L16" s="53">
        <v>0.2</v>
      </c>
      <c r="M16" s="58">
        <f t="shared" si="6"/>
        <v>4.8216051804494682E-2</v>
      </c>
      <c r="N16" s="58">
        <f t="shared" si="7"/>
        <v>4.8216051804494682E-2</v>
      </c>
      <c r="O16" s="59">
        <f t="shared" si="8"/>
        <v>9.5951884444526261</v>
      </c>
    </row>
    <row r="17" spans="1:15" x14ac:dyDescent="0.2">
      <c r="A17" s="37">
        <v>1320</v>
      </c>
      <c r="B17" s="55">
        <v>36</v>
      </c>
      <c r="C17" s="56" t="s">
        <v>23</v>
      </c>
      <c r="D17" s="57">
        <f>'Headloss Calcs'!$A$38</f>
        <v>18</v>
      </c>
      <c r="E17" s="53">
        <f t="shared" si="0"/>
        <v>27.85204991087344</v>
      </c>
      <c r="F17" s="38">
        <f>'Headloss Calcs'!$E$18</f>
        <v>140</v>
      </c>
      <c r="G17" s="53">
        <f t="shared" si="1"/>
        <v>7.0686</v>
      </c>
      <c r="H17" s="53">
        <f t="shared" si="2"/>
        <v>9.4247999999999994</v>
      </c>
      <c r="I17" s="53">
        <f t="shared" si="3"/>
        <v>0.75</v>
      </c>
      <c r="J17" s="53">
        <f t="shared" si="4"/>
        <v>3.9402498246998614</v>
      </c>
      <c r="K17" s="53">
        <f t="shared" si="5"/>
        <v>1.498747966149407</v>
      </c>
      <c r="L17" s="53"/>
      <c r="M17" s="58">
        <f t="shared" si="6"/>
        <v>0</v>
      </c>
      <c r="N17" s="58">
        <f t="shared" si="7"/>
        <v>1.498747966149407</v>
      </c>
      <c r="O17" s="59">
        <f t="shared" si="8"/>
        <v>11.093936410602034</v>
      </c>
    </row>
    <row r="18" spans="1:15" ht="12" customHeight="1" x14ac:dyDescent="0.2">
      <c r="A18" s="37"/>
      <c r="B18" s="55">
        <v>36</v>
      </c>
      <c r="C18" s="56" t="s">
        <v>44</v>
      </c>
      <c r="D18" s="57">
        <f>'Headloss Calcs'!$A$38</f>
        <v>18</v>
      </c>
      <c r="E18" s="53">
        <f t="shared" si="0"/>
        <v>27.85204991087344</v>
      </c>
      <c r="F18" s="38">
        <f>'Headloss Calcs'!$E$18</f>
        <v>140</v>
      </c>
      <c r="G18" s="53">
        <f t="shared" si="1"/>
        <v>7.0686</v>
      </c>
      <c r="H18" s="53">
        <f t="shared" si="2"/>
        <v>9.4247999999999994</v>
      </c>
      <c r="I18" s="53">
        <f t="shared" si="3"/>
        <v>0.75</v>
      </c>
      <c r="J18" s="53">
        <f t="shared" si="4"/>
        <v>3.9402498246998614</v>
      </c>
      <c r="K18" s="53">
        <f t="shared" si="5"/>
        <v>0</v>
      </c>
      <c r="L18" s="53">
        <v>1</v>
      </c>
      <c r="M18" s="58">
        <f t="shared" si="6"/>
        <v>0.2410802590224734</v>
      </c>
      <c r="N18" s="58">
        <f t="shared" si="7"/>
        <v>0.2410802590224734</v>
      </c>
      <c r="O18" s="59">
        <f t="shared" si="8"/>
        <v>11.335016669624506</v>
      </c>
    </row>
    <row r="19" spans="1:15" ht="13.5" thickBot="1" x14ac:dyDescent="0.25">
      <c r="A19" s="39"/>
      <c r="B19" s="40"/>
      <c r="C19" s="41"/>
      <c r="D19" s="40"/>
      <c r="E19" s="42"/>
      <c r="F19" s="40"/>
      <c r="G19" s="54"/>
      <c r="H19" s="54"/>
      <c r="I19" s="54"/>
      <c r="J19" s="54"/>
      <c r="K19" s="54"/>
      <c r="L19" s="54"/>
      <c r="M19" s="60"/>
      <c r="N19" s="60" t="s">
        <v>40</v>
      </c>
      <c r="O19" s="61">
        <f>O18</f>
        <v>11.335016669624506</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Calcs'!$A$38</f>
        <v>18</v>
      </c>
      <c r="E22" s="53">
        <f t="shared" ref="E22:E37" si="9">D22*1000000/(7.48*24*60*60)</f>
        <v>27.85204991087344</v>
      </c>
      <c r="F22" s="38">
        <f>'Headloss Calcs'!$H$18</f>
        <v>100</v>
      </c>
      <c r="G22" s="53">
        <f t="shared" ref="G22:G37" si="10">3.1416/4*(B22/12)^2</f>
        <v>7.0686</v>
      </c>
      <c r="H22" s="53">
        <f t="shared" ref="H22:H37" si="11">3.1416*(B22/12)</f>
        <v>9.4247999999999994</v>
      </c>
      <c r="I22" s="53">
        <f t="shared" ref="I22:I37" si="12">G22/H22</f>
        <v>0.75</v>
      </c>
      <c r="J22" s="53">
        <f t="shared" ref="J22:J37" si="13">E22/G22</f>
        <v>3.9402498246998614</v>
      </c>
      <c r="K22" s="53">
        <f t="shared" ref="K22:K37" si="14">(J22/(1.318*F22*I22^0.63))^1.85*A22</f>
        <v>0</v>
      </c>
      <c r="L22" s="53">
        <v>0.25</v>
      </c>
      <c r="M22" s="58">
        <f t="shared" ref="M22:M37" si="15">L22*(J22^2)/(2*32.2)</f>
        <v>6.0270064755618351E-2</v>
      </c>
      <c r="N22" s="58">
        <f t="shared" ref="N22:N37" si="16">K22+M22</f>
        <v>6.0270064755618351E-2</v>
      </c>
      <c r="O22" s="59">
        <f>N22</f>
        <v>6.0270064755618351E-2</v>
      </c>
    </row>
    <row r="23" spans="1:15" x14ac:dyDescent="0.2">
      <c r="A23" s="37"/>
      <c r="B23" s="55">
        <v>36</v>
      </c>
      <c r="C23" s="56" t="s">
        <v>47</v>
      </c>
      <c r="D23" s="57">
        <f>'Headloss Calcs'!$A$38</f>
        <v>18</v>
      </c>
      <c r="E23" s="53">
        <f t="shared" si="9"/>
        <v>27.85204991087344</v>
      </c>
      <c r="F23" s="38">
        <f>'Headloss Calcs'!$H$18</f>
        <v>100</v>
      </c>
      <c r="G23" s="53">
        <f t="shared" si="10"/>
        <v>7.0686</v>
      </c>
      <c r="H23" s="53">
        <f t="shared" si="11"/>
        <v>9.4247999999999994</v>
      </c>
      <c r="I23" s="53">
        <f t="shared" si="12"/>
        <v>0.75</v>
      </c>
      <c r="J23" s="53">
        <f t="shared" si="13"/>
        <v>3.9402498246998614</v>
      </c>
      <c r="K23" s="53">
        <f t="shared" si="14"/>
        <v>0</v>
      </c>
      <c r="L23" s="53">
        <v>0.25</v>
      </c>
      <c r="M23" s="58">
        <f t="shared" si="15"/>
        <v>6.0270064755618351E-2</v>
      </c>
      <c r="N23" s="58">
        <f t="shared" si="16"/>
        <v>6.0270064755618351E-2</v>
      </c>
      <c r="O23" s="59">
        <f t="shared" ref="O23:O37" si="17">N23+O22</f>
        <v>0.1205401295112367</v>
      </c>
    </row>
    <row r="24" spans="1:15" x14ac:dyDescent="0.2">
      <c r="A24" s="37">
        <v>1320</v>
      </c>
      <c r="B24" s="55">
        <v>36</v>
      </c>
      <c r="C24" s="56" t="s">
        <v>23</v>
      </c>
      <c r="D24" s="57">
        <f>'Headloss Calcs'!$A$38</f>
        <v>18</v>
      </c>
      <c r="E24" s="53">
        <f t="shared" si="9"/>
        <v>27.85204991087344</v>
      </c>
      <c r="F24" s="38">
        <f>'Headloss Calcs'!$H$18</f>
        <v>100</v>
      </c>
      <c r="G24" s="53">
        <f t="shared" si="10"/>
        <v>7.0686</v>
      </c>
      <c r="H24" s="53">
        <f t="shared" si="11"/>
        <v>9.4247999999999994</v>
      </c>
      <c r="I24" s="53">
        <f t="shared" si="12"/>
        <v>0.75</v>
      </c>
      <c r="J24" s="53">
        <f t="shared" si="13"/>
        <v>3.9402498246998614</v>
      </c>
      <c r="K24" s="53">
        <f t="shared" si="14"/>
        <v>2.7929648673912935</v>
      </c>
      <c r="L24" s="53"/>
      <c r="M24" s="58">
        <f t="shared" si="15"/>
        <v>0</v>
      </c>
      <c r="N24" s="58">
        <f t="shared" si="16"/>
        <v>2.7929648673912935</v>
      </c>
      <c r="O24" s="59">
        <f t="shared" si="17"/>
        <v>2.91350499690253</v>
      </c>
    </row>
    <row r="25" spans="1:15" x14ac:dyDescent="0.2">
      <c r="A25" s="37"/>
      <c r="B25" s="55">
        <v>36</v>
      </c>
      <c r="C25" s="56" t="s">
        <v>45</v>
      </c>
      <c r="D25" s="57">
        <f>'Headloss Calcs'!$A$38</f>
        <v>18</v>
      </c>
      <c r="E25" s="53">
        <f t="shared" si="9"/>
        <v>27.85204991087344</v>
      </c>
      <c r="F25" s="38">
        <f>'Headloss Calcs'!$H$18</f>
        <v>100</v>
      </c>
      <c r="G25" s="53">
        <f t="shared" si="10"/>
        <v>7.0686</v>
      </c>
      <c r="H25" s="53">
        <f t="shared" si="11"/>
        <v>9.4247999999999994</v>
      </c>
      <c r="I25" s="53">
        <f t="shared" si="12"/>
        <v>0.75</v>
      </c>
      <c r="J25" s="53">
        <f t="shared" si="13"/>
        <v>3.9402498246998614</v>
      </c>
      <c r="K25" s="53">
        <f t="shared" si="14"/>
        <v>0</v>
      </c>
      <c r="L25" s="53">
        <v>0.2</v>
      </c>
      <c r="M25" s="58">
        <f t="shared" si="15"/>
        <v>4.8216051804494682E-2</v>
      </c>
      <c r="N25" s="58">
        <f t="shared" si="16"/>
        <v>4.8216051804494682E-2</v>
      </c>
      <c r="O25" s="59">
        <f t="shared" si="17"/>
        <v>2.9617210487070245</v>
      </c>
    </row>
    <row r="26" spans="1:15" x14ac:dyDescent="0.2">
      <c r="A26" s="37">
        <v>1320</v>
      </c>
      <c r="B26" s="55">
        <v>36</v>
      </c>
      <c r="C26" s="69" t="s">
        <v>23</v>
      </c>
      <c r="D26" s="57">
        <f>'Headloss Calcs'!$A$38</f>
        <v>18</v>
      </c>
      <c r="E26" s="53">
        <f t="shared" si="9"/>
        <v>27.85204991087344</v>
      </c>
      <c r="F26" s="38">
        <f>'Headloss Calcs'!$H$18</f>
        <v>100</v>
      </c>
      <c r="G26" s="53">
        <f t="shared" si="10"/>
        <v>7.0686</v>
      </c>
      <c r="H26" s="53">
        <f t="shared" si="11"/>
        <v>9.4247999999999994</v>
      </c>
      <c r="I26" s="53">
        <f t="shared" si="12"/>
        <v>0.75</v>
      </c>
      <c r="J26" s="53">
        <f t="shared" si="13"/>
        <v>3.9402498246998614</v>
      </c>
      <c r="K26" s="53">
        <f t="shared" si="14"/>
        <v>2.7929648673912935</v>
      </c>
      <c r="L26" s="53"/>
      <c r="M26" s="58">
        <f t="shared" si="15"/>
        <v>0</v>
      </c>
      <c r="N26" s="58">
        <f t="shared" si="16"/>
        <v>2.7929648673912935</v>
      </c>
      <c r="O26" s="59">
        <f t="shared" si="17"/>
        <v>5.7546859160983175</v>
      </c>
    </row>
    <row r="27" spans="1:15" x14ac:dyDescent="0.2">
      <c r="A27" s="37"/>
      <c r="B27" s="55">
        <v>36</v>
      </c>
      <c r="C27" s="56" t="s">
        <v>39</v>
      </c>
      <c r="D27" s="57">
        <f>'Headloss Calcs'!$A$38</f>
        <v>18</v>
      </c>
      <c r="E27" s="53">
        <f t="shared" si="9"/>
        <v>27.85204991087344</v>
      </c>
      <c r="F27" s="38">
        <f>'Headloss Calcs'!$H$18</f>
        <v>100</v>
      </c>
      <c r="G27" s="53">
        <f t="shared" si="10"/>
        <v>7.0686</v>
      </c>
      <c r="H27" s="53">
        <f t="shared" si="11"/>
        <v>9.4247999999999994</v>
      </c>
      <c r="I27" s="53">
        <f t="shared" si="12"/>
        <v>0.75</v>
      </c>
      <c r="J27" s="53">
        <f t="shared" si="13"/>
        <v>3.9402498246998614</v>
      </c>
      <c r="K27" s="53">
        <f t="shared" si="14"/>
        <v>0</v>
      </c>
      <c r="L27" s="53">
        <v>0.4</v>
      </c>
      <c r="M27" s="58">
        <f t="shared" si="15"/>
        <v>9.6432103608989364E-2</v>
      </c>
      <c r="N27" s="58">
        <f t="shared" si="16"/>
        <v>9.6432103608989364E-2</v>
      </c>
      <c r="O27" s="59">
        <f t="shared" si="17"/>
        <v>5.8511180197073065</v>
      </c>
    </row>
    <row r="28" spans="1:15" x14ac:dyDescent="0.2">
      <c r="A28" s="37">
        <v>1320</v>
      </c>
      <c r="B28" s="55">
        <v>36</v>
      </c>
      <c r="C28" s="56" t="s">
        <v>23</v>
      </c>
      <c r="D28" s="57">
        <f>'Headloss Calcs'!$A$38</f>
        <v>18</v>
      </c>
      <c r="E28" s="53">
        <f t="shared" si="9"/>
        <v>27.85204991087344</v>
      </c>
      <c r="F28" s="38">
        <f>'Headloss Calcs'!$H$18</f>
        <v>100</v>
      </c>
      <c r="G28" s="53">
        <f t="shared" si="10"/>
        <v>7.0686</v>
      </c>
      <c r="H28" s="53">
        <f t="shared" si="11"/>
        <v>9.4247999999999994</v>
      </c>
      <c r="I28" s="53">
        <f t="shared" si="12"/>
        <v>0.75</v>
      </c>
      <c r="J28" s="53">
        <f t="shared" si="13"/>
        <v>3.9402498246998614</v>
      </c>
      <c r="K28" s="53">
        <f t="shared" si="14"/>
        <v>2.7929648673912935</v>
      </c>
      <c r="L28" s="53"/>
      <c r="M28" s="58">
        <f t="shared" si="15"/>
        <v>0</v>
      </c>
      <c r="N28" s="58">
        <f t="shared" si="16"/>
        <v>2.7929648673912935</v>
      </c>
      <c r="O28" s="59">
        <f t="shared" si="17"/>
        <v>8.6440828870986</v>
      </c>
    </row>
    <row r="29" spans="1:15" x14ac:dyDescent="0.2">
      <c r="A29" s="37"/>
      <c r="B29" s="55">
        <v>36</v>
      </c>
      <c r="C29" s="56" t="s">
        <v>39</v>
      </c>
      <c r="D29" s="57">
        <f>'Headloss Calcs'!$A$38</f>
        <v>18</v>
      </c>
      <c r="E29" s="53">
        <f t="shared" si="9"/>
        <v>27.85204991087344</v>
      </c>
      <c r="F29" s="38">
        <f>'Headloss Calcs'!$H$18</f>
        <v>100</v>
      </c>
      <c r="G29" s="53">
        <f t="shared" si="10"/>
        <v>7.0686</v>
      </c>
      <c r="H29" s="53">
        <f t="shared" si="11"/>
        <v>9.4247999999999994</v>
      </c>
      <c r="I29" s="53">
        <f t="shared" si="12"/>
        <v>0.75</v>
      </c>
      <c r="J29" s="53">
        <f t="shared" si="13"/>
        <v>3.9402498246998614</v>
      </c>
      <c r="K29" s="53">
        <f t="shared" si="14"/>
        <v>0</v>
      </c>
      <c r="L29" s="53">
        <v>0.4</v>
      </c>
      <c r="M29" s="58">
        <f t="shared" si="15"/>
        <v>9.6432103608989364E-2</v>
      </c>
      <c r="N29" s="58">
        <f t="shared" si="16"/>
        <v>9.6432103608989364E-2</v>
      </c>
      <c r="O29" s="59">
        <f t="shared" si="17"/>
        <v>8.7405149907075899</v>
      </c>
    </row>
    <row r="30" spans="1:15" x14ac:dyDescent="0.2">
      <c r="A30" s="37">
        <v>1320</v>
      </c>
      <c r="B30" s="55">
        <v>36</v>
      </c>
      <c r="C30" s="56" t="s">
        <v>23</v>
      </c>
      <c r="D30" s="57">
        <f>'Headloss Calcs'!$A$38</f>
        <v>18</v>
      </c>
      <c r="E30" s="53">
        <f t="shared" si="9"/>
        <v>27.85204991087344</v>
      </c>
      <c r="F30" s="38">
        <f>'Headloss Calcs'!$H$18</f>
        <v>100</v>
      </c>
      <c r="G30" s="53">
        <f t="shared" si="10"/>
        <v>7.0686</v>
      </c>
      <c r="H30" s="53">
        <f t="shared" si="11"/>
        <v>9.4247999999999994</v>
      </c>
      <c r="I30" s="53">
        <f t="shared" si="12"/>
        <v>0.75</v>
      </c>
      <c r="J30" s="53">
        <f t="shared" si="13"/>
        <v>3.9402498246998614</v>
      </c>
      <c r="K30" s="53">
        <f t="shared" si="14"/>
        <v>2.7929648673912935</v>
      </c>
      <c r="L30" s="53"/>
      <c r="M30" s="58">
        <f t="shared" si="15"/>
        <v>0</v>
      </c>
      <c r="N30" s="58">
        <f t="shared" si="16"/>
        <v>2.7929648673912935</v>
      </c>
      <c r="O30" s="59">
        <f t="shared" si="17"/>
        <v>11.533479858098882</v>
      </c>
    </row>
    <row r="31" spans="1:15" x14ac:dyDescent="0.2">
      <c r="A31" s="37"/>
      <c r="B31" s="55">
        <v>36</v>
      </c>
      <c r="C31" s="56" t="s">
        <v>48</v>
      </c>
      <c r="D31" s="57">
        <f>'Headloss Calcs'!$A$38</f>
        <v>18</v>
      </c>
      <c r="E31" s="53">
        <f t="shared" si="9"/>
        <v>27.85204991087344</v>
      </c>
      <c r="F31" s="38">
        <f>'Headloss Calcs'!$H$18</f>
        <v>100</v>
      </c>
      <c r="G31" s="53">
        <f t="shared" si="10"/>
        <v>7.0686</v>
      </c>
      <c r="H31" s="53">
        <f t="shared" si="11"/>
        <v>9.4247999999999994</v>
      </c>
      <c r="I31" s="53">
        <f t="shared" si="12"/>
        <v>0.75</v>
      </c>
      <c r="J31" s="53">
        <f t="shared" si="13"/>
        <v>3.9402498246998614</v>
      </c>
      <c r="K31" s="53">
        <f t="shared" si="14"/>
        <v>0</v>
      </c>
      <c r="L31" s="53">
        <v>0.4</v>
      </c>
      <c r="M31" s="58">
        <f t="shared" si="15"/>
        <v>9.6432103608989364E-2</v>
      </c>
      <c r="N31" s="58">
        <f t="shared" si="16"/>
        <v>9.6432103608989364E-2</v>
      </c>
      <c r="O31" s="59">
        <f t="shared" si="17"/>
        <v>11.629911961707872</v>
      </c>
    </row>
    <row r="32" spans="1:15" x14ac:dyDescent="0.2">
      <c r="A32" s="37">
        <v>1320</v>
      </c>
      <c r="B32" s="55">
        <v>36</v>
      </c>
      <c r="C32" s="56" t="s">
        <v>23</v>
      </c>
      <c r="D32" s="57">
        <f>'Headloss Calcs'!$A$38</f>
        <v>18</v>
      </c>
      <c r="E32" s="53">
        <f t="shared" si="9"/>
        <v>27.85204991087344</v>
      </c>
      <c r="F32" s="38">
        <f>'Headloss Calcs'!$H$18</f>
        <v>100</v>
      </c>
      <c r="G32" s="53">
        <f t="shared" si="10"/>
        <v>7.0686</v>
      </c>
      <c r="H32" s="53">
        <f t="shared" si="11"/>
        <v>9.4247999999999994</v>
      </c>
      <c r="I32" s="53">
        <f t="shared" si="12"/>
        <v>0.75</v>
      </c>
      <c r="J32" s="53">
        <f t="shared" si="13"/>
        <v>3.9402498246998614</v>
      </c>
      <c r="K32" s="53">
        <f t="shared" si="14"/>
        <v>2.7929648673912935</v>
      </c>
      <c r="L32" s="53"/>
      <c r="M32" s="58">
        <f t="shared" si="15"/>
        <v>0</v>
      </c>
      <c r="N32" s="58">
        <f t="shared" si="16"/>
        <v>2.7929648673912935</v>
      </c>
      <c r="O32" s="59">
        <f t="shared" si="17"/>
        <v>14.422876829099167</v>
      </c>
    </row>
    <row r="33" spans="1:15" x14ac:dyDescent="0.2">
      <c r="A33" s="37"/>
      <c r="B33" s="55">
        <v>36</v>
      </c>
      <c r="C33" s="56" t="s">
        <v>39</v>
      </c>
      <c r="D33" s="57">
        <f>'Headloss Calcs'!$A$38</f>
        <v>18</v>
      </c>
      <c r="E33" s="53">
        <f t="shared" si="9"/>
        <v>27.85204991087344</v>
      </c>
      <c r="F33" s="38">
        <f>'Headloss Calcs'!$H$18</f>
        <v>100</v>
      </c>
      <c r="G33" s="53">
        <f t="shared" si="10"/>
        <v>7.0686</v>
      </c>
      <c r="H33" s="53">
        <f t="shared" si="11"/>
        <v>9.4247999999999994</v>
      </c>
      <c r="I33" s="53">
        <f t="shared" si="12"/>
        <v>0.75</v>
      </c>
      <c r="J33" s="53">
        <f t="shared" si="13"/>
        <v>3.9402498246998614</v>
      </c>
      <c r="K33" s="53">
        <f t="shared" si="14"/>
        <v>0</v>
      </c>
      <c r="L33" s="53">
        <v>0.4</v>
      </c>
      <c r="M33" s="58">
        <f t="shared" si="15"/>
        <v>9.6432103608989364E-2</v>
      </c>
      <c r="N33" s="58">
        <f t="shared" si="16"/>
        <v>9.6432103608989364E-2</v>
      </c>
      <c r="O33" s="59">
        <f t="shared" si="17"/>
        <v>14.519308932708157</v>
      </c>
    </row>
    <row r="34" spans="1:15" x14ac:dyDescent="0.2">
      <c r="A34" s="37">
        <v>1320</v>
      </c>
      <c r="B34" s="55">
        <v>36</v>
      </c>
      <c r="C34" s="56" t="s">
        <v>23</v>
      </c>
      <c r="D34" s="57">
        <f>'Headloss Calcs'!$A$38</f>
        <v>18</v>
      </c>
      <c r="E34" s="53">
        <f t="shared" si="9"/>
        <v>27.85204991087344</v>
      </c>
      <c r="F34" s="38">
        <f>'Headloss Calcs'!$H$18</f>
        <v>100</v>
      </c>
      <c r="G34" s="53">
        <f t="shared" si="10"/>
        <v>7.0686</v>
      </c>
      <c r="H34" s="53">
        <f t="shared" si="11"/>
        <v>9.4247999999999994</v>
      </c>
      <c r="I34" s="53">
        <f t="shared" si="12"/>
        <v>0.75</v>
      </c>
      <c r="J34" s="53">
        <f t="shared" si="13"/>
        <v>3.9402498246998614</v>
      </c>
      <c r="K34" s="53">
        <f t="shared" si="14"/>
        <v>2.7929648673912935</v>
      </c>
      <c r="L34" s="53"/>
      <c r="M34" s="58">
        <f t="shared" si="15"/>
        <v>0</v>
      </c>
      <c r="N34" s="58">
        <f t="shared" si="16"/>
        <v>2.7929648673912935</v>
      </c>
      <c r="O34" s="59">
        <f t="shared" si="17"/>
        <v>17.312273800099451</v>
      </c>
    </row>
    <row r="35" spans="1:15" x14ac:dyDescent="0.2">
      <c r="A35" s="37"/>
      <c r="B35" s="55">
        <v>36</v>
      </c>
      <c r="C35" s="56" t="s">
        <v>45</v>
      </c>
      <c r="D35" s="57">
        <f>'Headloss Calcs'!$A$38</f>
        <v>18</v>
      </c>
      <c r="E35" s="53">
        <f t="shared" si="9"/>
        <v>27.85204991087344</v>
      </c>
      <c r="F35" s="38">
        <f>'Headloss Calcs'!$H$18</f>
        <v>100</v>
      </c>
      <c r="G35" s="53">
        <f t="shared" si="10"/>
        <v>7.0686</v>
      </c>
      <c r="H35" s="53">
        <f t="shared" si="11"/>
        <v>9.4247999999999994</v>
      </c>
      <c r="I35" s="53">
        <f t="shared" si="12"/>
        <v>0.75</v>
      </c>
      <c r="J35" s="53">
        <f t="shared" si="13"/>
        <v>3.9402498246998614</v>
      </c>
      <c r="K35" s="53">
        <f t="shared" si="14"/>
        <v>0</v>
      </c>
      <c r="L35" s="53">
        <v>0.2</v>
      </c>
      <c r="M35" s="58">
        <f t="shared" si="15"/>
        <v>4.8216051804494682E-2</v>
      </c>
      <c r="N35" s="58">
        <f t="shared" si="16"/>
        <v>4.8216051804494682E-2</v>
      </c>
      <c r="O35" s="59">
        <f t="shared" si="17"/>
        <v>17.360489851903946</v>
      </c>
    </row>
    <row r="36" spans="1:15" x14ac:dyDescent="0.2">
      <c r="A36" s="37">
        <v>1320</v>
      </c>
      <c r="B36" s="55">
        <v>36</v>
      </c>
      <c r="C36" s="56" t="s">
        <v>23</v>
      </c>
      <c r="D36" s="57">
        <f>'Headloss Calcs'!$A$38</f>
        <v>18</v>
      </c>
      <c r="E36" s="53">
        <f t="shared" si="9"/>
        <v>27.85204991087344</v>
      </c>
      <c r="F36" s="38">
        <f>'Headloss Calcs'!$H$18</f>
        <v>100</v>
      </c>
      <c r="G36" s="53">
        <f t="shared" si="10"/>
        <v>7.0686</v>
      </c>
      <c r="H36" s="53">
        <f t="shared" si="11"/>
        <v>9.4247999999999994</v>
      </c>
      <c r="I36" s="53">
        <f t="shared" si="12"/>
        <v>0.75</v>
      </c>
      <c r="J36" s="53">
        <f t="shared" si="13"/>
        <v>3.9402498246998614</v>
      </c>
      <c r="K36" s="53">
        <f t="shared" si="14"/>
        <v>2.7929648673912935</v>
      </c>
      <c r="L36" s="53"/>
      <c r="M36" s="58">
        <f t="shared" si="15"/>
        <v>0</v>
      </c>
      <c r="N36" s="58">
        <f t="shared" si="16"/>
        <v>2.7929648673912935</v>
      </c>
      <c r="O36" s="59">
        <f t="shared" si="17"/>
        <v>20.15345471929524</v>
      </c>
    </row>
    <row r="37" spans="1:15" ht="12" customHeight="1" x14ac:dyDescent="0.2">
      <c r="A37" s="37"/>
      <c r="B37" s="55">
        <v>36</v>
      </c>
      <c r="C37" s="56" t="s">
        <v>44</v>
      </c>
      <c r="D37" s="57">
        <f>'Headloss Calcs'!$A$38</f>
        <v>18</v>
      </c>
      <c r="E37" s="53">
        <f t="shared" si="9"/>
        <v>27.85204991087344</v>
      </c>
      <c r="F37" s="38">
        <f>'Headloss Calcs'!$H$18</f>
        <v>100</v>
      </c>
      <c r="G37" s="53">
        <f t="shared" si="10"/>
        <v>7.0686</v>
      </c>
      <c r="H37" s="53">
        <f t="shared" si="11"/>
        <v>9.4247999999999994</v>
      </c>
      <c r="I37" s="53">
        <f t="shared" si="12"/>
        <v>0.75</v>
      </c>
      <c r="J37" s="53">
        <f t="shared" si="13"/>
        <v>3.9402498246998614</v>
      </c>
      <c r="K37" s="53">
        <f t="shared" si="14"/>
        <v>0</v>
      </c>
      <c r="L37" s="53">
        <v>1</v>
      </c>
      <c r="M37" s="58">
        <f t="shared" si="15"/>
        <v>0.2410802590224734</v>
      </c>
      <c r="N37" s="58">
        <f t="shared" si="16"/>
        <v>0.2410802590224734</v>
      </c>
      <c r="O37" s="59">
        <f t="shared" si="17"/>
        <v>20.394534978317715</v>
      </c>
    </row>
    <row r="38" spans="1:15" ht="13.5" thickBot="1" x14ac:dyDescent="0.25">
      <c r="A38" s="39"/>
      <c r="B38" s="40"/>
      <c r="C38" s="41"/>
      <c r="D38" s="40"/>
      <c r="E38" s="42"/>
      <c r="F38" s="40"/>
      <c r="G38" s="54"/>
      <c r="H38" s="54"/>
      <c r="I38" s="54"/>
      <c r="J38" s="54"/>
      <c r="K38" s="54"/>
      <c r="L38" s="54"/>
      <c r="M38" s="60"/>
      <c r="N38" s="60" t="s">
        <v>40</v>
      </c>
      <c r="O38" s="61">
        <f>O37</f>
        <v>20.394534978317715</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50"/>
  <sheetViews>
    <sheetView topLeftCell="C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Calcs'!$A$39</f>
        <v>19</v>
      </c>
      <c r="E3" s="53">
        <f t="shared" ref="E3:E18" si="0">D3*1000000/(7.48*24*60*60)</f>
        <v>29.399386017033077</v>
      </c>
      <c r="F3" s="38">
        <f>'Headloss Calcs'!$E$18</f>
        <v>140</v>
      </c>
      <c r="G3" s="53">
        <f t="shared" ref="G3:G18" si="1">3.1416/4*(B3/12)^2</f>
        <v>7.0686</v>
      </c>
      <c r="H3" s="53">
        <f t="shared" ref="H3:H18" si="2">3.1416*(B3/12)</f>
        <v>9.4247999999999994</v>
      </c>
      <c r="I3" s="53">
        <f t="shared" ref="I3:I18" si="3">G3/H3</f>
        <v>0.75</v>
      </c>
      <c r="J3" s="53">
        <f t="shared" ref="J3:J18" si="4">E3/G3</f>
        <v>4.1591525927387432</v>
      </c>
      <c r="K3" s="53">
        <f t="shared" ref="K3:K18" si="5">(J3/(1.318*F3*I3^0.63))^1.85*A3</f>
        <v>0</v>
      </c>
      <c r="L3" s="53">
        <v>0.25</v>
      </c>
      <c r="M3" s="58">
        <f t="shared" ref="M3:M18" si="6">L3*(J3^2)/(2*32.2)</f>
        <v>6.715275733573528E-2</v>
      </c>
      <c r="N3" s="58">
        <f t="shared" ref="N3:N18" si="7">K3+M3</f>
        <v>6.715275733573528E-2</v>
      </c>
      <c r="O3" s="59">
        <f>N3</f>
        <v>6.715275733573528E-2</v>
      </c>
    </row>
    <row r="4" spans="1:15" x14ac:dyDescent="0.2">
      <c r="A4" s="37"/>
      <c r="B4" s="55">
        <v>36</v>
      </c>
      <c r="C4" s="56" t="s">
        <v>47</v>
      </c>
      <c r="D4" s="57">
        <f>'Headloss Calcs'!$A$39</f>
        <v>19</v>
      </c>
      <c r="E4" s="53">
        <f t="shared" si="0"/>
        <v>29.399386017033077</v>
      </c>
      <c r="F4" s="38">
        <f>'Headloss Calcs'!$E$18</f>
        <v>140</v>
      </c>
      <c r="G4" s="53">
        <f t="shared" si="1"/>
        <v>7.0686</v>
      </c>
      <c r="H4" s="53">
        <f t="shared" si="2"/>
        <v>9.4247999999999994</v>
      </c>
      <c r="I4" s="53">
        <f t="shared" si="3"/>
        <v>0.75</v>
      </c>
      <c r="J4" s="53">
        <f t="shared" si="4"/>
        <v>4.1591525927387432</v>
      </c>
      <c r="K4" s="53">
        <f t="shared" si="5"/>
        <v>0</v>
      </c>
      <c r="L4" s="53">
        <v>0.25</v>
      </c>
      <c r="M4" s="58">
        <f t="shared" si="6"/>
        <v>6.715275733573528E-2</v>
      </c>
      <c r="N4" s="58">
        <f t="shared" si="7"/>
        <v>6.715275733573528E-2</v>
      </c>
      <c r="O4" s="59">
        <f t="shared" ref="O4:O18" si="8">N4+O3</f>
        <v>0.13430551467147056</v>
      </c>
    </row>
    <row r="5" spans="1:15" x14ac:dyDescent="0.2">
      <c r="A5" s="37">
        <v>1320</v>
      </c>
      <c r="B5" s="55">
        <v>36</v>
      </c>
      <c r="C5" s="56" t="s">
        <v>23</v>
      </c>
      <c r="D5" s="57">
        <f>'Headloss Calcs'!$A$39</f>
        <v>19</v>
      </c>
      <c r="E5" s="53">
        <f t="shared" si="0"/>
        <v>29.399386017033077</v>
      </c>
      <c r="F5" s="38">
        <f>'Headloss Calcs'!$E$18</f>
        <v>140</v>
      </c>
      <c r="G5" s="53">
        <f t="shared" si="1"/>
        <v>7.0686</v>
      </c>
      <c r="H5" s="53">
        <f t="shared" si="2"/>
        <v>9.4247999999999994</v>
      </c>
      <c r="I5" s="53">
        <f t="shared" si="3"/>
        <v>0.75</v>
      </c>
      <c r="J5" s="53">
        <f t="shared" si="4"/>
        <v>4.1591525927387432</v>
      </c>
      <c r="K5" s="53">
        <f t="shared" si="5"/>
        <v>1.6564130143662934</v>
      </c>
      <c r="L5" s="53"/>
      <c r="M5" s="58">
        <f t="shared" si="6"/>
        <v>0</v>
      </c>
      <c r="N5" s="58">
        <f t="shared" si="7"/>
        <v>1.6564130143662934</v>
      </c>
      <c r="O5" s="59">
        <f t="shared" si="8"/>
        <v>1.7907185290377639</v>
      </c>
    </row>
    <row r="6" spans="1:15" x14ac:dyDescent="0.2">
      <c r="A6" s="37"/>
      <c r="B6" s="55">
        <v>36</v>
      </c>
      <c r="C6" s="56" t="s">
        <v>45</v>
      </c>
      <c r="D6" s="57">
        <f>'Headloss Calcs'!$A$39</f>
        <v>19</v>
      </c>
      <c r="E6" s="53">
        <f t="shared" si="0"/>
        <v>29.399386017033077</v>
      </c>
      <c r="F6" s="38">
        <f>'Headloss Calcs'!$E$18</f>
        <v>140</v>
      </c>
      <c r="G6" s="53">
        <f t="shared" si="1"/>
        <v>7.0686</v>
      </c>
      <c r="H6" s="53">
        <f t="shared" si="2"/>
        <v>9.4247999999999994</v>
      </c>
      <c r="I6" s="53">
        <f t="shared" si="3"/>
        <v>0.75</v>
      </c>
      <c r="J6" s="53">
        <f t="shared" si="4"/>
        <v>4.1591525927387432</v>
      </c>
      <c r="K6" s="53">
        <f t="shared" si="5"/>
        <v>0</v>
      </c>
      <c r="L6" s="53">
        <v>0.2</v>
      </c>
      <c r="M6" s="58">
        <f t="shared" si="6"/>
        <v>5.3722205868588224E-2</v>
      </c>
      <c r="N6" s="58">
        <f t="shared" si="7"/>
        <v>5.3722205868588224E-2</v>
      </c>
      <c r="O6" s="59">
        <f t="shared" si="8"/>
        <v>1.8444407349063521</v>
      </c>
    </row>
    <row r="7" spans="1:15" x14ac:dyDescent="0.2">
      <c r="A7" s="37">
        <v>1320</v>
      </c>
      <c r="B7" s="55">
        <v>36</v>
      </c>
      <c r="C7" s="69" t="s">
        <v>23</v>
      </c>
      <c r="D7" s="57">
        <f>'Headloss Calcs'!$A$39</f>
        <v>19</v>
      </c>
      <c r="E7" s="53">
        <f t="shared" si="0"/>
        <v>29.399386017033077</v>
      </c>
      <c r="F7" s="38">
        <f>'Headloss Calcs'!$E$18</f>
        <v>140</v>
      </c>
      <c r="G7" s="53">
        <f t="shared" si="1"/>
        <v>7.0686</v>
      </c>
      <c r="H7" s="53">
        <f t="shared" si="2"/>
        <v>9.4247999999999994</v>
      </c>
      <c r="I7" s="53">
        <f t="shared" si="3"/>
        <v>0.75</v>
      </c>
      <c r="J7" s="53">
        <f t="shared" si="4"/>
        <v>4.1591525927387432</v>
      </c>
      <c r="K7" s="53">
        <f t="shared" si="5"/>
        <v>1.6564130143662934</v>
      </c>
      <c r="L7" s="53"/>
      <c r="M7" s="58">
        <f t="shared" si="6"/>
        <v>0</v>
      </c>
      <c r="N7" s="58">
        <f t="shared" si="7"/>
        <v>1.6564130143662934</v>
      </c>
      <c r="O7" s="59">
        <f t="shared" si="8"/>
        <v>3.5008537492726455</v>
      </c>
    </row>
    <row r="8" spans="1:15" x14ac:dyDescent="0.2">
      <c r="A8" s="37"/>
      <c r="B8" s="55">
        <v>36</v>
      </c>
      <c r="C8" s="56" t="s">
        <v>39</v>
      </c>
      <c r="D8" s="57">
        <f>'Headloss Calcs'!$A$39</f>
        <v>19</v>
      </c>
      <c r="E8" s="53">
        <f t="shared" si="0"/>
        <v>29.399386017033077</v>
      </c>
      <c r="F8" s="38">
        <f>'Headloss Calcs'!$E$18</f>
        <v>140</v>
      </c>
      <c r="G8" s="53">
        <f t="shared" si="1"/>
        <v>7.0686</v>
      </c>
      <c r="H8" s="53">
        <f t="shared" si="2"/>
        <v>9.4247999999999994</v>
      </c>
      <c r="I8" s="53">
        <f t="shared" si="3"/>
        <v>0.75</v>
      </c>
      <c r="J8" s="53">
        <f t="shared" si="4"/>
        <v>4.1591525927387432</v>
      </c>
      <c r="K8" s="53">
        <f t="shared" si="5"/>
        <v>0</v>
      </c>
      <c r="L8" s="53">
        <v>0.4</v>
      </c>
      <c r="M8" s="58">
        <f t="shared" si="6"/>
        <v>0.10744441173717645</v>
      </c>
      <c r="N8" s="58">
        <f t="shared" si="7"/>
        <v>0.10744441173717645</v>
      </c>
      <c r="O8" s="59">
        <f t="shared" si="8"/>
        <v>3.6082981610098219</v>
      </c>
    </row>
    <row r="9" spans="1:15" x14ac:dyDescent="0.2">
      <c r="A9" s="37">
        <v>1320</v>
      </c>
      <c r="B9" s="55">
        <v>36</v>
      </c>
      <c r="C9" s="56" t="s">
        <v>23</v>
      </c>
      <c r="D9" s="57">
        <f>'Headloss Calcs'!$A$39</f>
        <v>19</v>
      </c>
      <c r="E9" s="53">
        <f t="shared" si="0"/>
        <v>29.399386017033077</v>
      </c>
      <c r="F9" s="38">
        <f>'Headloss Calcs'!$E$18</f>
        <v>140</v>
      </c>
      <c r="G9" s="53">
        <f t="shared" si="1"/>
        <v>7.0686</v>
      </c>
      <c r="H9" s="53">
        <f t="shared" si="2"/>
        <v>9.4247999999999994</v>
      </c>
      <c r="I9" s="53">
        <f t="shared" si="3"/>
        <v>0.75</v>
      </c>
      <c r="J9" s="53">
        <f t="shared" si="4"/>
        <v>4.1591525927387432</v>
      </c>
      <c r="K9" s="53">
        <f t="shared" si="5"/>
        <v>1.6564130143662934</v>
      </c>
      <c r="L9" s="53"/>
      <c r="M9" s="58">
        <f t="shared" si="6"/>
        <v>0</v>
      </c>
      <c r="N9" s="58">
        <f t="shared" si="7"/>
        <v>1.6564130143662934</v>
      </c>
      <c r="O9" s="59">
        <f t="shared" si="8"/>
        <v>5.2647111753761155</v>
      </c>
    </row>
    <row r="10" spans="1:15" x14ac:dyDescent="0.2">
      <c r="A10" s="37"/>
      <c r="B10" s="55">
        <v>36</v>
      </c>
      <c r="C10" s="56" t="s">
        <v>39</v>
      </c>
      <c r="D10" s="57">
        <f>'Headloss Calcs'!$A$39</f>
        <v>19</v>
      </c>
      <c r="E10" s="53">
        <f t="shared" si="0"/>
        <v>29.399386017033077</v>
      </c>
      <c r="F10" s="38">
        <f>'Headloss Calcs'!$E$18</f>
        <v>140</v>
      </c>
      <c r="G10" s="53">
        <f t="shared" si="1"/>
        <v>7.0686</v>
      </c>
      <c r="H10" s="53">
        <f t="shared" si="2"/>
        <v>9.4247999999999994</v>
      </c>
      <c r="I10" s="53">
        <f t="shared" si="3"/>
        <v>0.75</v>
      </c>
      <c r="J10" s="53">
        <f t="shared" si="4"/>
        <v>4.1591525927387432</v>
      </c>
      <c r="K10" s="53">
        <f t="shared" si="5"/>
        <v>0</v>
      </c>
      <c r="L10" s="53">
        <v>0.4</v>
      </c>
      <c r="M10" s="58">
        <f t="shared" si="6"/>
        <v>0.10744441173717645</v>
      </c>
      <c r="N10" s="58">
        <f t="shared" si="7"/>
        <v>0.10744441173717645</v>
      </c>
      <c r="O10" s="59">
        <f t="shared" si="8"/>
        <v>5.3721555871132924</v>
      </c>
    </row>
    <row r="11" spans="1:15" x14ac:dyDescent="0.2">
      <c r="A11" s="37">
        <v>1320</v>
      </c>
      <c r="B11" s="55">
        <v>36</v>
      </c>
      <c r="C11" s="56" t="s">
        <v>23</v>
      </c>
      <c r="D11" s="57">
        <f>'Headloss Calcs'!$A$39</f>
        <v>19</v>
      </c>
      <c r="E11" s="53">
        <f t="shared" si="0"/>
        <v>29.399386017033077</v>
      </c>
      <c r="F11" s="38">
        <f>'Headloss Calcs'!$E$18</f>
        <v>140</v>
      </c>
      <c r="G11" s="53">
        <f t="shared" si="1"/>
        <v>7.0686</v>
      </c>
      <c r="H11" s="53">
        <f t="shared" si="2"/>
        <v>9.4247999999999994</v>
      </c>
      <c r="I11" s="53">
        <f t="shared" si="3"/>
        <v>0.75</v>
      </c>
      <c r="J11" s="53">
        <f t="shared" si="4"/>
        <v>4.1591525927387432</v>
      </c>
      <c r="K11" s="53">
        <f t="shared" si="5"/>
        <v>1.6564130143662934</v>
      </c>
      <c r="L11" s="53"/>
      <c r="M11" s="58">
        <f t="shared" si="6"/>
        <v>0</v>
      </c>
      <c r="N11" s="58">
        <f t="shared" si="7"/>
        <v>1.6564130143662934</v>
      </c>
      <c r="O11" s="59">
        <f t="shared" si="8"/>
        <v>7.0285686014795861</v>
      </c>
    </row>
    <row r="12" spans="1:15" x14ac:dyDescent="0.2">
      <c r="A12" s="37"/>
      <c r="B12" s="55">
        <v>36</v>
      </c>
      <c r="C12" s="56" t="s">
        <v>48</v>
      </c>
      <c r="D12" s="57">
        <f>'Headloss Calcs'!$A$39</f>
        <v>19</v>
      </c>
      <c r="E12" s="53">
        <f t="shared" si="0"/>
        <v>29.399386017033077</v>
      </c>
      <c r="F12" s="38">
        <f>'Headloss Calcs'!$E$18</f>
        <v>140</v>
      </c>
      <c r="G12" s="53">
        <f t="shared" si="1"/>
        <v>7.0686</v>
      </c>
      <c r="H12" s="53">
        <f t="shared" si="2"/>
        <v>9.4247999999999994</v>
      </c>
      <c r="I12" s="53">
        <f t="shared" si="3"/>
        <v>0.75</v>
      </c>
      <c r="J12" s="53">
        <f t="shared" si="4"/>
        <v>4.1591525927387432</v>
      </c>
      <c r="K12" s="53">
        <f t="shared" si="5"/>
        <v>0</v>
      </c>
      <c r="L12" s="53">
        <v>0.4</v>
      </c>
      <c r="M12" s="58">
        <f t="shared" si="6"/>
        <v>0.10744441173717645</v>
      </c>
      <c r="N12" s="58">
        <f t="shared" si="7"/>
        <v>0.10744441173717645</v>
      </c>
      <c r="O12" s="59">
        <f t="shared" si="8"/>
        <v>7.136013013216763</v>
      </c>
    </row>
    <row r="13" spans="1:15" x14ac:dyDescent="0.2">
      <c r="A13" s="37">
        <v>1320</v>
      </c>
      <c r="B13" s="55">
        <v>36</v>
      </c>
      <c r="C13" s="56" t="s">
        <v>23</v>
      </c>
      <c r="D13" s="57">
        <f>'Headloss Calcs'!$A$39</f>
        <v>19</v>
      </c>
      <c r="E13" s="53">
        <f t="shared" si="0"/>
        <v>29.399386017033077</v>
      </c>
      <c r="F13" s="38">
        <f>'Headloss Calcs'!$E$18</f>
        <v>140</v>
      </c>
      <c r="G13" s="53">
        <f t="shared" si="1"/>
        <v>7.0686</v>
      </c>
      <c r="H13" s="53">
        <f t="shared" si="2"/>
        <v>9.4247999999999994</v>
      </c>
      <c r="I13" s="53">
        <f t="shared" si="3"/>
        <v>0.75</v>
      </c>
      <c r="J13" s="53">
        <f t="shared" si="4"/>
        <v>4.1591525927387432</v>
      </c>
      <c r="K13" s="53">
        <f t="shared" si="5"/>
        <v>1.6564130143662934</v>
      </c>
      <c r="L13" s="53"/>
      <c r="M13" s="58">
        <f t="shared" si="6"/>
        <v>0</v>
      </c>
      <c r="N13" s="58">
        <f t="shared" si="7"/>
        <v>1.6564130143662934</v>
      </c>
      <c r="O13" s="59">
        <f t="shared" si="8"/>
        <v>8.7924260275830566</v>
      </c>
    </row>
    <row r="14" spans="1:15" x14ac:dyDescent="0.2">
      <c r="A14" s="37"/>
      <c r="B14" s="55">
        <v>36</v>
      </c>
      <c r="C14" s="56" t="s">
        <v>39</v>
      </c>
      <c r="D14" s="57">
        <f>'Headloss Calcs'!$A$39</f>
        <v>19</v>
      </c>
      <c r="E14" s="53">
        <f t="shared" si="0"/>
        <v>29.399386017033077</v>
      </c>
      <c r="F14" s="38">
        <f>'Headloss Calcs'!$E$18</f>
        <v>140</v>
      </c>
      <c r="G14" s="53">
        <f t="shared" si="1"/>
        <v>7.0686</v>
      </c>
      <c r="H14" s="53">
        <f t="shared" si="2"/>
        <v>9.4247999999999994</v>
      </c>
      <c r="I14" s="53">
        <f t="shared" si="3"/>
        <v>0.75</v>
      </c>
      <c r="J14" s="53">
        <f t="shared" si="4"/>
        <v>4.1591525927387432</v>
      </c>
      <c r="K14" s="53">
        <f t="shared" si="5"/>
        <v>0</v>
      </c>
      <c r="L14" s="53">
        <v>0.4</v>
      </c>
      <c r="M14" s="58">
        <f t="shared" si="6"/>
        <v>0.10744441173717645</v>
      </c>
      <c r="N14" s="58">
        <f t="shared" si="7"/>
        <v>0.10744441173717645</v>
      </c>
      <c r="O14" s="59">
        <f t="shared" si="8"/>
        <v>8.8998704393202335</v>
      </c>
    </row>
    <row r="15" spans="1:15" x14ac:dyDescent="0.2">
      <c r="A15" s="37">
        <v>1320</v>
      </c>
      <c r="B15" s="55">
        <v>36</v>
      </c>
      <c r="C15" s="56" t="s">
        <v>23</v>
      </c>
      <c r="D15" s="57">
        <f>'Headloss Calcs'!$A$39</f>
        <v>19</v>
      </c>
      <c r="E15" s="53">
        <f t="shared" si="0"/>
        <v>29.399386017033077</v>
      </c>
      <c r="F15" s="38">
        <f>'Headloss Calcs'!$E$18</f>
        <v>140</v>
      </c>
      <c r="G15" s="53">
        <f t="shared" si="1"/>
        <v>7.0686</v>
      </c>
      <c r="H15" s="53">
        <f t="shared" si="2"/>
        <v>9.4247999999999994</v>
      </c>
      <c r="I15" s="53">
        <f t="shared" si="3"/>
        <v>0.75</v>
      </c>
      <c r="J15" s="53">
        <f t="shared" si="4"/>
        <v>4.1591525927387432</v>
      </c>
      <c r="K15" s="53">
        <f t="shared" si="5"/>
        <v>1.6564130143662934</v>
      </c>
      <c r="L15" s="53"/>
      <c r="M15" s="58">
        <f t="shared" si="6"/>
        <v>0</v>
      </c>
      <c r="N15" s="58">
        <f t="shared" si="7"/>
        <v>1.6564130143662934</v>
      </c>
      <c r="O15" s="59">
        <f t="shared" si="8"/>
        <v>10.556283453686527</v>
      </c>
    </row>
    <row r="16" spans="1:15" x14ac:dyDescent="0.2">
      <c r="A16" s="37"/>
      <c r="B16" s="55">
        <v>36</v>
      </c>
      <c r="C16" s="56" t="s">
        <v>45</v>
      </c>
      <c r="D16" s="57">
        <f>'Headloss Calcs'!$A$39</f>
        <v>19</v>
      </c>
      <c r="E16" s="53">
        <f t="shared" si="0"/>
        <v>29.399386017033077</v>
      </c>
      <c r="F16" s="38">
        <f>'Headloss Calcs'!$E$18</f>
        <v>140</v>
      </c>
      <c r="G16" s="53">
        <f t="shared" si="1"/>
        <v>7.0686</v>
      </c>
      <c r="H16" s="53">
        <f t="shared" si="2"/>
        <v>9.4247999999999994</v>
      </c>
      <c r="I16" s="53">
        <f t="shared" si="3"/>
        <v>0.75</v>
      </c>
      <c r="J16" s="53">
        <f t="shared" si="4"/>
        <v>4.1591525927387432</v>
      </c>
      <c r="K16" s="53">
        <f t="shared" si="5"/>
        <v>0</v>
      </c>
      <c r="L16" s="53">
        <v>0.2</v>
      </c>
      <c r="M16" s="58">
        <f t="shared" si="6"/>
        <v>5.3722205868588224E-2</v>
      </c>
      <c r="N16" s="58">
        <f t="shared" si="7"/>
        <v>5.3722205868588224E-2</v>
      </c>
      <c r="O16" s="59">
        <f t="shared" si="8"/>
        <v>10.610005659555116</v>
      </c>
    </row>
    <row r="17" spans="1:15" x14ac:dyDescent="0.2">
      <c r="A17" s="37">
        <v>1320</v>
      </c>
      <c r="B17" s="55">
        <v>36</v>
      </c>
      <c r="C17" s="56" t="s">
        <v>23</v>
      </c>
      <c r="D17" s="57">
        <f>'Headloss Calcs'!$A$39</f>
        <v>19</v>
      </c>
      <c r="E17" s="53">
        <f t="shared" si="0"/>
        <v>29.399386017033077</v>
      </c>
      <c r="F17" s="38">
        <f>'Headloss Calcs'!$E$18</f>
        <v>140</v>
      </c>
      <c r="G17" s="53">
        <f t="shared" si="1"/>
        <v>7.0686</v>
      </c>
      <c r="H17" s="53">
        <f t="shared" si="2"/>
        <v>9.4247999999999994</v>
      </c>
      <c r="I17" s="53">
        <f t="shared" si="3"/>
        <v>0.75</v>
      </c>
      <c r="J17" s="53">
        <f t="shared" si="4"/>
        <v>4.1591525927387432</v>
      </c>
      <c r="K17" s="53">
        <f t="shared" si="5"/>
        <v>1.6564130143662934</v>
      </c>
      <c r="L17" s="53"/>
      <c r="M17" s="58">
        <f t="shared" si="6"/>
        <v>0</v>
      </c>
      <c r="N17" s="58">
        <f t="shared" si="7"/>
        <v>1.6564130143662934</v>
      </c>
      <c r="O17" s="59">
        <f t="shared" si="8"/>
        <v>12.266418673921409</v>
      </c>
    </row>
    <row r="18" spans="1:15" ht="12" customHeight="1" x14ac:dyDescent="0.2">
      <c r="A18" s="37"/>
      <c r="B18" s="55">
        <v>36</v>
      </c>
      <c r="C18" s="56" t="s">
        <v>44</v>
      </c>
      <c r="D18" s="57">
        <f>'Headloss Calcs'!$A$39</f>
        <v>19</v>
      </c>
      <c r="E18" s="53">
        <f t="shared" si="0"/>
        <v>29.399386017033077</v>
      </c>
      <c r="F18" s="38">
        <f>'Headloss Calcs'!$E$18</f>
        <v>140</v>
      </c>
      <c r="G18" s="53">
        <f t="shared" si="1"/>
        <v>7.0686</v>
      </c>
      <c r="H18" s="53">
        <f t="shared" si="2"/>
        <v>9.4247999999999994</v>
      </c>
      <c r="I18" s="53">
        <f t="shared" si="3"/>
        <v>0.75</v>
      </c>
      <c r="J18" s="53">
        <f t="shared" si="4"/>
        <v>4.1591525927387432</v>
      </c>
      <c r="K18" s="53">
        <f t="shared" si="5"/>
        <v>0</v>
      </c>
      <c r="L18" s="53">
        <v>1</v>
      </c>
      <c r="M18" s="58">
        <f t="shared" si="6"/>
        <v>0.26861102934294112</v>
      </c>
      <c r="N18" s="58">
        <f t="shared" si="7"/>
        <v>0.26861102934294112</v>
      </c>
      <c r="O18" s="59">
        <f t="shared" si="8"/>
        <v>12.53502970326435</v>
      </c>
    </row>
    <row r="19" spans="1:15" ht="13.5" thickBot="1" x14ac:dyDescent="0.25">
      <c r="A19" s="39"/>
      <c r="B19" s="40"/>
      <c r="C19" s="41"/>
      <c r="D19" s="40"/>
      <c r="E19" s="42"/>
      <c r="F19" s="40"/>
      <c r="G19" s="54"/>
      <c r="H19" s="54"/>
      <c r="I19" s="54"/>
      <c r="J19" s="54"/>
      <c r="K19" s="54"/>
      <c r="L19" s="54"/>
      <c r="M19" s="60"/>
      <c r="N19" s="60" t="s">
        <v>40</v>
      </c>
      <c r="O19" s="61">
        <f>O18</f>
        <v>12.53502970326435</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Calcs'!$A$39</f>
        <v>19</v>
      </c>
      <c r="E22" s="53">
        <f t="shared" ref="E22:E37" si="9">D22*1000000/(7.48*24*60*60)</f>
        <v>29.399386017033077</v>
      </c>
      <c r="F22" s="38">
        <f>'Headloss Calcs'!$H$18</f>
        <v>100</v>
      </c>
      <c r="G22" s="53">
        <f t="shared" ref="G22:G37" si="10">3.1416/4*(B22/12)^2</f>
        <v>7.0686</v>
      </c>
      <c r="H22" s="53">
        <f t="shared" ref="H22:H37" si="11">3.1416*(B22/12)</f>
        <v>9.4247999999999994</v>
      </c>
      <c r="I22" s="53">
        <f t="shared" ref="I22:I37" si="12">G22/H22</f>
        <v>0.75</v>
      </c>
      <c r="J22" s="53">
        <f t="shared" ref="J22:J37" si="13">E22/G22</f>
        <v>4.1591525927387432</v>
      </c>
      <c r="K22" s="53">
        <f t="shared" ref="K22:K37" si="14">(J22/(1.318*F22*I22^0.63))^1.85*A22</f>
        <v>0</v>
      </c>
      <c r="L22" s="53">
        <v>0.25</v>
      </c>
      <c r="M22" s="58">
        <f t="shared" ref="M22:M37" si="15">L22*(J22^2)/(2*32.2)</f>
        <v>6.715275733573528E-2</v>
      </c>
      <c r="N22" s="58">
        <f t="shared" ref="N22:N37" si="16">K22+M22</f>
        <v>6.715275733573528E-2</v>
      </c>
      <c r="O22" s="59">
        <f>N22</f>
        <v>6.715275733573528E-2</v>
      </c>
    </row>
    <row r="23" spans="1:15" x14ac:dyDescent="0.2">
      <c r="A23" s="37"/>
      <c r="B23" s="55">
        <v>36</v>
      </c>
      <c r="C23" s="56" t="s">
        <v>47</v>
      </c>
      <c r="D23" s="57">
        <f>'Headloss Calcs'!$A$39</f>
        <v>19</v>
      </c>
      <c r="E23" s="53">
        <f t="shared" si="9"/>
        <v>29.399386017033077</v>
      </c>
      <c r="F23" s="38">
        <f>'Headloss Calcs'!$H$18</f>
        <v>100</v>
      </c>
      <c r="G23" s="53">
        <f t="shared" si="10"/>
        <v>7.0686</v>
      </c>
      <c r="H23" s="53">
        <f t="shared" si="11"/>
        <v>9.4247999999999994</v>
      </c>
      <c r="I23" s="53">
        <f t="shared" si="12"/>
        <v>0.75</v>
      </c>
      <c r="J23" s="53">
        <f t="shared" si="13"/>
        <v>4.1591525927387432</v>
      </c>
      <c r="K23" s="53">
        <f t="shared" si="14"/>
        <v>0</v>
      </c>
      <c r="L23" s="53">
        <v>0.25</v>
      </c>
      <c r="M23" s="58">
        <f t="shared" si="15"/>
        <v>6.715275733573528E-2</v>
      </c>
      <c r="N23" s="58">
        <f t="shared" si="16"/>
        <v>6.715275733573528E-2</v>
      </c>
      <c r="O23" s="59">
        <f t="shared" ref="O23:O37" si="17">N23+O22</f>
        <v>0.13430551467147056</v>
      </c>
    </row>
    <row r="24" spans="1:15" x14ac:dyDescent="0.2">
      <c r="A24" s="37">
        <v>1320</v>
      </c>
      <c r="B24" s="55">
        <v>36</v>
      </c>
      <c r="C24" s="56" t="s">
        <v>23</v>
      </c>
      <c r="D24" s="57">
        <f>'Headloss Calcs'!$A$39</f>
        <v>19</v>
      </c>
      <c r="E24" s="53">
        <f t="shared" si="9"/>
        <v>29.399386017033077</v>
      </c>
      <c r="F24" s="38">
        <f>'Headloss Calcs'!$H$18</f>
        <v>100</v>
      </c>
      <c r="G24" s="53">
        <f t="shared" si="10"/>
        <v>7.0686</v>
      </c>
      <c r="H24" s="53">
        <f t="shared" si="11"/>
        <v>9.4247999999999994</v>
      </c>
      <c r="I24" s="53">
        <f t="shared" si="12"/>
        <v>0.75</v>
      </c>
      <c r="J24" s="53">
        <f t="shared" si="13"/>
        <v>4.1591525927387432</v>
      </c>
      <c r="K24" s="53">
        <f t="shared" si="14"/>
        <v>3.0867787376557354</v>
      </c>
      <c r="L24" s="53"/>
      <c r="M24" s="58">
        <f t="shared" si="15"/>
        <v>0</v>
      </c>
      <c r="N24" s="58">
        <f t="shared" si="16"/>
        <v>3.0867787376557354</v>
      </c>
      <c r="O24" s="59">
        <f t="shared" si="17"/>
        <v>3.2210842523272061</v>
      </c>
    </row>
    <row r="25" spans="1:15" x14ac:dyDescent="0.2">
      <c r="A25" s="37"/>
      <c r="B25" s="55">
        <v>36</v>
      </c>
      <c r="C25" s="56" t="s">
        <v>45</v>
      </c>
      <c r="D25" s="57">
        <f>'Headloss Calcs'!$A$39</f>
        <v>19</v>
      </c>
      <c r="E25" s="53">
        <f t="shared" si="9"/>
        <v>29.399386017033077</v>
      </c>
      <c r="F25" s="38">
        <f>'Headloss Calcs'!$H$18</f>
        <v>100</v>
      </c>
      <c r="G25" s="53">
        <f t="shared" si="10"/>
        <v>7.0686</v>
      </c>
      <c r="H25" s="53">
        <f t="shared" si="11"/>
        <v>9.4247999999999994</v>
      </c>
      <c r="I25" s="53">
        <f t="shared" si="12"/>
        <v>0.75</v>
      </c>
      <c r="J25" s="53">
        <f t="shared" si="13"/>
        <v>4.1591525927387432</v>
      </c>
      <c r="K25" s="53">
        <f t="shared" si="14"/>
        <v>0</v>
      </c>
      <c r="L25" s="53">
        <v>0.2</v>
      </c>
      <c r="M25" s="58">
        <f t="shared" si="15"/>
        <v>5.3722205868588224E-2</v>
      </c>
      <c r="N25" s="58">
        <f t="shared" si="16"/>
        <v>5.3722205868588224E-2</v>
      </c>
      <c r="O25" s="59">
        <f t="shared" si="17"/>
        <v>3.2748064581957941</v>
      </c>
    </row>
    <row r="26" spans="1:15" x14ac:dyDescent="0.2">
      <c r="A26" s="37">
        <v>1320</v>
      </c>
      <c r="B26" s="55">
        <v>36</v>
      </c>
      <c r="C26" s="69" t="s">
        <v>23</v>
      </c>
      <c r="D26" s="57">
        <f>'Headloss Calcs'!$A$39</f>
        <v>19</v>
      </c>
      <c r="E26" s="53">
        <f t="shared" si="9"/>
        <v>29.399386017033077</v>
      </c>
      <c r="F26" s="38">
        <f>'Headloss Calcs'!$H$18</f>
        <v>100</v>
      </c>
      <c r="G26" s="53">
        <f t="shared" si="10"/>
        <v>7.0686</v>
      </c>
      <c r="H26" s="53">
        <f t="shared" si="11"/>
        <v>9.4247999999999994</v>
      </c>
      <c r="I26" s="53">
        <f t="shared" si="12"/>
        <v>0.75</v>
      </c>
      <c r="J26" s="53">
        <f t="shared" si="13"/>
        <v>4.1591525927387432</v>
      </c>
      <c r="K26" s="53">
        <f t="shared" si="14"/>
        <v>3.0867787376557354</v>
      </c>
      <c r="L26" s="53"/>
      <c r="M26" s="58">
        <f t="shared" si="15"/>
        <v>0</v>
      </c>
      <c r="N26" s="58">
        <f t="shared" si="16"/>
        <v>3.0867787376557354</v>
      </c>
      <c r="O26" s="59">
        <f t="shared" si="17"/>
        <v>6.3615851958515295</v>
      </c>
    </row>
    <row r="27" spans="1:15" x14ac:dyDescent="0.2">
      <c r="A27" s="37"/>
      <c r="B27" s="55">
        <v>36</v>
      </c>
      <c r="C27" s="56" t="s">
        <v>39</v>
      </c>
      <c r="D27" s="57">
        <f>'Headloss Calcs'!$A$39</f>
        <v>19</v>
      </c>
      <c r="E27" s="53">
        <f t="shared" si="9"/>
        <v>29.399386017033077</v>
      </c>
      <c r="F27" s="38">
        <f>'Headloss Calcs'!$H$18</f>
        <v>100</v>
      </c>
      <c r="G27" s="53">
        <f t="shared" si="10"/>
        <v>7.0686</v>
      </c>
      <c r="H27" s="53">
        <f t="shared" si="11"/>
        <v>9.4247999999999994</v>
      </c>
      <c r="I27" s="53">
        <f t="shared" si="12"/>
        <v>0.75</v>
      </c>
      <c r="J27" s="53">
        <f t="shared" si="13"/>
        <v>4.1591525927387432</v>
      </c>
      <c r="K27" s="53">
        <f t="shared" si="14"/>
        <v>0</v>
      </c>
      <c r="L27" s="53">
        <v>0.4</v>
      </c>
      <c r="M27" s="58">
        <f t="shared" si="15"/>
        <v>0.10744441173717645</v>
      </c>
      <c r="N27" s="58">
        <f t="shared" si="16"/>
        <v>0.10744441173717645</v>
      </c>
      <c r="O27" s="59">
        <f t="shared" si="17"/>
        <v>6.4690296075887055</v>
      </c>
    </row>
    <row r="28" spans="1:15" x14ac:dyDescent="0.2">
      <c r="A28" s="37">
        <v>1320</v>
      </c>
      <c r="B28" s="55">
        <v>36</v>
      </c>
      <c r="C28" s="56" t="s">
        <v>23</v>
      </c>
      <c r="D28" s="57">
        <f>'Headloss Calcs'!$A$39</f>
        <v>19</v>
      </c>
      <c r="E28" s="53">
        <f t="shared" si="9"/>
        <v>29.399386017033077</v>
      </c>
      <c r="F28" s="38">
        <f>'Headloss Calcs'!$H$18</f>
        <v>100</v>
      </c>
      <c r="G28" s="53">
        <f t="shared" si="10"/>
        <v>7.0686</v>
      </c>
      <c r="H28" s="53">
        <f t="shared" si="11"/>
        <v>9.4247999999999994</v>
      </c>
      <c r="I28" s="53">
        <f t="shared" si="12"/>
        <v>0.75</v>
      </c>
      <c r="J28" s="53">
        <f t="shared" si="13"/>
        <v>4.1591525927387432</v>
      </c>
      <c r="K28" s="53">
        <f t="shared" si="14"/>
        <v>3.0867787376557354</v>
      </c>
      <c r="L28" s="53"/>
      <c r="M28" s="58">
        <f t="shared" si="15"/>
        <v>0</v>
      </c>
      <c r="N28" s="58">
        <f t="shared" si="16"/>
        <v>3.0867787376557354</v>
      </c>
      <c r="O28" s="59">
        <f t="shared" si="17"/>
        <v>9.55580834524444</v>
      </c>
    </row>
    <row r="29" spans="1:15" x14ac:dyDescent="0.2">
      <c r="A29" s="37"/>
      <c r="B29" s="55">
        <v>36</v>
      </c>
      <c r="C29" s="56" t="s">
        <v>39</v>
      </c>
      <c r="D29" s="57">
        <f>'Headloss Calcs'!$A$39</f>
        <v>19</v>
      </c>
      <c r="E29" s="53">
        <f t="shared" si="9"/>
        <v>29.399386017033077</v>
      </c>
      <c r="F29" s="38">
        <f>'Headloss Calcs'!$H$18</f>
        <v>100</v>
      </c>
      <c r="G29" s="53">
        <f t="shared" si="10"/>
        <v>7.0686</v>
      </c>
      <c r="H29" s="53">
        <f t="shared" si="11"/>
        <v>9.4247999999999994</v>
      </c>
      <c r="I29" s="53">
        <f t="shared" si="12"/>
        <v>0.75</v>
      </c>
      <c r="J29" s="53">
        <f t="shared" si="13"/>
        <v>4.1591525927387432</v>
      </c>
      <c r="K29" s="53">
        <f t="shared" si="14"/>
        <v>0</v>
      </c>
      <c r="L29" s="53">
        <v>0.4</v>
      </c>
      <c r="M29" s="58">
        <f t="shared" si="15"/>
        <v>0.10744441173717645</v>
      </c>
      <c r="N29" s="58">
        <f t="shared" si="16"/>
        <v>0.10744441173717645</v>
      </c>
      <c r="O29" s="59">
        <f t="shared" si="17"/>
        <v>9.6632527569816169</v>
      </c>
    </row>
    <row r="30" spans="1:15" x14ac:dyDescent="0.2">
      <c r="A30" s="37">
        <v>1320</v>
      </c>
      <c r="B30" s="55">
        <v>36</v>
      </c>
      <c r="C30" s="56" t="s">
        <v>23</v>
      </c>
      <c r="D30" s="57">
        <f>'Headloss Calcs'!$A$39</f>
        <v>19</v>
      </c>
      <c r="E30" s="53">
        <f t="shared" si="9"/>
        <v>29.399386017033077</v>
      </c>
      <c r="F30" s="38">
        <f>'Headloss Calcs'!$H$18</f>
        <v>100</v>
      </c>
      <c r="G30" s="53">
        <f t="shared" si="10"/>
        <v>7.0686</v>
      </c>
      <c r="H30" s="53">
        <f t="shared" si="11"/>
        <v>9.4247999999999994</v>
      </c>
      <c r="I30" s="53">
        <f t="shared" si="12"/>
        <v>0.75</v>
      </c>
      <c r="J30" s="53">
        <f t="shared" si="13"/>
        <v>4.1591525927387432</v>
      </c>
      <c r="K30" s="53">
        <f t="shared" si="14"/>
        <v>3.0867787376557354</v>
      </c>
      <c r="L30" s="53"/>
      <c r="M30" s="58">
        <f t="shared" si="15"/>
        <v>0</v>
      </c>
      <c r="N30" s="58">
        <f t="shared" si="16"/>
        <v>3.0867787376557354</v>
      </c>
      <c r="O30" s="59">
        <f t="shared" si="17"/>
        <v>12.750031494637351</v>
      </c>
    </row>
    <row r="31" spans="1:15" x14ac:dyDescent="0.2">
      <c r="A31" s="37"/>
      <c r="B31" s="55">
        <v>36</v>
      </c>
      <c r="C31" s="56" t="s">
        <v>48</v>
      </c>
      <c r="D31" s="57">
        <f>'Headloss Calcs'!$A$39</f>
        <v>19</v>
      </c>
      <c r="E31" s="53">
        <f t="shared" si="9"/>
        <v>29.399386017033077</v>
      </c>
      <c r="F31" s="38">
        <f>'Headloss Calcs'!$H$18</f>
        <v>100</v>
      </c>
      <c r="G31" s="53">
        <f t="shared" si="10"/>
        <v>7.0686</v>
      </c>
      <c r="H31" s="53">
        <f t="shared" si="11"/>
        <v>9.4247999999999994</v>
      </c>
      <c r="I31" s="53">
        <f t="shared" si="12"/>
        <v>0.75</v>
      </c>
      <c r="J31" s="53">
        <f t="shared" si="13"/>
        <v>4.1591525927387432</v>
      </c>
      <c r="K31" s="53">
        <f t="shared" si="14"/>
        <v>0</v>
      </c>
      <c r="L31" s="53">
        <v>0.4</v>
      </c>
      <c r="M31" s="58">
        <f t="shared" si="15"/>
        <v>0.10744441173717645</v>
      </c>
      <c r="N31" s="58">
        <f t="shared" si="16"/>
        <v>0.10744441173717645</v>
      </c>
      <c r="O31" s="59">
        <f t="shared" si="17"/>
        <v>12.857475906374528</v>
      </c>
    </row>
    <row r="32" spans="1:15" x14ac:dyDescent="0.2">
      <c r="A32" s="37">
        <v>1320</v>
      </c>
      <c r="B32" s="55">
        <v>36</v>
      </c>
      <c r="C32" s="56" t="s">
        <v>23</v>
      </c>
      <c r="D32" s="57">
        <f>'Headloss Calcs'!$A$39</f>
        <v>19</v>
      </c>
      <c r="E32" s="53">
        <f t="shared" si="9"/>
        <v>29.399386017033077</v>
      </c>
      <c r="F32" s="38">
        <f>'Headloss Calcs'!$H$18</f>
        <v>100</v>
      </c>
      <c r="G32" s="53">
        <f t="shared" si="10"/>
        <v>7.0686</v>
      </c>
      <c r="H32" s="53">
        <f t="shared" si="11"/>
        <v>9.4247999999999994</v>
      </c>
      <c r="I32" s="53">
        <f t="shared" si="12"/>
        <v>0.75</v>
      </c>
      <c r="J32" s="53">
        <f t="shared" si="13"/>
        <v>4.1591525927387432</v>
      </c>
      <c r="K32" s="53">
        <f t="shared" si="14"/>
        <v>3.0867787376557354</v>
      </c>
      <c r="L32" s="53"/>
      <c r="M32" s="58">
        <f t="shared" si="15"/>
        <v>0</v>
      </c>
      <c r="N32" s="58">
        <f t="shared" si="16"/>
        <v>3.0867787376557354</v>
      </c>
      <c r="O32" s="59">
        <f t="shared" si="17"/>
        <v>15.944254644030263</v>
      </c>
    </row>
    <row r="33" spans="1:15" x14ac:dyDescent="0.2">
      <c r="A33" s="37"/>
      <c r="B33" s="55">
        <v>36</v>
      </c>
      <c r="C33" s="56" t="s">
        <v>39</v>
      </c>
      <c r="D33" s="57">
        <f>'Headloss Calcs'!$A$39</f>
        <v>19</v>
      </c>
      <c r="E33" s="53">
        <f t="shared" si="9"/>
        <v>29.399386017033077</v>
      </c>
      <c r="F33" s="38">
        <f>'Headloss Calcs'!$H$18</f>
        <v>100</v>
      </c>
      <c r="G33" s="53">
        <f t="shared" si="10"/>
        <v>7.0686</v>
      </c>
      <c r="H33" s="53">
        <f t="shared" si="11"/>
        <v>9.4247999999999994</v>
      </c>
      <c r="I33" s="53">
        <f t="shared" si="12"/>
        <v>0.75</v>
      </c>
      <c r="J33" s="53">
        <f t="shared" si="13"/>
        <v>4.1591525927387432</v>
      </c>
      <c r="K33" s="53">
        <f t="shared" si="14"/>
        <v>0</v>
      </c>
      <c r="L33" s="53">
        <v>0.4</v>
      </c>
      <c r="M33" s="58">
        <f t="shared" si="15"/>
        <v>0.10744441173717645</v>
      </c>
      <c r="N33" s="58">
        <f t="shared" si="16"/>
        <v>0.10744441173717645</v>
      </c>
      <c r="O33" s="59">
        <f t="shared" si="17"/>
        <v>16.05169905576744</v>
      </c>
    </row>
    <row r="34" spans="1:15" x14ac:dyDescent="0.2">
      <c r="A34" s="37">
        <v>1320</v>
      </c>
      <c r="B34" s="55">
        <v>36</v>
      </c>
      <c r="C34" s="56" t="s">
        <v>23</v>
      </c>
      <c r="D34" s="57">
        <f>'Headloss Calcs'!$A$39</f>
        <v>19</v>
      </c>
      <c r="E34" s="53">
        <f t="shared" si="9"/>
        <v>29.399386017033077</v>
      </c>
      <c r="F34" s="38">
        <f>'Headloss Calcs'!$H$18</f>
        <v>100</v>
      </c>
      <c r="G34" s="53">
        <f t="shared" si="10"/>
        <v>7.0686</v>
      </c>
      <c r="H34" s="53">
        <f t="shared" si="11"/>
        <v>9.4247999999999994</v>
      </c>
      <c r="I34" s="53">
        <f t="shared" si="12"/>
        <v>0.75</v>
      </c>
      <c r="J34" s="53">
        <f t="shared" si="13"/>
        <v>4.1591525927387432</v>
      </c>
      <c r="K34" s="53">
        <f t="shared" si="14"/>
        <v>3.0867787376557354</v>
      </c>
      <c r="L34" s="53"/>
      <c r="M34" s="58">
        <f t="shared" si="15"/>
        <v>0</v>
      </c>
      <c r="N34" s="58">
        <f t="shared" si="16"/>
        <v>3.0867787376557354</v>
      </c>
      <c r="O34" s="59">
        <f t="shared" si="17"/>
        <v>19.138477793423174</v>
      </c>
    </row>
    <row r="35" spans="1:15" x14ac:dyDescent="0.2">
      <c r="A35" s="37"/>
      <c r="B35" s="55">
        <v>36</v>
      </c>
      <c r="C35" s="56" t="s">
        <v>45</v>
      </c>
      <c r="D35" s="57">
        <f>'Headloss Calcs'!$A$39</f>
        <v>19</v>
      </c>
      <c r="E35" s="53">
        <f t="shared" si="9"/>
        <v>29.399386017033077</v>
      </c>
      <c r="F35" s="38">
        <f>'Headloss Calcs'!$H$18</f>
        <v>100</v>
      </c>
      <c r="G35" s="53">
        <f t="shared" si="10"/>
        <v>7.0686</v>
      </c>
      <c r="H35" s="53">
        <f t="shared" si="11"/>
        <v>9.4247999999999994</v>
      </c>
      <c r="I35" s="53">
        <f t="shared" si="12"/>
        <v>0.75</v>
      </c>
      <c r="J35" s="53">
        <f t="shared" si="13"/>
        <v>4.1591525927387432</v>
      </c>
      <c r="K35" s="53">
        <f t="shared" si="14"/>
        <v>0</v>
      </c>
      <c r="L35" s="53">
        <v>0.2</v>
      </c>
      <c r="M35" s="58">
        <f t="shared" si="15"/>
        <v>5.3722205868588224E-2</v>
      </c>
      <c r="N35" s="58">
        <f t="shared" si="16"/>
        <v>5.3722205868588224E-2</v>
      </c>
      <c r="O35" s="59">
        <f t="shared" si="17"/>
        <v>19.192199999291763</v>
      </c>
    </row>
    <row r="36" spans="1:15" x14ac:dyDescent="0.2">
      <c r="A36" s="37">
        <v>1320</v>
      </c>
      <c r="B36" s="55">
        <v>36</v>
      </c>
      <c r="C36" s="56" t="s">
        <v>23</v>
      </c>
      <c r="D36" s="57">
        <f>'Headloss Calcs'!$A$39</f>
        <v>19</v>
      </c>
      <c r="E36" s="53">
        <f t="shared" si="9"/>
        <v>29.399386017033077</v>
      </c>
      <c r="F36" s="38">
        <f>'Headloss Calcs'!$H$18</f>
        <v>100</v>
      </c>
      <c r="G36" s="53">
        <f t="shared" si="10"/>
        <v>7.0686</v>
      </c>
      <c r="H36" s="53">
        <f t="shared" si="11"/>
        <v>9.4247999999999994</v>
      </c>
      <c r="I36" s="53">
        <f t="shared" si="12"/>
        <v>0.75</v>
      </c>
      <c r="J36" s="53">
        <f t="shared" si="13"/>
        <v>4.1591525927387432</v>
      </c>
      <c r="K36" s="53">
        <f t="shared" si="14"/>
        <v>3.0867787376557354</v>
      </c>
      <c r="L36" s="53"/>
      <c r="M36" s="58">
        <f t="shared" si="15"/>
        <v>0</v>
      </c>
      <c r="N36" s="58">
        <f t="shared" si="16"/>
        <v>3.0867787376557354</v>
      </c>
      <c r="O36" s="59">
        <f t="shared" si="17"/>
        <v>22.278978736947497</v>
      </c>
    </row>
    <row r="37" spans="1:15" ht="12" customHeight="1" x14ac:dyDescent="0.2">
      <c r="A37" s="37"/>
      <c r="B37" s="55">
        <v>36</v>
      </c>
      <c r="C37" s="56" t="s">
        <v>44</v>
      </c>
      <c r="D37" s="57">
        <f>'Headloss Calcs'!$A$39</f>
        <v>19</v>
      </c>
      <c r="E37" s="53">
        <f t="shared" si="9"/>
        <v>29.399386017033077</v>
      </c>
      <c r="F37" s="38">
        <f>'Headloss Calcs'!$H$18</f>
        <v>100</v>
      </c>
      <c r="G37" s="53">
        <f t="shared" si="10"/>
        <v>7.0686</v>
      </c>
      <c r="H37" s="53">
        <f t="shared" si="11"/>
        <v>9.4247999999999994</v>
      </c>
      <c r="I37" s="53">
        <f t="shared" si="12"/>
        <v>0.75</v>
      </c>
      <c r="J37" s="53">
        <f t="shared" si="13"/>
        <v>4.1591525927387432</v>
      </c>
      <c r="K37" s="53">
        <f t="shared" si="14"/>
        <v>0</v>
      </c>
      <c r="L37" s="53">
        <v>1</v>
      </c>
      <c r="M37" s="58">
        <f t="shared" si="15"/>
        <v>0.26861102934294112</v>
      </c>
      <c r="N37" s="58">
        <f t="shared" si="16"/>
        <v>0.26861102934294112</v>
      </c>
      <c r="O37" s="59">
        <f t="shared" si="17"/>
        <v>22.547589766290439</v>
      </c>
    </row>
    <row r="38" spans="1:15" ht="13.5" thickBot="1" x14ac:dyDescent="0.25">
      <c r="A38" s="39"/>
      <c r="B38" s="40"/>
      <c r="C38" s="41"/>
      <c r="D38" s="40"/>
      <c r="E38" s="42"/>
      <c r="F38" s="40"/>
      <c r="G38" s="54"/>
      <c r="H38" s="54"/>
      <c r="I38" s="54"/>
      <c r="J38" s="54"/>
      <c r="K38" s="54"/>
      <c r="L38" s="54"/>
      <c r="M38" s="60"/>
      <c r="N38" s="60" t="s">
        <v>40</v>
      </c>
      <c r="O38" s="61">
        <f>O37</f>
        <v>22.547589766290439</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50"/>
  <sheetViews>
    <sheetView workbookViewId="0">
      <selection activeCell="I52" sqref="I52"/>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Calcs'!$A$40</f>
        <v>20</v>
      </c>
      <c r="E3" s="53">
        <f t="shared" ref="E3:E18" si="0">D3*1000000/(7.48*24*60*60)</f>
        <v>30.946722123192711</v>
      </c>
      <c r="F3" s="38">
        <f>'Headloss Calcs'!$E$18</f>
        <v>140</v>
      </c>
      <c r="G3" s="53">
        <f t="shared" ref="G3:G18" si="1">3.1416/4*(B3/12)^2</f>
        <v>7.0686</v>
      </c>
      <c r="H3" s="53">
        <f t="shared" ref="H3:H18" si="2">3.1416*(B3/12)</f>
        <v>9.4247999999999994</v>
      </c>
      <c r="I3" s="53">
        <f t="shared" ref="I3:I18" si="3">G3/H3</f>
        <v>0.75</v>
      </c>
      <c r="J3" s="53">
        <f t="shared" ref="J3:J18" si="4">E3/G3</f>
        <v>4.3780553607776236</v>
      </c>
      <c r="K3" s="53">
        <f t="shared" ref="K3:K18" si="5">(J3/(1.318*F3*I3^0.63))^1.85*A3</f>
        <v>0</v>
      </c>
      <c r="L3" s="53">
        <v>0.25</v>
      </c>
      <c r="M3" s="58">
        <f t="shared" ref="M3:M18" si="6">L3*(J3^2)/(2*32.2)</f>
        <v>7.4407487352615237E-2</v>
      </c>
      <c r="N3" s="58">
        <f t="shared" ref="N3:N18" si="7">K3+M3</f>
        <v>7.4407487352615237E-2</v>
      </c>
      <c r="O3" s="59">
        <f>N3</f>
        <v>7.4407487352615237E-2</v>
      </c>
    </row>
    <row r="4" spans="1:15" x14ac:dyDescent="0.2">
      <c r="A4" s="37"/>
      <c r="B4" s="55">
        <v>36</v>
      </c>
      <c r="C4" s="56" t="s">
        <v>47</v>
      </c>
      <c r="D4" s="57">
        <f>'Headloss Calcs'!$A$40</f>
        <v>20</v>
      </c>
      <c r="E4" s="53">
        <f t="shared" si="0"/>
        <v>30.946722123192711</v>
      </c>
      <c r="F4" s="38">
        <f>'Headloss Calcs'!$E$18</f>
        <v>140</v>
      </c>
      <c r="G4" s="53">
        <f t="shared" si="1"/>
        <v>7.0686</v>
      </c>
      <c r="H4" s="53">
        <f t="shared" si="2"/>
        <v>9.4247999999999994</v>
      </c>
      <c r="I4" s="53">
        <f t="shared" si="3"/>
        <v>0.75</v>
      </c>
      <c r="J4" s="53">
        <f t="shared" si="4"/>
        <v>4.3780553607776236</v>
      </c>
      <c r="K4" s="53">
        <f t="shared" si="5"/>
        <v>0</v>
      </c>
      <c r="L4" s="53">
        <v>0.25</v>
      </c>
      <c r="M4" s="58">
        <f t="shared" si="6"/>
        <v>7.4407487352615237E-2</v>
      </c>
      <c r="N4" s="58">
        <f t="shared" si="7"/>
        <v>7.4407487352615237E-2</v>
      </c>
      <c r="O4" s="59">
        <f t="shared" ref="O4:O18" si="8">N4+O3</f>
        <v>0.14881497470523047</v>
      </c>
    </row>
    <row r="5" spans="1:15" x14ac:dyDescent="0.2">
      <c r="A5" s="37">
        <v>1320</v>
      </c>
      <c r="B5" s="55">
        <v>36</v>
      </c>
      <c r="C5" s="56" t="s">
        <v>23</v>
      </c>
      <c r="D5" s="57">
        <f>'Headloss Calcs'!$A$40</f>
        <v>20</v>
      </c>
      <c r="E5" s="53">
        <f t="shared" si="0"/>
        <v>30.946722123192711</v>
      </c>
      <c r="F5" s="38">
        <f>'Headloss Calcs'!$E$18</f>
        <v>140</v>
      </c>
      <c r="G5" s="53">
        <f t="shared" si="1"/>
        <v>7.0686</v>
      </c>
      <c r="H5" s="53">
        <f t="shared" si="2"/>
        <v>9.4247999999999994</v>
      </c>
      <c r="I5" s="53">
        <f t="shared" si="3"/>
        <v>0.75</v>
      </c>
      <c r="J5" s="53">
        <f t="shared" si="4"/>
        <v>4.3780553607776236</v>
      </c>
      <c r="K5" s="53">
        <f t="shared" si="5"/>
        <v>1.8212936117505114</v>
      </c>
      <c r="L5" s="53"/>
      <c r="M5" s="58">
        <f t="shared" si="6"/>
        <v>0</v>
      </c>
      <c r="N5" s="58">
        <f t="shared" si="7"/>
        <v>1.8212936117505114</v>
      </c>
      <c r="O5" s="59">
        <f t="shared" si="8"/>
        <v>1.9701085864557419</v>
      </c>
    </row>
    <row r="6" spans="1:15" x14ac:dyDescent="0.2">
      <c r="A6" s="37"/>
      <c r="B6" s="55">
        <v>36</v>
      </c>
      <c r="C6" s="56" t="s">
        <v>45</v>
      </c>
      <c r="D6" s="57">
        <f>'Headloss Calcs'!$A$40</f>
        <v>20</v>
      </c>
      <c r="E6" s="53">
        <f t="shared" si="0"/>
        <v>30.946722123192711</v>
      </c>
      <c r="F6" s="38">
        <f>'Headloss Calcs'!$E$18</f>
        <v>140</v>
      </c>
      <c r="G6" s="53">
        <f t="shared" si="1"/>
        <v>7.0686</v>
      </c>
      <c r="H6" s="53">
        <f t="shared" si="2"/>
        <v>9.4247999999999994</v>
      </c>
      <c r="I6" s="53">
        <f t="shared" si="3"/>
        <v>0.75</v>
      </c>
      <c r="J6" s="53">
        <f t="shared" si="4"/>
        <v>4.3780553607776236</v>
      </c>
      <c r="K6" s="53">
        <f t="shared" si="5"/>
        <v>0</v>
      </c>
      <c r="L6" s="53">
        <v>0.2</v>
      </c>
      <c r="M6" s="58">
        <f t="shared" si="6"/>
        <v>5.9525989882092192E-2</v>
      </c>
      <c r="N6" s="58">
        <f t="shared" si="7"/>
        <v>5.9525989882092192E-2</v>
      </c>
      <c r="O6" s="59">
        <f t="shared" si="8"/>
        <v>2.0296345763378341</v>
      </c>
    </row>
    <row r="7" spans="1:15" x14ac:dyDescent="0.2">
      <c r="A7" s="37">
        <v>1320</v>
      </c>
      <c r="B7" s="55">
        <v>36</v>
      </c>
      <c r="C7" s="69" t="s">
        <v>23</v>
      </c>
      <c r="D7" s="57">
        <f>'Headloss Calcs'!$A$40</f>
        <v>20</v>
      </c>
      <c r="E7" s="53">
        <f t="shared" si="0"/>
        <v>30.946722123192711</v>
      </c>
      <c r="F7" s="38">
        <f>'Headloss Calcs'!$E$18</f>
        <v>140</v>
      </c>
      <c r="G7" s="53">
        <f t="shared" si="1"/>
        <v>7.0686</v>
      </c>
      <c r="H7" s="53">
        <f t="shared" si="2"/>
        <v>9.4247999999999994</v>
      </c>
      <c r="I7" s="53">
        <f t="shared" si="3"/>
        <v>0.75</v>
      </c>
      <c r="J7" s="53">
        <f t="shared" si="4"/>
        <v>4.3780553607776236</v>
      </c>
      <c r="K7" s="53">
        <f t="shared" si="5"/>
        <v>1.8212936117505114</v>
      </c>
      <c r="L7" s="53"/>
      <c r="M7" s="58">
        <f t="shared" si="6"/>
        <v>0</v>
      </c>
      <c r="N7" s="58">
        <f t="shared" si="7"/>
        <v>1.8212936117505114</v>
      </c>
      <c r="O7" s="59">
        <f t="shared" si="8"/>
        <v>3.8509281880883455</v>
      </c>
    </row>
    <row r="8" spans="1:15" x14ac:dyDescent="0.2">
      <c r="A8" s="37"/>
      <c r="B8" s="55">
        <v>36</v>
      </c>
      <c r="C8" s="56" t="s">
        <v>39</v>
      </c>
      <c r="D8" s="57">
        <f>'Headloss Calcs'!$A$40</f>
        <v>20</v>
      </c>
      <c r="E8" s="53">
        <f t="shared" si="0"/>
        <v>30.946722123192711</v>
      </c>
      <c r="F8" s="38">
        <f>'Headloss Calcs'!$E$18</f>
        <v>140</v>
      </c>
      <c r="G8" s="53">
        <f t="shared" si="1"/>
        <v>7.0686</v>
      </c>
      <c r="H8" s="53">
        <f t="shared" si="2"/>
        <v>9.4247999999999994</v>
      </c>
      <c r="I8" s="53">
        <f t="shared" si="3"/>
        <v>0.75</v>
      </c>
      <c r="J8" s="53">
        <f t="shared" si="4"/>
        <v>4.3780553607776236</v>
      </c>
      <c r="K8" s="53">
        <f t="shared" si="5"/>
        <v>0</v>
      </c>
      <c r="L8" s="53">
        <v>0.4</v>
      </c>
      <c r="M8" s="58">
        <f t="shared" si="6"/>
        <v>0.11905197976418438</v>
      </c>
      <c r="N8" s="58">
        <f t="shared" si="7"/>
        <v>0.11905197976418438</v>
      </c>
      <c r="O8" s="59">
        <f t="shared" si="8"/>
        <v>3.9699801678525297</v>
      </c>
    </row>
    <row r="9" spans="1:15" x14ac:dyDescent="0.2">
      <c r="A9" s="37">
        <v>1320</v>
      </c>
      <c r="B9" s="55">
        <v>36</v>
      </c>
      <c r="C9" s="56" t="s">
        <v>23</v>
      </c>
      <c r="D9" s="57">
        <f>'Headloss Calcs'!$A$40</f>
        <v>20</v>
      </c>
      <c r="E9" s="53">
        <f t="shared" si="0"/>
        <v>30.946722123192711</v>
      </c>
      <c r="F9" s="38">
        <f>'Headloss Calcs'!$E$18</f>
        <v>140</v>
      </c>
      <c r="G9" s="53">
        <f t="shared" si="1"/>
        <v>7.0686</v>
      </c>
      <c r="H9" s="53">
        <f t="shared" si="2"/>
        <v>9.4247999999999994</v>
      </c>
      <c r="I9" s="53">
        <f t="shared" si="3"/>
        <v>0.75</v>
      </c>
      <c r="J9" s="53">
        <f t="shared" si="4"/>
        <v>4.3780553607776236</v>
      </c>
      <c r="K9" s="53">
        <f t="shared" si="5"/>
        <v>1.8212936117505114</v>
      </c>
      <c r="L9" s="53"/>
      <c r="M9" s="58">
        <f t="shared" si="6"/>
        <v>0</v>
      </c>
      <c r="N9" s="58">
        <f t="shared" si="7"/>
        <v>1.8212936117505114</v>
      </c>
      <c r="O9" s="59">
        <f t="shared" si="8"/>
        <v>5.7912737796030411</v>
      </c>
    </row>
    <row r="10" spans="1:15" x14ac:dyDescent="0.2">
      <c r="A10" s="37"/>
      <c r="B10" s="55">
        <v>36</v>
      </c>
      <c r="C10" s="56" t="s">
        <v>39</v>
      </c>
      <c r="D10" s="57">
        <f>'Headloss Calcs'!$A$40</f>
        <v>20</v>
      </c>
      <c r="E10" s="53">
        <f t="shared" si="0"/>
        <v>30.946722123192711</v>
      </c>
      <c r="F10" s="38">
        <f>'Headloss Calcs'!$E$18</f>
        <v>140</v>
      </c>
      <c r="G10" s="53">
        <f t="shared" si="1"/>
        <v>7.0686</v>
      </c>
      <c r="H10" s="53">
        <f t="shared" si="2"/>
        <v>9.4247999999999994</v>
      </c>
      <c r="I10" s="53">
        <f t="shared" si="3"/>
        <v>0.75</v>
      </c>
      <c r="J10" s="53">
        <f t="shared" si="4"/>
        <v>4.3780553607776236</v>
      </c>
      <c r="K10" s="53">
        <f t="shared" si="5"/>
        <v>0</v>
      </c>
      <c r="L10" s="53">
        <v>0.4</v>
      </c>
      <c r="M10" s="58">
        <f t="shared" si="6"/>
        <v>0.11905197976418438</v>
      </c>
      <c r="N10" s="58">
        <f t="shared" si="7"/>
        <v>0.11905197976418438</v>
      </c>
      <c r="O10" s="59">
        <f t="shared" si="8"/>
        <v>5.9103257593672254</v>
      </c>
    </row>
    <row r="11" spans="1:15" x14ac:dyDescent="0.2">
      <c r="A11" s="37">
        <v>1320</v>
      </c>
      <c r="B11" s="55">
        <v>36</v>
      </c>
      <c r="C11" s="56" t="s">
        <v>23</v>
      </c>
      <c r="D11" s="57">
        <f>'Headloss Calcs'!$A$40</f>
        <v>20</v>
      </c>
      <c r="E11" s="53">
        <f t="shared" si="0"/>
        <v>30.946722123192711</v>
      </c>
      <c r="F11" s="38">
        <f>'Headloss Calcs'!$E$18</f>
        <v>140</v>
      </c>
      <c r="G11" s="53">
        <f t="shared" si="1"/>
        <v>7.0686</v>
      </c>
      <c r="H11" s="53">
        <f t="shared" si="2"/>
        <v>9.4247999999999994</v>
      </c>
      <c r="I11" s="53">
        <f t="shared" si="3"/>
        <v>0.75</v>
      </c>
      <c r="J11" s="53">
        <f t="shared" si="4"/>
        <v>4.3780553607776236</v>
      </c>
      <c r="K11" s="53">
        <f t="shared" si="5"/>
        <v>1.8212936117505114</v>
      </c>
      <c r="L11" s="53"/>
      <c r="M11" s="58">
        <f t="shared" si="6"/>
        <v>0</v>
      </c>
      <c r="N11" s="58">
        <f t="shared" si="7"/>
        <v>1.8212936117505114</v>
      </c>
      <c r="O11" s="59">
        <f t="shared" si="8"/>
        <v>7.7316193711177368</v>
      </c>
    </row>
    <row r="12" spans="1:15" x14ac:dyDescent="0.2">
      <c r="A12" s="37"/>
      <c r="B12" s="55">
        <v>36</v>
      </c>
      <c r="C12" s="56" t="s">
        <v>48</v>
      </c>
      <c r="D12" s="57">
        <f>'Headloss Calcs'!$A$40</f>
        <v>20</v>
      </c>
      <c r="E12" s="53">
        <f t="shared" si="0"/>
        <v>30.946722123192711</v>
      </c>
      <c r="F12" s="38">
        <f>'Headloss Calcs'!$E$18</f>
        <v>140</v>
      </c>
      <c r="G12" s="53">
        <f t="shared" si="1"/>
        <v>7.0686</v>
      </c>
      <c r="H12" s="53">
        <f t="shared" si="2"/>
        <v>9.4247999999999994</v>
      </c>
      <c r="I12" s="53">
        <f t="shared" si="3"/>
        <v>0.75</v>
      </c>
      <c r="J12" s="53">
        <f t="shared" si="4"/>
        <v>4.3780553607776236</v>
      </c>
      <c r="K12" s="53">
        <f t="shared" si="5"/>
        <v>0</v>
      </c>
      <c r="L12" s="53">
        <v>0.4</v>
      </c>
      <c r="M12" s="58">
        <f t="shared" si="6"/>
        <v>0.11905197976418438</v>
      </c>
      <c r="N12" s="58">
        <f t="shared" si="7"/>
        <v>0.11905197976418438</v>
      </c>
      <c r="O12" s="59">
        <f t="shared" si="8"/>
        <v>7.850671350881921</v>
      </c>
    </row>
    <row r="13" spans="1:15" x14ac:dyDescent="0.2">
      <c r="A13" s="37">
        <v>1320</v>
      </c>
      <c r="B13" s="55">
        <v>36</v>
      </c>
      <c r="C13" s="56" t="s">
        <v>23</v>
      </c>
      <c r="D13" s="57">
        <f>'Headloss Calcs'!$A$40</f>
        <v>20</v>
      </c>
      <c r="E13" s="53">
        <f t="shared" si="0"/>
        <v>30.946722123192711</v>
      </c>
      <c r="F13" s="38">
        <f>'Headloss Calcs'!$E$18</f>
        <v>140</v>
      </c>
      <c r="G13" s="53">
        <f t="shared" si="1"/>
        <v>7.0686</v>
      </c>
      <c r="H13" s="53">
        <f t="shared" si="2"/>
        <v>9.4247999999999994</v>
      </c>
      <c r="I13" s="53">
        <f t="shared" si="3"/>
        <v>0.75</v>
      </c>
      <c r="J13" s="53">
        <f t="shared" si="4"/>
        <v>4.3780553607776236</v>
      </c>
      <c r="K13" s="53">
        <f t="shared" si="5"/>
        <v>1.8212936117505114</v>
      </c>
      <c r="L13" s="53"/>
      <c r="M13" s="58">
        <f t="shared" si="6"/>
        <v>0</v>
      </c>
      <c r="N13" s="58">
        <f t="shared" si="7"/>
        <v>1.8212936117505114</v>
      </c>
      <c r="O13" s="59">
        <f t="shared" si="8"/>
        <v>9.6719649626324333</v>
      </c>
    </row>
    <row r="14" spans="1:15" x14ac:dyDescent="0.2">
      <c r="A14" s="37"/>
      <c r="B14" s="55">
        <v>36</v>
      </c>
      <c r="C14" s="56" t="s">
        <v>39</v>
      </c>
      <c r="D14" s="57">
        <f>'Headloss Calcs'!$A$40</f>
        <v>20</v>
      </c>
      <c r="E14" s="53">
        <f t="shared" si="0"/>
        <v>30.946722123192711</v>
      </c>
      <c r="F14" s="38">
        <f>'Headloss Calcs'!$E$18</f>
        <v>140</v>
      </c>
      <c r="G14" s="53">
        <f t="shared" si="1"/>
        <v>7.0686</v>
      </c>
      <c r="H14" s="53">
        <f t="shared" si="2"/>
        <v>9.4247999999999994</v>
      </c>
      <c r="I14" s="53">
        <f t="shared" si="3"/>
        <v>0.75</v>
      </c>
      <c r="J14" s="53">
        <f t="shared" si="4"/>
        <v>4.3780553607776236</v>
      </c>
      <c r="K14" s="53">
        <f t="shared" si="5"/>
        <v>0</v>
      </c>
      <c r="L14" s="53">
        <v>0.4</v>
      </c>
      <c r="M14" s="58">
        <f t="shared" si="6"/>
        <v>0.11905197976418438</v>
      </c>
      <c r="N14" s="58">
        <f t="shared" si="7"/>
        <v>0.11905197976418438</v>
      </c>
      <c r="O14" s="59">
        <f t="shared" si="8"/>
        <v>9.7910169423966185</v>
      </c>
    </row>
    <row r="15" spans="1:15" x14ac:dyDescent="0.2">
      <c r="A15" s="37">
        <v>1320</v>
      </c>
      <c r="B15" s="55">
        <v>36</v>
      </c>
      <c r="C15" s="56" t="s">
        <v>23</v>
      </c>
      <c r="D15" s="57">
        <f>'Headloss Calcs'!$A$40</f>
        <v>20</v>
      </c>
      <c r="E15" s="53">
        <f t="shared" si="0"/>
        <v>30.946722123192711</v>
      </c>
      <c r="F15" s="38">
        <f>'Headloss Calcs'!$E$18</f>
        <v>140</v>
      </c>
      <c r="G15" s="53">
        <f t="shared" si="1"/>
        <v>7.0686</v>
      </c>
      <c r="H15" s="53">
        <f t="shared" si="2"/>
        <v>9.4247999999999994</v>
      </c>
      <c r="I15" s="53">
        <f t="shared" si="3"/>
        <v>0.75</v>
      </c>
      <c r="J15" s="53">
        <f t="shared" si="4"/>
        <v>4.3780553607776236</v>
      </c>
      <c r="K15" s="53">
        <f t="shared" si="5"/>
        <v>1.8212936117505114</v>
      </c>
      <c r="L15" s="53"/>
      <c r="M15" s="58">
        <f t="shared" si="6"/>
        <v>0</v>
      </c>
      <c r="N15" s="58">
        <f t="shared" si="7"/>
        <v>1.8212936117505114</v>
      </c>
      <c r="O15" s="59">
        <f t="shared" si="8"/>
        <v>11.612310554147129</v>
      </c>
    </row>
    <row r="16" spans="1:15" x14ac:dyDescent="0.2">
      <c r="A16" s="37"/>
      <c r="B16" s="55">
        <v>36</v>
      </c>
      <c r="C16" s="56" t="s">
        <v>45</v>
      </c>
      <c r="D16" s="57">
        <f>'Headloss Calcs'!$A$40</f>
        <v>20</v>
      </c>
      <c r="E16" s="53">
        <f t="shared" si="0"/>
        <v>30.946722123192711</v>
      </c>
      <c r="F16" s="38">
        <f>'Headloss Calcs'!$E$18</f>
        <v>140</v>
      </c>
      <c r="G16" s="53">
        <f t="shared" si="1"/>
        <v>7.0686</v>
      </c>
      <c r="H16" s="53">
        <f t="shared" si="2"/>
        <v>9.4247999999999994</v>
      </c>
      <c r="I16" s="53">
        <f t="shared" si="3"/>
        <v>0.75</v>
      </c>
      <c r="J16" s="53">
        <f t="shared" si="4"/>
        <v>4.3780553607776236</v>
      </c>
      <c r="K16" s="53">
        <f t="shared" si="5"/>
        <v>0</v>
      </c>
      <c r="L16" s="53">
        <v>0.2</v>
      </c>
      <c r="M16" s="58">
        <f t="shared" si="6"/>
        <v>5.9525989882092192E-2</v>
      </c>
      <c r="N16" s="58">
        <f t="shared" si="7"/>
        <v>5.9525989882092192E-2</v>
      </c>
      <c r="O16" s="59">
        <f t="shared" si="8"/>
        <v>11.671836544029221</v>
      </c>
    </row>
    <row r="17" spans="1:15" x14ac:dyDescent="0.2">
      <c r="A17" s="37">
        <v>1320</v>
      </c>
      <c r="B17" s="55">
        <v>36</v>
      </c>
      <c r="C17" s="56" t="s">
        <v>23</v>
      </c>
      <c r="D17" s="57">
        <f>'Headloss Calcs'!$A$40</f>
        <v>20</v>
      </c>
      <c r="E17" s="53">
        <f t="shared" si="0"/>
        <v>30.946722123192711</v>
      </c>
      <c r="F17" s="38">
        <f>'Headloss Calcs'!$E$18</f>
        <v>140</v>
      </c>
      <c r="G17" s="53">
        <f t="shared" si="1"/>
        <v>7.0686</v>
      </c>
      <c r="H17" s="53">
        <f t="shared" si="2"/>
        <v>9.4247999999999994</v>
      </c>
      <c r="I17" s="53">
        <f t="shared" si="3"/>
        <v>0.75</v>
      </c>
      <c r="J17" s="53">
        <f t="shared" si="4"/>
        <v>4.3780553607776236</v>
      </c>
      <c r="K17" s="53">
        <f t="shared" si="5"/>
        <v>1.8212936117505114</v>
      </c>
      <c r="L17" s="53"/>
      <c r="M17" s="58">
        <f t="shared" si="6"/>
        <v>0</v>
      </c>
      <c r="N17" s="58">
        <f t="shared" si="7"/>
        <v>1.8212936117505114</v>
      </c>
      <c r="O17" s="59">
        <f t="shared" si="8"/>
        <v>13.493130155779731</v>
      </c>
    </row>
    <row r="18" spans="1:15" ht="12" customHeight="1" x14ac:dyDescent="0.2">
      <c r="A18" s="37"/>
      <c r="B18" s="55">
        <v>36</v>
      </c>
      <c r="C18" s="56" t="s">
        <v>44</v>
      </c>
      <c r="D18" s="57">
        <f>'Headloss Calcs'!$A$40</f>
        <v>20</v>
      </c>
      <c r="E18" s="53">
        <f t="shared" si="0"/>
        <v>30.946722123192711</v>
      </c>
      <c r="F18" s="38">
        <f>'Headloss Calcs'!$E$18</f>
        <v>140</v>
      </c>
      <c r="G18" s="53">
        <f t="shared" si="1"/>
        <v>7.0686</v>
      </c>
      <c r="H18" s="53">
        <f t="shared" si="2"/>
        <v>9.4247999999999994</v>
      </c>
      <c r="I18" s="53">
        <f t="shared" si="3"/>
        <v>0.75</v>
      </c>
      <c r="J18" s="53">
        <f t="shared" si="4"/>
        <v>4.3780553607776236</v>
      </c>
      <c r="K18" s="53">
        <f t="shared" si="5"/>
        <v>0</v>
      </c>
      <c r="L18" s="53">
        <v>1</v>
      </c>
      <c r="M18" s="58">
        <f t="shared" si="6"/>
        <v>0.29762994941046095</v>
      </c>
      <c r="N18" s="58">
        <f t="shared" si="7"/>
        <v>0.29762994941046095</v>
      </c>
      <c r="O18" s="59">
        <f t="shared" si="8"/>
        <v>13.790760105190191</v>
      </c>
    </row>
    <row r="19" spans="1:15" ht="13.5" thickBot="1" x14ac:dyDescent="0.25">
      <c r="A19" s="39"/>
      <c r="B19" s="40"/>
      <c r="C19" s="41"/>
      <c r="D19" s="40"/>
      <c r="E19" s="42"/>
      <c r="F19" s="40"/>
      <c r="G19" s="54"/>
      <c r="H19" s="54"/>
      <c r="I19" s="54"/>
      <c r="J19" s="54"/>
      <c r="K19" s="54"/>
      <c r="L19" s="54"/>
      <c r="M19" s="60"/>
      <c r="N19" s="60" t="s">
        <v>40</v>
      </c>
      <c r="O19" s="61">
        <f>O18</f>
        <v>13.790760105190191</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Calcs'!$A$40</f>
        <v>20</v>
      </c>
      <c r="E22" s="53">
        <f t="shared" ref="E22:E37" si="9">D22*1000000/(7.48*24*60*60)</f>
        <v>30.946722123192711</v>
      </c>
      <c r="F22" s="38">
        <f>'Headloss Calcs'!$H$18</f>
        <v>100</v>
      </c>
      <c r="G22" s="53">
        <f t="shared" ref="G22:G37" si="10">3.1416/4*(B22/12)^2</f>
        <v>7.0686</v>
      </c>
      <c r="H22" s="53">
        <f t="shared" ref="H22:H37" si="11">3.1416*(B22/12)</f>
        <v>9.4247999999999994</v>
      </c>
      <c r="I22" s="53">
        <f t="shared" ref="I22:I37" si="12">G22/H22</f>
        <v>0.75</v>
      </c>
      <c r="J22" s="53">
        <f t="shared" ref="J22:J37" si="13">E22/G22</f>
        <v>4.3780553607776236</v>
      </c>
      <c r="K22" s="53">
        <f t="shared" ref="K22:K37" si="14">(J22/(1.318*F22*I22^0.63))^1.85*A22</f>
        <v>0</v>
      </c>
      <c r="L22" s="53">
        <v>0.25</v>
      </c>
      <c r="M22" s="58">
        <f t="shared" ref="M22:M37" si="15">L22*(J22^2)/(2*32.2)</f>
        <v>7.4407487352615237E-2</v>
      </c>
      <c r="N22" s="58">
        <f t="shared" ref="N22:N37" si="16">K22+M22</f>
        <v>7.4407487352615237E-2</v>
      </c>
      <c r="O22" s="59">
        <f>N22</f>
        <v>7.4407487352615237E-2</v>
      </c>
    </row>
    <row r="23" spans="1:15" x14ac:dyDescent="0.2">
      <c r="A23" s="37"/>
      <c r="B23" s="55">
        <v>36</v>
      </c>
      <c r="C23" s="56" t="s">
        <v>47</v>
      </c>
      <c r="D23" s="57">
        <f>'Headloss Calcs'!$A$40</f>
        <v>20</v>
      </c>
      <c r="E23" s="53">
        <f t="shared" si="9"/>
        <v>30.946722123192711</v>
      </c>
      <c r="F23" s="38">
        <f>'Headloss Calcs'!$H$18</f>
        <v>100</v>
      </c>
      <c r="G23" s="53">
        <f t="shared" si="10"/>
        <v>7.0686</v>
      </c>
      <c r="H23" s="53">
        <f t="shared" si="11"/>
        <v>9.4247999999999994</v>
      </c>
      <c r="I23" s="53">
        <f t="shared" si="12"/>
        <v>0.75</v>
      </c>
      <c r="J23" s="53">
        <f t="shared" si="13"/>
        <v>4.3780553607776236</v>
      </c>
      <c r="K23" s="53">
        <f t="shared" si="14"/>
        <v>0</v>
      </c>
      <c r="L23" s="53">
        <v>0.25</v>
      </c>
      <c r="M23" s="58">
        <f t="shared" si="15"/>
        <v>7.4407487352615237E-2</v>
      </c>
      <c r="N23" s="58">
        <f t="shared" si="16"/>
        <v>7.4407487352615237E-2</v>
      </c>
      <c r="O23" s="59">
        <f t="shared" ref="O23:O37" si="17">N23+O22</f>
        <v>0.14881497470523047</v>
      </c>
    </row>
    <row r="24" spans="1:15" x14ac:dyDescent="0.2">
      <c r="A24" s="37">
        <v>1320</v>
      </c>
      <c r="B24" s="55">
        <v>36</v>
      </c>
      <c r="C24" s="56" t="s">
        <v>23</v>
      </c>
      <c r="D24" s="57">
        <f>'Headloss Calcs'!$A$40</f>
        <v>20</v>
      </c>
      <c r="E24" s="53">
        <f t="shared" si="9"/>
        <v>30.946722123192711</v>
      </c>
      <c r="F24" s="38">
        <f>'Headloss Calcs'!$H$18</f>
        <v>100</v>
      </c>
      <c r="G24" s="53">
        <f t="shared" si="10"/>
        <v>7.0686</v>
      </c>
      <c r="H24" s="53">
        <f t="shared" si="11"/>
        <v>9.4247999999999994</v>
      </c>
      <c r="I24" s="53">
        <f t="shared" si="12"/>
        <v>0.75</v>
      </c>
      <c r="J24" s="53">
        <f t="shared" si="13"/>
        <v>4.3780553607776236</v>
      </c>
      <c r="K24" s="53">
        <f t="shared" si="14"/>
        <v>3.3940390150402941</v>
      </c>
      <c r="L24" s="53"/>
      <c r="M24" s="58">
        <f t="shared" si="15"/>
        <v>0</v>
      </c>
      <c r="N24" s="58">
        <f t="shared" si="16"/>
        <v>3.3940390150402941</v>
      </c>
      <c r="O24" s="59">
        <f t="shared" si="17"/>
        <v>3.5428539897455247</v>
      </c>
    </row>
    <row r="25" spans="1:15" x14ac:dyDescent="0.2">
      <c r="A25" s="37"/>
      <c r="B25" s="55">
        <v>36</v>
      </c>
      <c r="C25" s="56" t="s">
        <v>45</v>
      </c>
      <c r="D25" s="57">
        <f>'Headloss Calcs'!$A$40</f>
        <v>20</v>
      </c>
      <c r="E25" s="53">
        <f t="shared" si="9"/>
        <v>30.946722123192711</v>
      </c>
      <c r="F25" s="38">
        <f>'Headloss Calcs'!$H$18</f>
        <v>100</v>
      </c>
      <c r="G25" s="53">
        <f t="shared" si="10"/>
        <v>7.0686</v>
      </c>
      <c r="H25" s="53">
        <f t="shared" si="11"/>
        <v>9.4247999999999994</v>
      </c>
      <c r="I25" s="53">
        <f t="shared" si="12"/>
        <v>0.75</v>
      </c>
      <c r="J25" s="53">
        <f t="shared" si="13"/>
        <v>4.3780553607776236</v>
      </c>
      <c r="K25" s="53">
        <f t="shared" si="14"/>
        <v>0</v>
      </c>
      <c r="L25" s="53">
        <v>0.2</v>
      </c>
      <c r="M25" s="58">
        <f t="shared" si="15"/>
        <v>5.9525989882092192E-2</v>
      </c>
      <c r="N25" s="58">
        <f t="shared" si="16"/>
        <v>5.9525989882092192E-2</v>
      </c>
      <c r="O25" s="59">
        <f t="shared" si="17"/>
        <v>3.6023799796276168</v>
      </c>
    </row>
    <row r="26" spans="1:15" x14ac:dyDescent="0.2">
      <c r="A26" s="37">
        <v>1320</v>
      </c>
      <c r="B26" s="55">
        <v>36</v>
      </c>
      <c r="C26" s="69" t="s">
        <v>23</v>
      </c>
      <c r="D26" s="57">
        <f>'Headloss Calcs'!$A$40</f>
        <v>20</v>
      </c>
      <c r="E26" s="53">
        <f t="shared" si="9"/>
        <v>30.946722123192711</v>
      </c>
      <c r="F26" s="38">
        <f>'Headloss Calcs'!$H$18</f>
        <v>100</v>
      </c>
      <c r="G26" s="53">
        <f t="shared" si="10"/>
        <v>7.0686</v>
      </c>
      <c r="H26" s="53">
        <f t="shared" si="11"/>
        <v>9.4247999999999994</v>
      </c>
      <c r="I26" s="53">
        <f t="shared" si="12"/>
        <v>0.75</v>
      </c>
      <c r="J26" s="53">
        <f t="shared" si="13"/>
        <v>4.3780553607776236</v>
      </c>
      <c r="K26" s="53">
        <f t="shared" si="14"/>
        <v>3.3940390150402941</v>
      </c>
      <c r="L26" s="53"/>
      <c r="M26" s="58">
        <f t="shared" si="15"/>
        <v>0</v>
      </c>
      <c r="N26" s="58">
        <f t="shared" si="16"/>
        <v>3.3940390150402941</v>
      </c>
      <c r="O26" s="59">
        <f t="shared" si="17"/>
        <v>6.996418994667911</v>
      </c>
    </row>
    <row r="27" spans="1:15" x14ac:dyDescent="0.2">
      <c r="A27" s="37"/>
      <c r="B27" s="55">
        <v>36</v>
      </c>
      <c r="C27" s="56" t="s">
        <v>39</v>
      </c>
      <c r="D27" s="57">
        <f>'Headloss Calcs'!$A$40</f>
        <v>20</v>
      </c>
      <c r="E27" s="53">
        <f t="shared" si="9"/>
        <v>30.946722123192711</v>
      </c>
      <c r="F27" s="38">
        <f>'Headloss Calcs'!$H$18</f>
        <v>100</v>
      </c>
      <c r="G27" s="53">
        <f t="shared" si="10"/>
        <v>7.0686</v>
      </c>
      <c r="H27" s="53">
        <f t="shared" si="11"/>
        <v>9.4247999999999994</v>
      </c>
      <c r="I27" s="53">
        <f t="shared" si="12"/>
        <v>0.75</v>
      </c>
      <c r="J27" s="53">
        <f t="shared" si="13"/>
        <v>4.3780553607776236</v>
      </c>
      <c r="K27" s="53">
        <f t="shared" si="14"/>
        <v>0</v>
      </c>
      <c r="L27" s="53">
        <v>0.4</v>
      </c>
      <c r="M27" s="58">
        <f t="shared" si="15"/>
        <v>0.11905197976418438</v>
      </c>
      <c r="N27" s="58">
        <f t="shared" si="16"/>
        <v>0.11905197976418438</v>
      </c>
      <c r="O27" s="59">
        <f t="shared" si="17"/>
        <v>7.1154709744320952</v>
      </c>
    </row>
    <row r="28" spans="1:15" x14ac:dyDescent="0.2">
      <c r="A28" s="37">
        <v>1320</v>
      </c>
      <c r="B28" s="55">
        <v>36</v>
      </c>
      <c r="C28" s="56" t="s">
        <v>23</v>
      </c>
      <c r="D28" s="57">
        <f>'Headloss Calcs'!$A$40</f>
        <v>20</v>
      </c>
      <c r="E28" s="53">
        <f t="shared" si="9"/>
        <v>30.946722123192711</v>
      </c>
      <c r="F28" s="38">
        <f>'Headloss Calcs'!$H$18</f>
        <v>100</v>
      </c>
      <c r="G28" s="53">
        <f t="shared" si="10"/>
        <v>7.0686</v>
      </c>
      <c r="H28" s="53">
        <f t="shared" si="11"/>
        <v>9.4247999999999994</v>
      </c>
      <c r="I28" s="53">
        <f t="shared" si="12"/>
        <v>0.75</v>
      </c>
      <c r="J28" s="53">
        <f t="shared" si="13"/>
        <v>4.3780553607776236</v>
      </c>
      <c r="K28" s="53">
        <f t="shared" si="14"/>
        <v>3.3940390150402941</v>
      </c>
      <c r="L28" s="53"/>
      <c r="M28" s="58">
        <f t="shared" si="15"/>
        <v>0</v>
      </c>
      <c r="N28" s="58">
        <f t="shared" si="16"/>
        <v>3.3940390150402941</v>
      </c>
      <c r="O28" s="59">
        <f t="shared" si="17"/>
        <v>10.50950998947239</v>
      </c>
    </row>
    <row r="29" spans="1:15" x14ac:dyDescent="0.2">
      <c r="A29" s="37"/>
      <c r="B29" s="55">
        <v>36</v>
      </c>
      <c r="C29" s="56" t="s">
        <v>39</v>
      </c>
      <c r="D29" s="57">
        <f>'Headloss Calcs'!$A$40</f>
        <v>20</v>
      </c>
      <c r="E29" s="53">
        <f t="shared" si="9"/>
        <v>30.946722123192711</v>
      </c>
      <c r="F29" s="38">
        <f>'Headloss Calcs'!$H$18</f>
        <v>100</v>
      </c>
      <c r="G29" s="53">
        <f t="shared" si="10"/>
        <v>7.0686</v>
      </c>
      <c r="H29" s="53">
        <f t="shared" si="11"/>
        <v>9.4247999999999994</v>
      </c>
      <c r="I29" s="53">
        <f t="shared" si="12"/>
        <v>0.75</v>
      </c>
      <c r="J29" s="53">
        <f t="shared" si="13"/>
        <v>4.3780553607776236</v>
      </c>
      <c r="K29" s="53">
        <f t="shared" si="14"/>
        <v>0</v>
      </c>
      <c r="L29" s="53">
        <v>0.4</v>
      </c>
      <c r="M29" s="58">
        <f t="shared" si="15"/>
        <v>0.11905197976418438</v>
      </c>
      <c r="N29" s="58">
        <f t="shared" si="16"/>
        <v>0.11905197976418438</v>
      </c>
      <c r="O29" s="59">
        <f t="shared" si="17"/>
        <v>10.628561969236575</v>
      </c>
    </row>
    <row r="30" spans="1:15" x14ac:dyDescent="0.2">
      <c r="A30" s="37">
        <v>1320</v>
      </c>
      <c r="B30" s="55">
        <v>36</v>
      </c>
      <c r="C30" s="56" t="s">
        <v>23</v>
      </c>
      <c r="D30" s="57">
        <f>'Headloss Calcs'!$A$40</f>
        <v>20</v>
      </c>
      <c r="E30" s="53">
        <f t="shared" si="9"/>
        <v>30.946722123192711</v>
      </c>
      <c r="F30" s="38">
        <f>'Headloss Calcs'!$H$18</f>
        <v>100</v>
      </c>
      <c r="G30" s="53">
        <f t="shared" si="10"/>
        <v>7.0686</v>
      </c>
      <c r="H30" s="53">
        <f t="shared" si="11"/>
        <v>9.4247999999999994</v>
      </c>
      <c r="I30" s="53">
        <f t="shared" si="12"/>
        <v>0.75</v>
      </c>
      <c r="J30" s="53">
        <f t="shared" si="13"/>
        <v>4.3780553607776236</v>
      </c>
      <c r="K30" s="53">
        <f t="shared" si="14"/>
        <v>3.3940390150402941</v>
      </c>
      <c r="L30" s="53"/>
      <c r="M30" s="58">
        <f t="shared" si="15"/>
        <v>0</v>
      </c>
      <c r="N30" s="58">
        <f t="shared" si="16"/>
        <v>3.3940390150402941</v>
      </c>
      <c r="O30" s="59">
        <f t="shared" si="17"/>
        <v>14.022600984276869</v>
      </c>
    </row>
    <row r="31" spans="1:15" x14ac:dyDescent="0.2">
      <c r="A31" s="37"/>
      <c r="B31" s="55">
        <v>36</v>
      </c>
      <c r="C31" s="56" t="s">
        <v>48</v>
      </c>
      <c r="D31" s="57">
        <f>'Headloss Calcs'!$A$40</f>
        <v>20</v>
      </c>
      <c r="E31" s="53">
        <f t="shared" si="9"/>
        <v>30.946722123192711</v>
      </c>
      <c r="F31" s="38">
        <f>'Headloss Calcs'!$H$18</f>
        <v>100</v>
      </c>
      <c r="G31" s="53">
        <f t="shared" si="10"/>
        <v>7.0686</v>
      </c>
      <c r="H31" s="53">
        <f t="shared" si="11"/>
        <v>9.4247999999999994</v>
      </c>
      <c r="I31" s="53">
        <f t="shared" si="12"/>
        <v>0.75</v>
      </c>
      <c r="J31" s="53">
        <f t="shared" si="13"/>
        <v>4.3780553607776236</v>
      </c>
      <c r="K31" s="53">
        <f t="shared" si="14"/>
        <v>0</v>
      </c>
      <c r="L31" s="53">
        <v>0.4</v>
      </c>
      <c r="M31" s="58">
        <f t="shared" si="15"/>
        <v>0.11905197976418438</v>
      </c>
      <c r="N31" s="58">
        <f t="shared" si="16"/>
        <v>0.11905197976418438</v>
      </c>
      <c r="O31" s="59">
        <f t="shared" si="17"/>
        <v>14.141652964041054</v>
      </c>
    </row>
    <row r="32" spans="1:15" x14ac:dyDescent="0.2">
      <c r="A32" s="37">
        <v>1320</v>
      </c>
      <c r="B32" s="55">
        <v>36</v>
      </c>
      <c r="C32" s="56" t="s">
        <v>23</v>
      </c>
      <c r="D32" s="57">
        <f>'Headloss Calcs'!$A$40</f>
        <v>20</v>
      </c>
      <c r="E32" s="53">
        <f t="shared" si="9"/>
        <v>30.946722123192711</v>
      </c>
      <c r="F32" s="38">
        <f>'Headloss Calcs'!$H$18</f>
        <v>100</v>
      </c>
      <c r="G32" s="53">
        <f t="shared" si="10"/>
        <v>7.0686</v>
      </c>
      <c r="H32" s="53">
        <f t="shared" si="11"/>
        <v>9.4247999999999994</v>
      </c>
      <c r="I32" s="53">
        <f t="shared" si="12"/>
        <v>0.75</v>
      </c>
      <c r="J32" s="53">
        <f t="shared" si="13"/>
        <v>4.3780553607776236</v>
      </c>
      <c r="K32" s="53">
        <f t="shared" si="14"/>
        <v>3.3940390150402941</v>
      </c>
      <c r="L32" s="53"/>
      <c r="M32" s="58">
        <f t="shared" si="15"/>
        <v>0</v>
      </c>
      <c r="N32" s="58">
        <f t="shared" si="16"/>
        <v>3.3940390150402941</v>
      </c>
      <c r="O32" s="59">
        <f t="shared" si="17"/>
        <v>17.535691979081349</v>
      </c>
    </row>
    <row r="33" spans="1:15" x14ac:dyDescent="0.2">
      <c r="A33" s="37"/>
      <c r="B33" s="55">
        <v>36</v>
      </c>
      <c r="C33" s="56" t="s">
        <v>39</v>
      </c>
      <c r="D33" s="57">
        <f>'Headloss Calcs'!$A$40</f>
        <v>20</v>
      </c>
      <c r="E33" s="53">
        <f t="shared" si="9"/>
        <v>30.946722123192711</v>
      </c>
      <c r="F33" s="38">
        <f>'Headloss Calcs'!$H$18</f>
        <v>100</v>
      </c>
      <c r="G33" s="53">
        <f t="shared" si="10"/>
        <v>7.0686</v>
      </c>
      <c r="H33" s="53">
        <f t="shared" si="11"/>
        <v>9.4247999999999994</v>
      </c>
      <c r="I33" s="53">
        <f t="shared" si="12"/>
        <v>0.75</v>
      </c>
      <c r="J33" s="53">
        <f t="shared" si="13"/>
        <v>4.3780553607776236</v>
      </c>
      <c r="K33" s="53">
        <f t="shared" si="14"/>
        <v>0</v>
      </c>
      <c r="L33" s="53">
        <v>0.4</v>
      </c>
      <c r="M33" s="58">
        <f t="shared" si="15"/>
        <v>0.11905197976418438</v>
      </c>
      <c r="N33" s="58">
        <f t="shared" si="16"/>
        <v>0.11905197976418438</v>
      </c>
      <c r="O33" s="59">
        <f t="shared" si="17"/>
        <v>17.654743958845533</v>
      </c>
    </row>
    <row r="34" spans="1:15" x14ac:dyDescent="0.2">
      <c r="A34" s="37">
        <v>1320</v>
      </c>
      <c r="B34" s="55">
        <v>36</v>
      </c>
      <c r="C34" s="56" t="s">
        <v>23</v>
      </c>
      <c r="D34" s="57">
        <f>'Headloss Calcs'!$A$40</f>
        <v>20</v>
      </c>
      <c r="E34" s="53">
        <f t="shared" si="9"/>
        <v>30.946722123192711</v>
      </c>
      <c r="F34" s="38">
        <f>'Headloss Calcs'!$H$18</f>
        <v>100</v>
      </c>
      <c r="G34" s="53">
        <f t="shared" si="10"/>
        <v>7.0686</v>
      </c>
      <c r="H34" s="53">
        <f t="shared" si="11"/>
        <v>9.4247999999999994</v>
      </c>
      <c r="I34" s="53">
        <f t="shared" si="12"/>
        <v>0.75</v>
      </c>
      <c r="J34" s="53">
        <f t="shared" si="13"/>
        <v>4.3780553607776236</v>
      </c>
      <c r="K34" s="53">
        <f t="shared" si="14"/>
        <v>3.3940390150402941</v>
      </c>
      <c r="L34" s="53"/>
      <c r="M34" s="58">
        <f t="shared" si="15"/>
        <v>0</v>
      </c>
      <c r="N34" s="58">
        <f t="shared" si="16"/>
        <v>3.3940390150402941</v>
      </c>
      <c r="O34" s="59">
        <f t="shared" si="17"/>
        <v>21.048782973885828</v>
      </c>
    </row>
    <row r="35" spans="1:15" x14ac:dyDescent="0.2">
      <c r="A35" s="37"/>
      <c r="B35" s="55">
        <v>36</v>
      </c>
      <c r="C35" s="56" t="s">
        <v>45</v>
      </c>
      <c r="D35" s="57">
        <f>'Headloss Calcs'!$A$40</f>
        <v>20</v>
      </c>
      <c r="E35" s="53">
        <f t="shared" si="9"/>
        <v>30.946722123192711</v>
      </c>
      <c r="F35" s="38">
        <f>'Headloss Calcs'!$H$18</f>
        <v>100</v>
      </c>
      <c r="G35" s="53">
        <f t="shared" si="10"/>
        <v>7.0686</v>
      </c>
      <c r="H35" s="53">
        <f t="shared" si="11"/>
        <v>9.4247999999999994</v>
      </c>
      <c r="I35" s="53">
        <f t="shared" si="12"/>
        <v>0.75</v>
      </c>
      <c r="J35" s="53">
        <f t="shared" si="13"/>
        <v>4.3780553607776236</v>
      </c>
      <c r="K35" s="53">
        <f t="shared" si="14"/>
        <v>0</v>
      </c>
      <c r="L35" s="53">
        <v>0.2</v>
      </c>
      <c r="M35" s="58">
        <f t="shared" si="15"/>
        <v>5.9525989882092192E-2</v>
      </c>
      <c r="N35" s="58">
        <f t="shared" si="16"/>
        <v>5.9525989882092192E-2</v>
      </c>
      <c r="O35" s="59">
        <f t="shared" si="17"/>
        <v>21.108308963767922</v>
      </c>
    </row>
    <row r="36" spans="1:15" x14ac:dyDescent="0.2">
      <c r="A36" s="37">
        <v>1320</v>
      </c>
      <c r="B36" s="55">
        <v>36</v>
      </c>
      <c r="C36" s="56" t="s">
        <v>23</v>
      </c>
      <c r="D36" s="57">
        <f>'Headloss Calcs'!$A$40</f>
        <v>20</v>
      </c>
      <c r="E36" s="53">
        <f t="shared" si="9"/>
        <v>30.946722123192711</v>
      </c>
      <c r="F36" s="38">
        <f>'Headloss Calcs'!$H$18</f>
        <v>100</v>
      </c>
      <c r="G36" s="53">
        <f t="shared" si="10"/>
        <v>7.0686</v>
      </c>
      <c r="H36" s="53">
        <f t="shared" si="11"/>
        <v>9.4247999999999994</v>
      </c>
      <c r="I36" s="53">
        <f t="shared" si="12"/>
        <v>0.75</v>
      </c>
      <c r="J36" s="53">
        <f t="shared" si="13"/>
        <v>4.3780553607776236</v>
      </c>
      <c r="K36" s="53">
        <f t="shared" si="14"/>
        <v>3.3940390150402941</v>
      </c>
      <c r="L36" s="53"/>
      <c r="M36" s="58">
        <f t="shared" si="15"/>
        <v>0</v>
      </c>
      <c r="N36" s="58">
        <f t="shared" si="16"/>
        <v>3.3940390150402941</v>
      </c>
      <c r="O36" s="59">
        <f t="shared" si="17"/>
        <v>24.502347978808217</v>
      </c>
    </row>
    <row r="37" spans="1:15" ht="12" customHeight="1" x14ac:dyDescent="0.2">
      <c r="A37" s="37"/>
      <c r="B37" s="55">
        <v>36</v>
      </c>
      <c r="C37" s="56" t="s">
        <v>44</v>
      </c>
      <c r="D37" s="57">
        <f>'Headloss Calcs'!$A$40</f>
        <v>20</v>
      </c>
      <c r="E37" s="53">
        <f t="shared" si="9"/>
        <v>30.946722123192711</v>
      </c>
      <c r="F37" s="38">
        <f>'Headloss Calcs'!$H$18</f>
        <v>100</v>
      </c>
      <c r="G37" s="53">
        <f t="shared" si="10"/>
        <v>7.0686</v>
      </c>
      <c r="H37" s="53">
        <f t="shared" si="11"/>
        <v>9.4247999999999994</v>
      </c>
      <c r="I37" s="53">
        <f t="shared" si="12"/>
        <v>0.75</v>
      </c>
      <c r="J37" s="53">
        <f t="shared" si="13"/>
        <v>4.3780553607776236</v>
      </c>
      <c r="K37" s="53">
        <f t="shared" si="14"/>
        <v>0</v>
      </c>
      <c r="L37" s="53">
        <v>1</v>
      </c>
      <c r="M37" s="58">
        <f t="shared" si="15"/>
        <v>0.29762994941046095</v>
      </c>
      <c r="N37" s="58">
        <f t="shared" si="16"/>
        <v>0.29762994941046095</v>
      </c>
      <c r="O37" s="59">
        <f t="shared" si="17"/>
        <v>24.799977928218677</v>
      </c>
    </row>
    <row r="38" spans="1:15" ht="13.5" thickBot="1" x14ac:dyDescent="0.25">
      <c r="A38" s="39"/>
      <c r="B38" s="40"/>
      <c r="C38" s="41"/>
      <c r="D38" s="40"/>
      <c r="E38" s="42"/>
      <c r="F38" s="40"/>
      <c r="G38" s="54"/>
      <c r="H38" s="54"/>
      <c r="I38" s="54"/>
      <c r="J38" s="54"/>
      <c r="K38" s="54"/>
      <c r="L38" s="54"/>
      <c r="M38" s="60"/>
      <c r="N38" s="60" t="s">
        <v>40</v>
      </c>
      <c r="O38" s="61">
        <f>O37</f>
        <v>24.799977928218677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50"/>
  <sheetViews>
    <sheetView topLeftCell="A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Calcs'!$A$41</f>
        <v>21</v>
      </c>
      <c r="E3" s="53">
        <f t="shared" ref="E3:E18" si="0">D3*1000000/(7.48*24*60*60)</f>
        <v>32.494058229352348</v>
      </c>
      <c r="F3" s="38">
        <f>'Headloss Calcs'!$E$18</f>
        <v>140</v>
      </c>
      <c r="G3" s="53">
        <f t="shared" ref="G3:G18" si="1">3.1416/4*(B3/12)^2</f>
        <v>7.0686</v>
      </c>
      <c r="H3" s="53">
        <f t="shared" ref="H3:H18" si="2">3.1416*(B3/12)</f>
        <v>9.4247999999999994</v>
      </c>
      <c r="I3" s="53">
        <f t="shared" ref="I3:I18" si="3">G3/H3</f>
        <v>0.75</v>
      </c>
      <c r="J3" s="53">
        <f t="shared" ref="J3:J18" si="4">E3/G3</f>
        <v>4.5969581288165049</v>
      </c>
      <c r="K3" s="53">
        <f t="shared" ref="K3:K18" si="5">(J3/(1.318*F3*I3^0.63))^1.85*A3</f>
        <v>0</v>
      </c>
      <c r="L3" s="53">
        <v>0.25</v>
      </c>
      <c r="M3" s="58">
        <f t="shared" ref="M3:M18" si="6">L3*(J3^2)/(2*32.2)</f>
        <v>8.2034254806258297E-2</v>
      </c>
      <c r="N3" s="58">
        <f t="shared" ref="N3:N18" si="7">K3+M3</f>
        <v>8.2034254806258297E-2</v>
      </c>
      <c r="O3" s="59">
        <f>N3</f>
        <v>8.2034254806258297E-2</v>
      </c>
    </row>
    <row r="4" spans="1:15" x14ac:dyDescent="0.2">
      <c r="A4" s="37"/>
      <c r="B4" s="55">
        <v>36</v>
      </c>
      <c r="C4" s="56" t="s">
        <v>47</v>
      </c>
      <c r="D4" s="57">
        <f>'Headloss Calcs'!$A$41</f>
        <v>21</v>
      </c>
      <c r="E4" s="53">
        <f t="shared" si="0"/>
        <v>32.494058229352348</v>
      </c>
      <c r="F4" s="38">
        <f>'Headloss Calcs'!$E$18</f>
        <v>140</v>
      </c>
      <c r="G4" s="53">
        <f t="shared" si="1"/>
        <v>7.0686</v>
      </c>
      <c r="H4" s="53">
        <f t="shared" si="2"/>
        <v>9.4247999999999994</v>
      </c>
      <c r="I4" s="53">
        <f t="shared" si="3"/>
        <v>0.75</v>
      </c>
      <c r="J4" s="53">
        <f t="shared" si="4"/>
        <v>4.5969581288165049</v>
      </c>
      <c r="K4" s="53">
        <f t="shared" si="5"/>
        <v>0</v>
      </c>
      <c r="L4" s="53">
        <v>0.25</v>
      </c>
      <c r="M4" s="58">
        <f t="shared" si="6"/>
        <v>8.2034254806258297E-2</v>
      </c>
      <c r="N4" s="58">
        <f t="shared" si="7"/>
        <v>8.2034254806258297E-2</v>
      </c>
      <c r="O4" s="59">
        <f t="shared" ref="O4:O18" si="8">N4+O3</f>
        <v>0.16406850961251659</v>
      </c>
    </row>
    <row r="5" spans="1:15" x14ac:dyDescent="0.2">
      <c r="A5" s="37">
        <v>1320</v>
      </c>
      <c r="B5" s="55">
        <v>36</v>
      </c>
      <c r="C5" s="56" t="s">
        <v>23</v>
      </c>
      <c r="D5" s="57">
        <f>'Headloss Calcs'!$A$41</f>
        <v>21</v>
      </c>
      <c r="E5" s="53">
        <f t="shared" si="0"/>
        <v>32.494058229352348</v>
      </c>
      <c r="F5" s="38">
        <f>'Headloss Calcs'!$E$18</f>
        <v>140</v>
      </c>
      <c r="G5" s="53">
        <f t="shared" si="1"/>
        <v>7.0686</v>
      </c>
      <c r="H5" s="53">
        <f t="shared" si="2"/>
        <v>9.4247999999999994</v>
      </c>
      <c r="I5" s="53">
        <f t="shared" si="3"/>
        <v>0.75</v>
      </c>
      <c r="J5" s="53">
        <f t="shared" si="4"/>
        <v>4.5969581288165049</v>
      </c>
      <c r="K5" s="53">
        <f t="shared" si="5"/>
        <v>1.9933344271023614</v>
      </c>
      <c r="L5" s="53"/>
      <c r="M5" s="58">
        <f t="shared" si="6"/>
        <v>0</v>
      </c>
      <c r="N5" s="58">
        <f t="shared" si="7"/>
        <v>1.9933344271023614</v>
      </c>
      <c r="O5" s="59">
        <f t="shared" si="8"/>
        <v>2.1574029367148779</v>
      </c>
    </row>
    <row r="6" spans="1:15" x14ac:dyDescent="0.2">
      <c r="A6" s="37"/>
      <c r="B6" s="55">
        <v>36</v>
      </c>
      <c r="C6" s="56" t="s">
        <v>45</v>
      </c>
      <c r="D6" s="57">
        <f>'Headloss Calcs'!$A$41</f>
        <v>21</v>
      </c>
      <c r="E6" s="53">
        <f t="shared" si="0"/>
        <v>32.494058229352348</v>
      </c>
      <c r="F6" s="38">
        <f>'Headloss Calcs'!$E$18</f>
        <v>140</v>
      </c>
      <c r="G6" s="53">
        <f t="shared" si="1"/>
        <v>7.0686</v>
      </c>
      <c r="H6" s="53">
        <f t="shared" si="2"/>
        <v>9.4247999999999994</v>
      </c>
      <c r="I6" s="53">
        <f t="shared" si="3"/>
        <v>0.75</v>
      </c>
      <c r="J6" s="53">
        <f t="shared" si="4"/>
        <v>4.5969581288165049</v>
      </c>
      <c r="K6" s="53">
        <f t="shared" si="5"/>
        <v>0</v>
      </c>
      <c r="L6" s="53">
        <v>0.2</v>
      </c>
      <c r="M6" s="58">
        <f t="shared" si="6"/>
        <v>6.5627403845006649E-2</v>
      </c>
      <c r="N6" s="58">
        <f t="shared" si="7"/>
        <v>6.5627403845006649E-2</v>
      </c>
      <c r="O6" s="59">
        <f t="shared" si="8"/>
        <v>2.2230303405598848</v>
      </c>
    </row>
    <row r="7" spans="1:15" x14ac:dyDescent="0.2">
      <c r="A7" s="37">
        <v>1320</v>
      </c>
      <c r="B7" s="55">
        <v>36</v>
      </c>
      <c r="C7" s="69" t="s">
        <v>23</v>
      </c>
      <c r="D7" s="57">
        <f>'Headloss Calcs'!$A$41</f>
        <v>21</v>
      </c>
      <c r="E7" s="53">
        <f t="shared" si="0"/>
        <v>32.494058229352348</v>
      </c>
      <c r="F7" s="38">
        <f>'Headloss Calcs'!$E$18</f>
        <v>140</v>
      </c>
      <c r="G7" s="53">
        <f t="shared" si="1"/>
        <v>7.0686</v>
      </c>
      <c r="H7" s="53">
        <f t="shared" si="2"/>
        <v>9.4247999999999994</v>
      </c>
      <c r="I7" s="53">
        <f t="shared" si="3"/>
        <v>0.75</v>
      </c>
      <c r="J7" s="53">
        <f t="shared" si="4"/>
        <v>4.5969581288165049</v>
      </c>
      <c r="K7" s="53">
        <f t="shared" si="5"/>
        <v>1.9933344271023614</v>
      </c>
      <c r="L7" s="53"/>
      <c r="M7" s="58">
        <f t="shared" si="6"/>
        <v>0</v>
      </c>
      <c r="N7" s="58">
        <f t="shared" si="7"/>
        <v>1.9933344271023614</v>
      </c>
      <c r="O7" s="59">
        <f t="shared" si="8"/>
        <v>4.2163647676622462</v>
      </c>
    </row>
    <row r="8" spans="1:15" x14ac:dyDescent="0.2">
      <c r="A8" s="37"/>
      <c r="B8" s="55">
        <v>36</v>
      </c>
      <c r="C8" s="56" t="s">
        <v>39</v>
      </c>
      <c r="D8" s="57">
        <f>'Headloss Calcs'!$A$41</f>
        <v>21</v>
      </c>
      <c r="E8" s="53">
        <f t="shared" si="0"/>
        <v>32.494058229352348</v>
      </c>
      <c r="F8" s="38">
        <f>'Headloss Calcs'!$E$18</f>
        <v>140</v>
      </c>
      <c r="G8" s="53">
        <f t="shared" si="1"/>
        <v>7.0686</v>
      </c>
      <c r="H8" s="53">
        <f t="shared" si="2"/>
        <v>9.4247999999999994</v>
      </c>
      <c r="I8" s="53">
        <f t="shared" si="3"/>
        <v>0.75</v>
      </c>
      <c r="J8" s="53">
        <f t="shared" si="4"/>
        <v>4.5969581288165049</v>
      </c>
      <c r="K8" s="53">
        <f t="shared" si="5"/>
        <v>0</v>
      </c>
      <c r="L8" s="53">
        <v>0.4</v>
      </c>
      <c r="M8" s="58">
        <f t="shared" si="6"/>
        <v>0.1312548076900133</v>
      </c>
      <c r="N8" s="58">
        <f t="shared" si="7"/>
        <v>0.1312548076900133</v>
      </c>
      <c r="O8" s="59">
        <f t="shared" si="8"/>
        <v>4.34761957535226</v>
      </c>
    </row>
    <row r="9" spans="1:15" x14ac:dyDescent="0.2">
      <c r="A9" s="37">
        <v>1320</v>
      </c>
      <c r="B9" s="55">
        <v>36</v>
      </c>
      <c r="C9" s="56" t="s">
        <v>23</v>
      </c>
      <c r="D9" s="57">
        <f>'Headloss Calcs'!$A$41</f>
        <v>21</v>
      </c>
      <c r="E9" s="53">
        <f t="shared" si="0"/>
        <v>32.494058229352348</v>
      </c>
      <c r="F9" s="38">
        <f>'Headloss Calcs'!$E$18</f>
        <v>140</v>
      </c>
      <c r="G9" s="53">
        <f t="shared" si="1"/>
        <v>7.0686</v>
      </c>
      <c r="H9" s="53">
        <f t="shared" si="2"/>
        <v>9.4247999999999994</v>
      </c>
      <c r="I9" s="53">
        <f t="shared" si="3"/>
        <v>0.75</v>
      </c>
      <c r="J9" s="53">
        <f t="shared" si="4"/>
        <v>4.5969581288165049</v>
      </c>
      <c r="K9" s="53">
        <f t="shared" si="5"/>
        <v>1.9933344271023614</v>
      </c>
      <c r="L9" s="53"/>
      <c r="M9" s="58">
        <f t="shared" si="6"/>
        <v>0</v>
      </c>
      <c r="N9" s="58">
        <f t="shared" si="7"/>
        <v>1.9933344271023614</v>
      </c>
      <c r="O9" s="59">
        <f t="shared" si="8"/>
        <v>6.3409540024546214</v>
      </c>
    </row>
    <row r="10" spans="1:15" x14ac:dyDescent="0.2">
      <c r="A10" s="37"/>
      <c r="B10" s="55">
        <v>36</v>
      </c>
      <c r="C10" s="56" t="s">
        <v>39</v>
      </c>
      <c r="D10" s="57">
        <f>'Headloss Calcs'!$A$41</f>
        <v>21</v>
      </c>
      <c r="E10" s="53">
        <f t="shared" si="0"/>
        <v>32.494058229352348</v>
      </c>
      <c r="F10" s="38">
        <f>'Headloss Calcs'!$E$18</f>
        <v>140</v>
      </c>
      <c r="G10" s="53">
        <f t="shared" si="1"/>
        <v>7.0686</v>
      </c>
      <c r="H10" s="53">
        <f t="shared" si="2"/>
        <v>9.4247999999999994</v>
      </c>
      <c r="I10" s="53">
        <f t="shared" si="3"/>
        <v>0.75</v>
      </c>
      <c r="J10" s="53">
        <f t="shared" si="4"/>
        <v>4.5969581288165049</v>
      </c>
      <c r="K10" s="53">
        <f t="shared" si="5"/>
        <v>0</v>
      </c>
      <c r="L10" s="53">
        <v>0.4</v>
      </c>
      <c r="M10" s="58">
        <f t="shared" si="6"/>
        <v>0.1312548076900133</v>
      </c>
      <c r="N10" s="58">
        <f t="shared" si="7"/>
        <v>0.1312548076900133</v>
      </c>
      <c r="O10" s="59">
        <f t="shared" si="8"/>
        <v>6.4722088101446342</v>
      </c>
    </row>
    <row r="11" spans="1:15" x14ac:dyDescent="0.2">
      <c r="A11" s="37">
        <v>1320</v>
      </c>
      <c r="B11" s="55">
        <v>36</v>
      </c>
      <c r="C11" s="56" t="s">
        <v>23</v>
      </c>
      <c r="D11" s="57">
        <f>'Headloss Calcs'!$A$41</f>
        <v>21</v>
      </c>
      <c r="E11" s="53">
        <f t="shared" si="0"/>
        <v>32.494058229352348</v>
      </c>
      <c r="F11" s="38">
        <f>'Headloss Calcs'!$E$18</f>
        <v>140</v>
      </c>
      <c r="G11" s="53">
        <f t="shared" si="1"/>
        <v>7.0686</v>
      </c>
      <c r="H11" s="53">
        <f t="shared" si="2"/>
        <v>9.4247999999999994</v>
      </c>
      <c r="I11" s="53">
        <f t="shared" si="3"/>
        <v>0.75</v>
      </c>
      <c r="J11" s="53">
        <f t="shared" si="4"/>
        <v>4.5969581288165049</v>
      </c>
      <c r="K11" s="53">
        <f t="shared" si="5"/>
        <v>1.9933344271023614</v>
      </c>
      <c r="L11" s="53"/>
      <c r="M11" s="58">
        <f t="shared" si="6"/>
        <v>0</v>
      </c>
      <c r="N11" s="58">
        <f t="shared" si="7"/>
        <v>1.9933344271023614</v>
      </c>
      <c r="O11" s="59">
        <f t="shared" si="8"/>
        <v>8.4655432372469956</v>
      </c>
    </row>
    <row r="12" spans="1:15" x14ac:dyDescent="0.2">
      <c r="A12" s="37"/>
      <c r="B12" s="55">
        <v>36</v>
      </c>
      <c r="C12" s="56" t="s">
        <v>48</v>
      </c>
      <c r="D12" s="57">
        <f>'Headloss Calcs'!$A$41</f>
        <v>21</v>
      </c>
      <c r="E12" s="53">
        <f t="shared" si="0"/>
        <v>32.494058229352348</v>
      </c>
      <c r="F12" s="38">
        <f>'Headloss Calcs'!$E$18</f>
        <v>140</v>
      </c>
      <c r="G12" s="53">
        <f t="shared" si="1"/>
        <v>7.0686</v>
      </c>
      <c r="H12" s="53">
        <f t="shared" si="2"/>
        <v>9.4247999999999994</v>
      </c>
      <c r="I12" s="53">
        <f t="shared" si="3"/>
        <v>0.75</v>
      </c>
      <c r="J12" s="53">
        <f t="shared" si="4"/>
        <v>4.5969581288165049</v>
      </c>
      <c r="K12" s="53">
        <f t="shared" si="5"/>
        <v>0</v>
      </c>
      <c r="L12" s="53">
        <v>0.4</v>
      </c>
      <c r="M12" s="58">
        <f t="shared" si="6"/>
        <v>0.1312548076900133</v>
      </c>
      <c r="N12" s="58">
        <f t="shared" si="7"/>
        <v>0.1312548076900133</v>
      </c>
      <c r="O12" s="59">
        <f t="shared" si="8"/>
        <v>8.5967980449370085</v>
      </c>
    </row>
    <row r="13" spans="1:15" x14ac:dyDescent="0.2">
      <c r="A13" s="37">
        <v>1320</v>
      </c>
      <c r="B13" s="55">
        <v>36</v>
      </c>
      <c r="C13" s="56" t="s">
        <v>23</v>
      </c>
      <c r="D13" s="57">
        <f>'Headloss Calcs'!$A$41</f>
        <v>21</v>
      </c>
      <c r="E13" s="53">
        <f t="shared" si="0"/>
        <v>32.494058229352348</v>
      </c>
      <c r="F13" s="38">
        <f>'Headloss Calcs'!$E$18</f>
        <v>140</v>
      </c>
      <c r="G13" s="53">
        <f t="shared" si="1"/>
        <v>7.0686</v>
      </c>
      <c r="H13" s="53">
        <f t="shared" si="2"/>
        <v>9.4247999999999994</v>
      </c>
      <c r="I13" s="53">
        <f t="shared" si="3"/>
        <v>0.75</v>
      </c>
      <c r="J13" s="53">
        <f t="shared" si="4"/>
        <v>4.5969581288165049</v>
      </c>
      <c r="K13" s="53">
        <f t="shared" si="5"/>
        <v>1.9933344271023614</v>
      </c>
      <c r="L13" s="53"/>
      <c r="M13" s="58">
        <f t="shared" si="6"/>
        <v>0</v>
      </c>
      <c r="N13" s="58">
        <f t="shared" si="7"/>
        <v>1.9933344271023614</v>
      </c>
      <c r="O13" s="59">
        <f t="shared" si="8"/>
        <v>10.59013247203937</v>
      </c>
    </row>
    <row r="14" spans="1:15" x14ac:dyDescent="0.2">
      <c r="A14" s="37"/>
      <c r="B14" s="55">
        <v>36</v>
      </c>
      <c r="C14" s="56" t="s">
        <v>39</v>
      </c>
      <c r="D14" s="57">
        <f>'Headloss Calcs'!$A$41</f>
        <v>21</v>
      </c>
      <c r="E14" s="53">
        <f t="shared" si="0"/>
        <v>32.494058229352348</v>
      </c>
      <c r="F14" s="38">
        <f>'Headloss Calcs'!$E$18</f>
        <v>140</v>
      </c>
      <c r="G14" s="53">
        <f t="shared" si="1"/>
        <v>7.0686</v>
      </c>
      <c r="H14" s="53">
        <f t="shared" si="2"/>
        <v>9.4247999999999994</v>
      </c>
      <c r="I14" s="53">
        <f t="shared" si="3"/>
        <v>0.75</v>
      </c>
      <c r="J14" s="53">
        <f t="shared" si="4"/>
        <v>4.5969581288165049</v>
      </c>
      <c r="K14" s="53">
        <f t="shared" si="5"/>
        <v>0</v>
      </c>
      <c r="L14" s="53">
        <v>0.4</v>
      </c>
      <c r="M14" s="58">
        <f t="shared" si="6"/>
        <v>0.1312548076900133</v>
      </c>
      <c r="N14" s="58">
        <f t="shared" si="7"/>
        <v>0.1312548076900133</v>
      </c>
      <c r="O14" s="59">
        <f t="shared" si="8"/>
        <v>10.721387279729383</v>
      </c>
    </row>
    <row r="15" spans="1:15" x14ac:dyDescent="0.2">
      <c r="A15" s="37">
        <v>1320</v>
      </c>
      <c r="B15" s="55">
        <v>36</v>
      </c>
      <c r="C15" s="56" t="s">
        <v>23</v>
      </c>
      <c r="D15" s="57">
        <f>'Headloss Calcs'!$A$41</f>
        <v>21</v>
      </c>
      <c r="E15" s="53">
        <f t="shared" si="0"/>
        <v>32.494058229352348</v>
      </c>
      <c r="F15" s="38">
        <f>'Headloss Calcs'!$E$18</f>
        <v>140</v>
      </c>
      <c r="G15" s="53">
        <f t="shared" si="1"/>
        <v>7.0686</v>
      </c>
      <c r="H15" s="53">
        <f t="shared" si="2"/>
        <v>9.4247999999999994</v>
      </c>
      <c r="I15" s="53">
        <f t="shared" si="3"/>
        <v>0.75</v>
      </c>
      <c r="J15" s="53">
        <f t="shared" si="4"/>
        <v>4.5969581288165049</v>
      </c>
      <c r="K15" s="53">
        <f t="shared" si="5"/>
        <v>1.9933344271023614</v>
      </c>
      <c r="L15" s="53"/>
      <c r="M15" s="58">
        <f t="shared" si="6"/>
        <v>0</v>
      </c>
      <c r="N15" s="58">
        <f t="shared" si="7"/>
        <v>1.9933344271023614</v>
      </c>
      <c r="O15" s="59">
        <f t="shared" si="8"/>
        <v>12.714721706831744</v>
      </c>
    </row>
    <row r="16" spans="1:15" x14ac:dyDescent="0.2">
      <c r="A16" s="37"/>
      <c r="B16" s="55">
        <v>36</v>
      </c>
      <c r="C16" s="56" t="s">
        <v>45</v>
      </c>
      <c r="D16" s="57">
        <f>'Headloss Calcs'!$A$41</f>
        <v>21</v>
      </c>
      <c r="E16" s="53">
        <f t="shared" si="0"/>
        <v>32.494058229352348</v>
      </c>
      <c r="F16" s="38">
        <f>'Headloss Calcs'!$E$18</f>
        <v>140</v>
      </c>
      <c r="G16" s="53">
        <f t="shared" si="1"/>
        <v>7.0686</v>
      </c>
      <c r="H16" s="53">
        <f t="shared" si="2"/>
        <v>9.4247999999999994</v>
      </c>
      <c r="I16" s="53">
        <f t="shared" si="3"/>
        <v>0.75</v>
      </c>
      <c r="J16" s="53">
        <f t="shared" si="4"/>
        <v>4.5969581288165049</v>
      </c>
      <c r="K16" s="53">
        <f t="shared" si="5"/>
        <v>0</v>
      </c>
      <c r="L16" s="53">
        <v>0.2</v>
      </c>
      <c r="M16" s="58">
        <f t="shared" si="6"/>
        <v>6.5627403845006649E-2</v>
      </c>
      <c r="N16" s="58">
        <f t="shared" si="7"/>
        <v>6.5627403845006649E-2</v>
      </c>
      <c r="O16" s="59">
        <f t="shared" si="8"/>
        <v>12.780349110676751</v>
      </c>
    </row>
    <row r="17" spans="1:15" x14ac:dyDescent="0.2">
      <c r="A17" s="37">
        <v>1320</v>
      </c>
      <c r="B17" s="55">
        <v>36</v>
      </c>
      <c r="C17" s="56" t="s">
        <v>23</v>
      </c>
      <c r="D17" s="57">
        <f>'Headloss Calcs'!$A$41</f>
        <v>21</v>
      </c>
      <c r="E17" s="53">
        <f t="shared" si="0"/>
        <v>32.494058229352348</v>
      </c>
      <c r="F17" s="38">
        <f>'Headloss Calcs'!$E$18</f>
        <v>140</v>
      </c>
      <c r="G17" s="53">
        <f t="shared" si="1"/>
        <v>7.0686</v>
      </c>
      <c r="H17" s="53">
        <f t="shared" si="2"/>
        <v>9.4247999999999994</v>
      </c>
      <c r="I17" s="53">
        <f t="shared" si="3"/>
        <v>0.75</v>
      </c>
      <c r="J17" s="53">
        <f t="shared" si="4"/>
        <v>4.5969581288165049</v>
      </c>
      <c r="K17" s="53">
        <f t="shared" si="5"/>
        <v>1.9933344271023614</v>
      </c>
      <c r="L17" s="53"/>
      <c r="M17" s="58">
        <f t="shared" si="6"/>
        <v>0</v>
      </c>
      <c r="N17" s="58">
        <f t="shared" si="7"/>
        <v>1.9933344271023614</v>
      </c>
      <c r="O17" s="59">
        <f t="shared" si="8"/>
        <v>14.773683537779112</v>
      </c>
    </row>
    <row r="18" spans="1:15" ht="12" customHeight="1" x14ac:dyDescent="0.2">
      <c r="A18" s="37"/>
      <c r="B18" s="55">
        <v>36</v>
      </c>
      <c r="C18" s="56" t="s">
        <v>44</v>
      </c>
      <c r="D18" s="57">
        <f>'Headloss Calcs'!$A$41</f>
        <v>21</v>
      </c>
      <c r="E18" s="53">
        <f t="shared" si="0"/>
        <v>32.494058229352348</v>
      </c>
      <c r="F18" s="38">
        <f>'Headloss Calcs'!$E$18</f>
        <v>140</v>
      </c>
      <c r="G18" s="53">
        <f t="shared" si="1"/>
        <v>7.0686</v>
      </c>
      <c r="H18" s="53">
        <f t="shared" si="2"/>
        <v>9.4247999999999994</v>
      </c>
      <c r="I18" s="53">
        <f t="shared" si="3"/>
        <v>0.75</v>
      </c>
      <c r="J18" s="53">
        <f t="shared" si="4"/>
        <v>4.5969581288165049</v>
      </c>
      <c r="K18" s="53">
        <f t="shared" si="5"/>
        <v>0</v>
      </c>
      <c r="L18" s="53">
        <v>1</v>
      </c>
      <c r="M18" s="58">
        <f t="shared" si="6"/>
        <v>0.32813701922503319</v>
      </c>
      <c r="N18" s="58">
        <f t="shared" si="7"/>
        <v>0.32813701922503319</v>
      </c>
      <c r="O18" s="59">
        <f t="shared" si="8"/>
        <v>15.101820557004146</v>
      </c>
    </row>
    <row r="19" spans="1:15" ht="13.5" thickBot="1" x14ac:dyDescent="0.25">
      <c r="A19" s="39"/>
      <c r="B19" s="40"/>
      <c r="C19" s="41"/>
      <c r="D19" s="40"/>
      <c r="E19" s="42"/>
      <c r="F19" s="40"/>
      <c r="G19" s="54"/>
      <c r="H19" s="54"/>
      <c r="I19" s="54"/>
      <c r="J19" s="54"/>
      <c r="K19" s="54"/>
      <c r="L19" s="54"/>
      <c r="M19" s="60"/>
      <c r="N19" s="60" t="s">
        <v>40</v>
      </c>
      <c r="O19" s="61">
        <f>O18</f>
        <v>15.101820557004146</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Calcs'!$A$41</f>
        <v>21</v>
      </c>
      <c r="E22" s="53">
        <f t="shared" ref="E22:E37" si="9">D22*1000000/(7.48*24*60*60)</f>
        <v>32.494058229352348</v>
      </c>
      <c r="F22" s="38">
        <f>'Headloss Calcs'!$H$18</f>
        <v>100</v>
      </c>
      <c r="G22" s="53">
        <f t="shared" ref="G22:G37" si="10">3.1416/4*(B22/12)^2</f>
        <v>7.0686</v>
      </c>
      <c r="H22" s="53">
        <f t="shared" ref="H22:H37" si="11">3.1416*(B22/12)</f>
        <v>9.4247999999999994</v>
      </c>
      <c r="I22" s="53">
        <f t="shared" ref="I22:I37" si="12">G22/H22</f>
        <v>0.75</v>
      </c>
      <c r="J22" s="53">
        <f t="shared" ref="J22:J37" si="13">E22/G22</f>
        <v>4.5969581288165049</v>
      </c>
      <c r="K22" s="53">
        <f t="shared" ref="K22:K37" si="14">(J22/(1.318*F22*I22^0.63))^1.85*A22</f>
        <v>0</v>
      </c>
      <c r="L22" s="53">
        <v>0.25</v>
      </c>
      <c r="M22" s="58">
        <f t="shared" ref="M22:M37" si="15">L22*(J22^2)/(2*32.2)</f>
        <v>8.2034254806258297E-2</v>
      </c>
      <c r="N22" s="58">
        <f t="shared" ref="N22:N37" si="16">K22+M22</f>
        <v>8.2034254806258297E-2</v>
      </c>
      <c r="O22" s="59">
        <f>N22</f>
        <v>8.2034254806258297E-2</v>
      </c>
    </row>
    <row r="23" spans="1:15" x14ac:dyDescent="0.2">
      <c r="A23" s="37"/>
      <c r="B23" s="55">
        <v>36</v>
      </c>
      <c r="C23" s="56" t="s">
        <v>47</v>
      </c>
      <c r="D23" s="57">
        <f>'Headloss Calcs'!$A$41</f>
        <v>21</v>
      </c>
      <c r="E23" s="53">
        <f t="shared" si="9"/>
        <v>32.494058229352348</v>
      </c>
      <c r="F23" s="38">
        <f>'Headloss Calcs'!$H$18</f>
        <v>100</v>
      </c>
      <c r="G23" s="53">
        <f t="shared" si="10"/>
        <v>7.0686</v>
      </c>
      <c r="H23" s="53">
        <f t="shared" si="11"/>
        <v>9.4247999999999994</v>
      </c>
      <c r="I23" s="53">
        <f t="shared" si="12"/>
        <v>0.75</v>
      </c>
      <c r="J23" s="53">
        <f t="shared" si="13"/>
        <v>4.5969581288165049</v>
      </c>
      <c r="K23" s="53">
        <f t="shared" si="14"/>
        <v>0</v>
      </c>
      <c r="L23" s="53">
        <v>0.25</v>
      </c>
      <c r="M23" s="58">
        <f t="shared" si="15"/>
        <v>8.2034254806258297E-2</v>
      </c>
      <c r="N23" s="58">
        <f t="shared" si="16"/>
        <v>8.2034254806258297E-2</v>
      </c>
      <c r="O23" s="59">
        <f t="shared" ref="O23:O37" si="17">N23+O22</f>
        <v>0.16406850961251659</v>
      </c>
    </row>
    <row r="24" spans="1:15" x14ac:dyDescent="0.2">
      <c r="A24" s="37">
        <v>1320</v>
      </c>
      <c r="B24" s="55">
        <v>36</v>
      </c>
      <c r="C24" s="56" t="s">
        <v>23</v>
      </c>
      <c r="D24" s="57">
        <f>'Headloss Calcs'!$A$41</f>
        <v>21</v>
      </c>
      <c r="E24" s="53">
        <f t="shared" si="9"/>
        <v>32.494058229352348</v>
      </c>
      <c r="F24" s="38">
        <f>'Headloss Calcs'!$H$18</f>
        <v>100</v>
      </c>
      <c r="G24" s="53">
        <f t="shared" si="10"/>
        <v>7.0686</v>
      </c>
      <c r="H24" s="53">
        <f t="shared" si="11"/>
        <v>9.4247999999999994</v>
      </c>
      <c r="I24" s="53">
        <f t="shared" si="12"/>
        <v>0.75</v>
      </c>
      <c r="J24" s="53">
        <f t="shared" si="13"/>
        <v>4.5969581288165049</v>
      </c>
      <c r="K24" s="53">
        <f t="shared" si="14"/>
        <v>3.7146425880810559</v>
      </c>
      <c r="L24" s="53"/>
      <c r="M24" s="58">
        <f t="shared" si="15"/>
        <v>0</v>
      </c>
      <c r="N24" s="58">
        <f t="shared" si="16"/>
        <v>3.7146425880810559</v>
      </c>
      <c r="O24" s="59">
        <f t="shared" si="17"/>
        <v>3.8787110976935724</v>
      </c>
    </row>
    <row r="25" spans="1:15" x14ac:dyDescent="0.2">
      <c r="A25" s="37"/>
      <c r="B25" s="55">
        <v>36</v>
      </c>
      <c r="C25" s="56" t="s">
        <v>45</v>
      </c>
      <c r="D25" s="57">
        <f>'Headloss Calcs'!$A$41</f>
        <v>21</v>
      </c>
      <c r="E25" s="53">
        <f t="shared" si="9"/>
        <v>32.494058229352348</v>
      </c>
      <c r="F25" s="38">
        <f>'Headloss Calcs'!$H$18</f>
        <v>100</v>
      </c>
      <c r="G25" s="53">
        <f t="shared" si="10"/>
        <v>7.0686</v>
      </c>
      <c r="H25" s="53">
        <f t="shared" si="11"/>
        <v>9.4247999999999994</v>
      </c>
      <c r="I25" s="53">
        <f t="shared" si="12"/>
        <v>0.75</v>
      </c>
      <c r="J25" s="53">
        <f t="shared" si="13"/>
        <v>4.5969581288165049</v>
      </c>
      <c r="K25" s="53">
        <f t="shared" si="14"/>
        <v>0</v>
      </c>
      <c r="L25" s="53">
        <v>0.2</v>
      </c>
      <c r="M25" s="58">
        <f t="shared" si="15"/>
        <v>6.5627403845006649E-2</v>
      </c>
      <c r="N25" s="58">
        <f t="shared" si="16"/>
        <v>6.5627403845006649E-2</v>
      </c>
      <c r="O25" s="59">
        <f t="shared" si="17"/>
        <v>3.9443385015385788</v>
      </c>
    </row>
    <row r="26" spans="1:15" x14ac:dyDescent="0.2">
      <c r="A26" s="37">
        <v>1320</v>
      </c>
      <c r="B26" s="55">
        <v>36</v>
      </c>
      <c r="C26" s="69" t="s">
        <v>23</v>
      </c>
      <c r="D26" s="57">
        <f>'Headloss Calcs'!$A$41</f>
        <v>21</v>
      </c>
      <c r="E26" s="53">
        <f t="shared" si="9"/>
        <v>32.494058229352348</v>
      </c>
      <c r="F26" s="38">
        <f>'Headloss Calcs'!$H$18</f>
        <v>100</v>
      </c>
      <c r="G26" s="53">
        <f t="shared" si="10"/>
        <v>7.0686</v>
      </c>
      <c r="H26" s="53">
        <f t="shared" si="11"/>
        <v>9.4247999999999994</v>
      </c>
      <c r="I26" s="53">
        <f t="shared" si="12"/>
        <v>0.75</v>
      </c>
      <c r="J26" s="53">
        <f t="shared" si="13"/>
        <v>4.5969581288165049</v>
      </c>
      <c r="K26" s="53">
        <f t="shared" si="14"/>
        <v>3.7146425880810559</v>
      </c>
      <c r="L26" s="53"/>
      <c r="M26" s="58">
        <f t="shared" si="15"/>
        <v>0</v>
      </c>
      <c r="N26" s="58">
        <f t="shared" si="16"/>
        <v>3.7146425880810559</v>
      </c>
      <c r="O26" s="59">
        <f t="shared" si="17"/>
        <v>7.6589810896196351</v>
      </c>
    </row>
    <row r="27" spans="1:15" x14ac:dyDescent="0.2">
      <c r="A27" s="37"/>
      <c r="B27" s="55">
        <v>36</v>
      </c>
      <c r="C27" s="56" t="s">
        <v>39</v>
      </c>
      <c r="D27" s="57">
        <f>'Headloss Calcs'!$A$41</f>
        <v>21</v>
      </c>
      <c r="E27" s="53">
        <f t="shared" si="9"/>
        <v>32.494058229352348</v>
      </c>
      <c r="F27" s="38">
        <f>'Headloss Calcs'!$H$18</f>
        <v>100</v>
      </c>
      <c r="G27" s="53">
        <f t="shared" si="10"/>
        <v>7.0686</v>
      </c>
      <c r="H27" s="53">
        <f t="shared" si="11"/>
        <v>9.4247999999999994</v>
      </c>
      <c r="I27" s="53">
        <f t="shared" si="12"/>
        <v>0.75</v>
      </c>
      <c r="J27" s="53">
        <f t="shared" si="13"/>
        <v>4.5969581288165049</v>
      </c>
      <c r="K27" s="53">
        <f t="shared" si="14"/>
        <v>0</v>
      </c>
      <c r="L27" s="53">
        <v>0.4</v>
      </c>
      <c r="M27" s="58">
        <f t="shared" si="15"/>
        <v>0.1312548076900133</v>
      </c>
      <c r="N27" s="58">
        <f t="shared" si="16"/>
        <v>0.1312548076900133</v>
      </c>
      <c r="O27" s="59">
        <f t="shared" si="17"/>
        <v>7.7902358973096479</v>
      </c>
    </row>
    <row r="28" spans="1:15" x14ac:dyDescent="0.2">
      <c r="A28" s="37">
        <v>1320</v>
      </c>
      <c r="B28" s="55">
        <v>36</v>
      </c>
      <c r="C28" s="56" t="s">
        <v>23</v>
      </c>
      <c r="D28" s="57">
        <f>'Headloss Calcs'!$A$41</f>
        <v>21</v>
      </c>
      <c r="E28" s="53">
        <f t="shared" si="9"/>
        <v>32.494058229352348</v>
      </c>
      <c r="F28" s="38">
        <f>'Headloss Calcs'!$H$18</f>
        <v>100</v>
      </c>
      <c r="G28" s="53">
        <f t="shared" si="10"/>
        <v>7.0686</v>
      </c>
      <c r="H28" s="53">
        <f t="shared" si="11"/>
        <v>9.4247999999999994</v>
      </c>
      <c r="I28" s="53">
        <f t="shared" si="12"/>
        <v>0.75</v>
      </c>
      <c r="J28" s="53">
        <f t="shared" si="13"/>
        <v>4.5969581288165049</v>
      </c>
      <c r="K28" s="53">
        <f t="shared" si="14"/>
        <v>3.7146425880810559</v>
      </c>
      <c r="L28" s="53"/>
      <c r="M28" s="58">
        <f t="shared" si="15"/>
        <v>0</v>
      </c>
      <c r="N28" s="58">
        <f t="shared" si="16"/>
        <v>3.7146425880810559</v>
      </c>
      <c r="O28" s="59">
        <f t="shared" si="17"/>
        <v>11.504878485390703</v>
      </c>
    </row>
    <row r="29" spans="1:15" x14ac:dyDescent="0.2">
      <c r="A29" s="37"/>
      <c r="B29" s="55">
        <v>36</v>
      </c>
      <c r="C29" s="56" t="s">
        <v>39</v>
      </c>
      <c r="D29" s="57">
        <f>'Headloss Calcs'!$A$41</f>
        <v>21</v>
      </c>
      <c r="E29" s="53">
        <f t="shared" si="9"/>
        <v>32.494058229352348</v>
      </c>
      <c r="F29" s="38">
        <f>'Headloss Calcs'!$H$18</f>
        <v>100</v>
      </c>
      <c r="G29" s="53">
        <f t="shared" si="10"/>
        <v>7.0686</v>
      </c>
      <c r="H29" s="53">
        <f t="shared" si="11"/>
        <v>9.4247999999999994</v>
      </c>
      <c r="I29" s="53">
        <f t="shared" si="12"/>
        <v>0.75</v>
      </c>
      <c r="J29" s="53">
        <f t="shared" si="13"/>
        <v>4.5969581288165049</v>
      </c>
      <c r="K29" s="53">
        <f t="shared" si="14"/>
        <v>0</v>
      </c>
      <c r="L29" s="53">
        <v>0.4</v>
      </c>
      <c r="M29" s="58">
        <f t="shared" si="15"/>
        <v>0.1312548076900133</v>
      </c>
      <c r="N29" s="58">
        <f t="shared" si="16"/>
        <v>0.1312548076900133</v>
      </c>
      <c r="O29" s="59">
        <f t="shared" si="17"/>
        <v>11.636133293080716</v>
      </c>
    </row>
    <row r="30" spans="1:15" x14ac:dyDescent="0.2">
      <c r="A30" s="37">
        <v>1320</v>
      </c>
      <c r="B30" s="55">
        <v>36</v>
      </c>
      <c r="C30" s="56" t="s">
        <v>23</v>
      </c>
      <c r="D30" s="57">
        <f>'Headloss Calcs'!$A$41</f>
        <v>21</v>
      </c>
      <c r="E30" s="53">
        <f t="shared" si="9"/>
        <v>32.494058229352348</v>
      </c>
      <c r="F30" s="38">
        <f>'Headloss Calcs'!$H$18</f>
        <v>100</v>
      </c>
      <c r="G30" s="53">
        <f t="shared" si="10"/>
        <v>7.0686</v>
      </c>
      <c r="H30" s="53">
        <f t="shared" si="11"/>
        <v>9.4247999999999994</v>
      </c>
      <c r="I30" s="53">
        <f t="shared" si="12"/>
        <v>0.75</v>
      </c>
      <c r="J30" s="53">
        <f t="shared" si="13"/>
        <v>4.5969581288165049</v>
      </c>
      <c r="K30" s="53">
        <f t="shared" si="14"/>
        <v>3.7146425880810559</v>
      </c>
      <c r="L30" s="53"/>
      <c r="M30" s="58">
        <f t="shared" si="15"/>
        <v>0</v>
      </c>
      <c r="N30" s="58">
        <f t="shared" si="16"/>
        <v>3.7146425880810559</v>
      </c>
      <c r="O30" s="59">
        <f t="shared" si="17"/>
        <v>15.350775881161772</v>
      </c>
    </row>
    <row r="31" spans="1:15" x14ac:dyDescent="0.2">
      <c r="A31" s="37"/>
      <c r="B31" s="55">
        <v>36</v>
      </c>
      <c r="C31" s="56" t="s">
        <v>48</v>
      </c>
      <c r="D31" s="57">
        <f>'Headloss Calcs'!$A$41</f>
        <v>21</v>
      </c>
      <c r="E31" s="53">
        <f t="shared" si="9"/>
        <v>32.494058229352348</v>
      </c>
      <c r="F31" s="38">
        <f>'Headloss Calcs'!$H$18</f>
        <v>100</v>
      </c>
      <c r="G31" s="53">
        <f t="shared" si="10"/>
        <v>7.0686</v>
      </c>
      <c r="H31" s="53">
        <f t="shared" si="11"/>
        <v>9.4247999999999994</v>
      </c>
      <c r="I31" s="53">
        <f t="shared" si="12"/>
        <v>0.75</v>
      </c>
      <c r="J31" s="53">
        <f t="shared" si="13"/>
        <v>4.5969581288165049</v>
      </c>
      <c r="K31" s="53">
        <f t="shared" si="14"/>
        <v>0</v>
      </c>
      <c r="L31" s="53">
        <v>0.4</v>
      </c>
      <c r="M31" s="58">
        <f t="shared" si="15"/>
        <v>0.1312548076900133</v>
      </c>
      <c r="N31" s="58">
        <f t="shared" si="16"/>
        <v>0.1312548076900133</v>
      </c>
      <c r="O31" s="59">
        <f t="shared" si="17"/>
        <v>15.482030688851784</v>
      </c>
    </row>
    <row r="32" spans="1:15" x14ac:dyDescent="0.2">
      <c r="A32" s="37">
        <v>1320</v>
      </c>
      <c r="B32" s="55">
        <v>36</v>
      </c>
      <c r="C32" s="56" t="s">
        <v>23</v>
      </c>
      <c r="D32" s="57">
        <f>'Headloss Calcs'!$A$41</f>
        <v>21</v>
      </c>
      <c r="E32" s="53">
        <f t="shared" si="9"/>
        <v>32.494058229352348</v>
      </c>
      <c r="F32" s="38">
        <f>'Headloss Calcs'!$H$18</f>
        <v>100</v>
      </c>
      <c r="G32" s="53">
        <f t="shared" si="10"/>
        <v>7.0686</v>
      </c>
      <c r="H32" s="53">
        <f t="shared" si="11"/>
        <v>9.4247999999999994</v>
      </c>
      <c r="I32" s="53">
        <f t="shared" si="12"/>
        <v>0.75</v>
      </c>
      <c r="J32" s="53">
        <f t="shared" si="13"/>
        <v>4.5969581288165049</v>
      </c>
      <c r="K32" s="53">
        <f t="shared" si="14"/>
        <v>3.7146425880810559</v>
      </c>
      <c r="L32" s="53"/>
      <c r="M32" s="58">
        <f t="shared" si="15"/>
        <v>0</v>
      </c>
      <c r="N32" s="58">
        <f t="shared" si="16"/>
        <v>3.7146425880810559</v>
      </c>
      <c r="O32" s="59">
        <f t="shared" si="17"/>
        <v>19.196673276932842</v>
      </c>
    </row>
    <row r="33" spans="1:15" x14ac:dyDescent="0.2">
      <c r="A33" s="37"/>
      <c r="B33" s="55">
        <v>36</v>
      </c>
      <c r="C33" s="56" t="s">
        <v>39</v>
      </c>
      <c r="D33" s="57">
        <f>'Headloss Calcs'!$A$41</f>
        <v>21</v>
      </c>
      <c r="E33" s="53">
        <f t="shared" si="9"/>
        <v>32.494058229352348</v>
      </c>
      <c r="F33" s="38">
        <f>'Headloss Calcs'!$H$18</f>
        <v>100</v>
      </c>
      <c r="G33" s="53">
        <f t="shared" si="10"/>
        <v>7.0686</v>
      </c>
      <c r="H33" s="53">
        <f t="shared" si="11"/>
        <v>9.4247999999999994</v>
      </c>
      <c r="I33" s="53">
        <f t="shared" si="12"/>
        <v>0.75</v>
      </c>
      <c r="J33" s="53">
        <f t="shared" si="13"/>
        <v>4.5969581288165049</v>
      </c>
      <c r="K33" s="53">
        <f t="shared" si="14"/>
        <v>0</v>
      </c>
      <c r="L33" s="53">
        <v>0.4</v>
      </c>
      <c r="M33" s="58">
        <f t="shared" si="15"/>
        <v>0.1312548076900133</v>
      </c>
      <c r="N33" s="58">
        <f t="shared" si="16"/>
        <v>0.1312548076900133</v>
      </c>
      <c r="O33" s="59">
        <f t="shared" si="17"/>
        <v>19.327928084622854</v>
      </c>
    </row>
    <row r="34" spans="1:15" x14ac:dyDescent="0.2">
      <c r="A34" s="37">
        <v>1320</v>
      </c>
      <c r="B34" s="55">
        <v>36</v>
      </c>
      <c r="C34" s="56" t="s">
        <v>23</v>
      </c>
      <c r="D34" s="57">
        <f>'Headloss Calcs'!$A$41</f>
        <v>21</v>
      </c>
      <c r="E34" s="53">
        <f t="shared" si="9"/>
        <v>32.494058229352348</v>
      </c>
      <c r="F34" s="38">
        <f>'Headloss Calcs'!$H$18</f>
        <v>100</v>
      </c>
      <c r="G34" s="53">
        <f t="shared" si="10"/>
        <v>7.0686</v>
      </c>
      <c r="H34" s="53">
        <f t="shared" si="11"/>
        <v>9.4247999999999994</v>
      </c>
      <c r="I34" s="53">
        <f t="shared" si="12"/>
        <v>0.75</v>
      </c>
      <c r="J34" s="53">
        <f t="shared" si="13"/>
        <v>4.5969581288165049</v>
      </c>
      <c r="K34" s="53">
        <f t="shared" si="14"/>
        <v>3.7146425880810559</v>
      </c>
      <c r="L34" s="53"/>
      <c r="M34" s="58">
        <f t="shared" si="15"/>
        <v>0</v>
      </c>
      <c r="N34" s="58">
        <f t="shared" si="16"/>
        <v>3.7146425880810559</v>
      </c>
      <c r="O34" s="59">
        <f t="shared" si="17"/>
        <v>23.04257067270391</v>
      </c>
    </row>
    <row r="35" spans="1:15" x14ac:dyDescent="0.2">
      <c r="A35" s="37"/>
      <c r="B35" s="55">
        <v>36</v>
      </c>
      <c r="C35" s="56" t="s">
        <v>45</v>
      </c>
      <c r="D35" s="57">
        <f>'Headloss Calcs'!$A$41</f>
        <v>21</v>
      </c>
      <c r="E35" s="53">
        <f t="shared" si="9"/>
        <v>32.494058229352348</v>
      </c>
      <c r="F35" s="38">
        <f>'Headloss Calcs'!$H$18</f>
        <v>100</v>
      </c>
      <c r="G35" s="53">
        <f t="shared" si="10"/>
        <v>7.0686</v>
      </c>
      <c r="H35" s="53">
        <f t="shared" si="11"/>
        <v>9.4247999999999994</v>
      </c>
      <c r="I35" s="53">
        <f t="shared" si="12"/>
        <v>0.75</v>
      </c>
      <c r="J35" s="53">
        <f t="shared" si="13"/>
        <v>4.5969581288165049</v>
      </c>
      <c r="K35" s="53">
        <f t="shared" si="14"/>
        <v>0</v>
      </c>
      <c r="L35" s="53">
        <v>0.2</v>
      </c>
      <c r="M35" s="58">
        <f t="shared" si="15"/>
        <v>6.5627403845006649E-2</v>
      </c>
      <c r="N35" s="58">
        <f t="shared" si="16"/>
        <v>6.5627403845006649E-2</v>
      </c>
      <c r="O35" s="59">
        <f t="shared" si="17"/>
        <v>23.108198076548916</v>
      </c>
    </row>
    <row r="36" spans="1:15" x14ac:dyDescent="0.2">
      <c r="A36" s="37">
        <v>1320</v>
      </c>
      <c r="B36" s="55">
        <v>36</v>
      </c>
      <c r="C36" s="56" t="s">
        <v>23</v>
      </c>
      <c r="D36" s="57">
        <f>'Headloss Calcs'!$A$41</f>
        <v>21</v>
      </c>
      <c r="E36" s="53">
        <f t="shared" si="9"/>
        <v>32.494058229352348</v>
      </c>
      <c r="F36" s="38">
        <f>'Headloss Calcs'!$H$18</f>
        <v>100</v>
      </c>
      <c r="G36" s="53">
        <f t="shared" si="10"/>
        <v>7.0686</v>
      </c>
      <c r="H36" s="53">
        <f t="shared" si="11"/>
        <v>9.4247999999999994</v>
      </c>
      <c r="I36" s="53">
        <f t="shared" si="12"/>
        <v>0.75</v>
      </c>
      <c r="J36" s="53">
        <f t="shared" si="13"/>
        <v>4.5969581288165049</v>
      </c>
      <c r="K36" s="53">
        <f t="shared" si="14"/>
        <v>3.7146425880810559</v>
      </c>
      <c r="L36" s="53"/>
      <c r="M36" s="58">
        <f t="shared" si="15"/>
        <v>0</v>
      </c>
      <c r="N36" s="58">
        <f t="shared" si="16"/>
        <v>3.7146425880810559</v>
      </c>
      <c r="O36" s="59">
        <f t="shared" si="17"/>
        <v>26.822840664629972</v>
      </c>
    </row>
    <row r="37" spans="1:15" ht="12" customHeight="1" x14ac:dyDescent="0.2">
      <c r="A37" s="37"/>
      <c r="B37" s="55">
        <v>36</v>
      </c>
      <c r="C37" s="56" t="s">
        <v>44</v>
      </c>
      <c r="D37" s="57">
        <f>'Headloss Calcs'!$A$41</f>
        <v>21</v>
      </c>
      <c r="E37" s="53">
        <f t="shared" si="9"/>
        <v>32.494058229352348</v>
      </c>
      <c r="F37" s="38">
        <f>'Headloss Calcs'!$H$18</f>
        <v>100</v>
      </c>
      <c r="G37" s="53">
        <f t="shared" si="10"/>
        <v>7.0686</v>
      </c>
      <c r="H37" s="53">
        <f t="shared" si="11"/>
        <v>9.4247999999999994</v>
      </c>
      <c r="I37" s="53">
        <f t="shared" si="12"/>
        <v>0.75</v>
      </c>
      <c r="J37" s="53">
        <f t="shared" si="13"/>
        <v>4.5969581288165049</v>
      </c>
      <c r="K37" s="53">
        <f t="shared" si="14"/>
        <v>0</v>
      </c>
      <c r="L37" s="53">
        <v>1</v>
      </c>
      <c r="M37" s="58">
        <f t="shared" si="15"/>
        <v>0.32813701922503319</v>
      </c>
      <c r="N37" s="58">
        <f t="shared" si="16"/>
        <v>0.32813701922503319</v>
      </c>
      <c r="O37" s="59">
        <f t="shared" si="17"/>
        <v>27.150977683855004</v>
      </c>
    </row>
    <row r="38" spans="1:15" ht="13.5" thickBot="1" x14ac:dyDescent="0.25">
      <c r="A38" s="39"/>
      <c r="B38" s="40"/>
      <c r="C38" s="41"/>
      <c r="D38" s="40"/>
      <c r="E38" s="42"/>
      <c r="F38" s="40"/>
      <c r="G38" s="54"/>
      <c r="H38" s="54"/>
      <c r="I38" s="54"/>
      <c r="J38" s="54"/>
      <c r="K38" s="54"/>
      <c r="L38" s="54"/>
      <c r="M38" s="60"/>
      <c r="N38" s="60" t="s">
        <v>40</v>
      </c>
      <c r="O38" s="61">
        <f>O37</f>
        <v>27.150977683855004</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52"/>
  <sheetViews>
    <sheetView topLeftCell="A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Calcs'!$A$42</f>
        <v>22</v>
      </c>
      <c r="E3" s="53">
        <f t="shared" ref="E3:E18" si="0">D3*1000000/(7.48*24*60*60)</f>
        <v>34.041394335511981</v>
      </c>
      <c r="F3" s="38">
        <f>'Headloss Calcs'!$E$18</f>
        <v>140</v>
      </c>
      <c r="G3" s="53">
        <f t="shared" ref="G3:G18" si="1">3.1416/4*(B3/12)^2</f>
        <v>7.0686</v>
      </c>
      <c r="H3" s="53">
        <f t="shared" ref="H3:H18" si="2">3.1416*(B3/12)</f>
        <v>9.4247999999999994</v>
      </c>
      <c r="I3" s="53">
        <f t="shared" ref="I3:I18" si="3">G3/H3</f>
        <v>0.75</v>
      </c>
      <c r="J3" s="53">
        <f t="shared" ref="J3:J18" si="4">E3/G3</f>
        <v>4.8158608968553862</v>
      </c>
      <c r="K3" s="53">
        <f t="shared" ref="K3:K18" si="5">(J3/(1.318*F3*I3^0.63))^1.85*A3</f>
        <v>0</v>
      </c>
      <c r="L3" s="53">
        <v>0.25</v>
      </c>
      <c r="M3" s="58">
        <f t="shared" ref="M3:M18" si="6">L3*(J3^2)/(2*32.2)</f>
        <v>9.0033059696664447E-2</v>
      </c>
      <c r="N3" s="58">
        <f t="shared" ref="N3:N18" si="7">K3+M3</f>
        <v>9.0033059696664447E-2</v>
      </c>
      <c r="O3" s="59">
        <f>N3</f>
        <v>9.0033059696664447E-2</v>
      </c>
    </row>
    <row r="4" spans="1:15" x14ac:dyDescent="0.2">
      <c r="A4" s="37"/>
      <c r="B4" s="55">
        <v>36</v>
      </c>
      <c r="C4" s="56" t="s">
        <v>47</v>
      </c>
      <c r="D4" s="57">
        <f>'Headloss Calcs'!$A$42</f>
        <v>22</v>
      </c>
      <c r="E4" s="53">
        <f t="shared" si="0"/>
        <v>34.041394335511981</v>
      </c>
      <c r="F4" s="38">
        <f>'Headloss Calcs'!$E$18</f>
        <v>140</v>
      </c>
      <c r="G4" s="53">
        <f t="shared" si="1"/>
        <v>7.0686</v>
      </c>
      <c r="H4" s="53">
        <f t="shared" si="2"/>
        <v>9.4247999999999994</v>
      </c>
      <c r="I4" s="53">
        <f t="shared" si="3"/>
        <v>0.75</v>
      </c>
      <c r="J4" s="53">
        <f t="shared" si="4"/>
        <v>4.8158608968553862</v>
      </c>
      <c r="K4" s="53">
        <f t="shared" si="5"/>
        <v>0</v>
      </c>
      <c r="L4" s="53">
        <v>0.25</v>
      </c>
      <c r="M4" s="58">
        <f t="shared" si="6"/>
        <v>9.0033059696664447E-2</v>
      </c>
      <c r="N4" s="58">
        <f t="shared" si="7"/>
        <v>9.0033059696664447E-2</v>
      </c>
      <c r="O4" s="59">
        <f t="shared" ref="O4:O18" si="8">N4+O3</f>
        <v>0.18006611939332889</v>
      </c>
    </row>
    <row r="5" spans="1:15" x14ac:dyDescent="0.2">
      <c r="A5" s="37">
        <v>1320</v>
      </c>
      <c r="B5" s="55">
        <v>36</v>
      </c>
      <c r="C5" s="56" t="s">
        <v>23</v>
      </c>
      <c r="D5" s="57">
        <f>'Headloss Calcs'!$A$42</f>
        <v>22</v>
      </c>
      <c r="E5" s="53">
        <f t="shared" si="0"/>
        <v>34.041394335511981</v>
      </c>
      <c r="F5" s="38">
        <f>'Headloss Calcs'!$E$18</f>
        <v>140</v>
      </c>
      <c r="G5" s="53">
        <f t="shared" si="1"/>
        <v>7.0686</v>
      </c>
      <c r="H5" s="53">
        <f t="shared" si="2"/>
        <v>9.4247999999999994</v>
      </c>
      <c r="I5" s="53">
        <f t="shared" si="3"/>
        <v>0.75</v>
      </c>
      <c r="J5" s="53">
        <f t="shared" si="4"/>
        <v>4.8158608968553862</v>
      </c>
      <c r="K5" s="53">
        <f t="shared" si="5"/>
        <v>2.1724832257034055</v>
      </c>
      <c r="L5" s="53"/>
      <c r="M5" s="58">
        <f t="shared" si="6"/>
        <v>0</v>
      </c>
      <c r="N5" s="58">
        <f t="shared" si="7"/>
        <v>2.1724832257034055</v>
      </c>
      <c r="O5" s="59">
        <f t="shared" si="8"/>
        <v>2.3525493450967345</v>
      </c>
    </row>
    <row r="6" spans="1:15" x14ac:dyDescent="0.2">
      <c r="A6" s="37"/>
      <c r="B6" s="55">
        <v>36</v>
      </c>
      <c r="C6" s="56" t="s">
        <v>45</v>
      </c>
      <c r="D6" s="57">
        <f>'Headloss Calcs'!$A$42</f>
        <v>22</v>
      </c>
      <c r="E6" s="53">
        <f t="shared" si="0"/>
        <v>34.041394335511981</v>
      </c>
      <c r="F6" s="38">
        <f>'Headloss Calcs'!$E$18</f>
        <v>140</v>
      </c>
      <c r="G6" s="53">
        <f t="shared" si="1"/>
        <v>7.0686</v>
      </c>
      <c r="H6" s="53">
        <f t="shared" si="2"/>
        <v>9.4247999999999994</v>
      </c>
      <c r="I6" s="53">
        <f t="shared" si="3"/>
        <v>0.75</v>
      </c>
      <c r="J6" s="53">
        <f t="shared" si="4"/>
        <v>4.8158608968553862</v>
      </c>
      <c r="K6" s="53">
        <f t="shared" si="5"/>
        <v>0</v>
      </c>
      <c r="L6" s="53">
        <v>0.2</v>
      </c>
      <c r="M6" s="58">
        <f t="shared" si="6"/>
        <v>7.2026447757331566E-2</v>
      </c>
      <c r="N6" s="58">
        <f t="shared" si="7"/>
        <v>7.2026447757331566E-2</v>
      </c>
      <c r="O6" s="59">
        <f t="shared" si="8"/>
        <v>2.4245757928540659</v>
      </c>
    </row>
    <row r="7" spans="1:15" x14ac:dyDescent="0.2">
      <c r="A7" s="37">
        <v>1320</v>
      </c>
      <c r="B7" s="55">
        <v>36</v>
      </c>
      <c r="C7" s="69" t="s">
        <v>23</v>
      </c>
      <c r="D7" s="57">
        <f>'Headloss Calcs'!$A$42</f>
        <v>22</v>
      </c>
      <c r="E7" s="53">
        <f t="shared" si="0"/>
        <v>34.041394335511981</v>
      </c>
      <c r="F7" s="38">
        <f>'Headloss Calcs'!$E$18</f>
        <v>140</v>
      </c>
      <c r="G7" s="53">
        <f t="shared" si="1"/>
        <v>7.0686</v>
      </c>
      <c r="H7" s="53">
        <f t="shared" si="2"/>
        <v>9.4247999999999994</v>
      </c>
      <c r="I7" s="53">
        <f t="shared" si="3"/>
        <v>0.75</v>
      </c>
      <c r="J7" s="53">
        <f t="shared" si="4"/>
        <v>4.8158608968553862</v>
      </c>
      <c r="K7" s="53">
        <f t="shared" si="5"/>
        <v>2.1724832257034055</v>
      </c>
      <c r="L7" s="53"/>
      <c r="M7" s="58">
        <f t="shared" si="6"/>
        <v>0</v>
      </c>
      <c r="N7" s="58">
        <f t="shared" si="7"/>
        <v>2.1724832257034055</v>
      </c>
      <c r="O7" s="59">
        <f t="shared" si="8"/>
        <v>4.5970590185574718</v>
      </c>
    </row>
    <row r="8" spans="1:15" x14ac:dyDescent="0.2">
      <c r="A8" s="37"/>
      <c r="B8" s="55">
        <v>36</v>
      </c>
      <c r="C8" s="56" t="s">
        <v>39</v>
      </c>
      <c r="D8" s="57">
        <f>'Headloss Calcs'!$A$42</f>
        <v>22</v>
      </c>
      <c r="E8" s="53">
        <f t="shared" si="0"/>
        <v>34.041394335511981</v>
      </c>
      <c r="F8" s="38">
        <f>'Headloss Calcs'!$E$18</f>
        <v>140</v>
      </c>
      <c r="G8" s="53">
        <f t="shared" si="1"/>
        <v>7.0686</v>
      </c>
      <c r="H8" s="53">
        <f t="shared" si="2"/>
        <v>9.4247999999999994</v>
      </c>
      <c r="I8" s="53">
        <f t="shared" si="3"/>
        <v>0.75</v>
      </c>
      <c r="J8" s="53">
        <f t="shared" si="4"/>
        <v>4.8158608968553862</v>
      </c>
      <c r="K8" s="53">
        <f t="shared" si="5"/>
        <v>0</v>
      </c>
      <c r="L8" s="53">
        <v>0.4</v>
      </c>
      <c r="M8" s="58">
        <f t="shared" si="6"/>
        <v>0.14405289551466313</v>
      </c>
      <c r="N8" s="58">
        <f t="shared" si="7"/>
        <v>0.14405289551466313</v>
      </c>
      <c r="O8" s="59">
        <f t="shared" si="8"/>
        <v>4.7411119140721345</v>
      </c>
    </row>
    <row r="9" spans="1:15" x14ac:dyDescent="0.2">
      <c r="A9" s="37">
        <v>1320</v>
      </c>
      <c r="B9" s="55">
        <v>36</v>
      </c>
      <c r="C9" s="56" t="s">
        <v>23</v>
      </c>
      <c r="D9" s="57">
        <f>'Headloss Calcs'!$A$42</f>
        <v>22</v>
      </c>
      <c r="E9" s="53">
        <f t="shared" si="0"/>
        <v>34.041394335511981</v>
      </c>
      <c r="F9" s="38">
        <f>'Headloss Calcs'!$E$18</f>
        <v>140</v>
      </c>
      <c r="G9" s="53">
        <f t="shared" si="1"/>
        <v>7.0686</v>
      </c>
      <c r="H9" s="53">
        <f t="shared" si="2"/>
        <v>9.4247999999999994</v>
      </c>
      <c r="I9" s="53">
        <f t="shared" si="3"/>
        <v>0.75</v>
      </c>
      <c r="J9" s="53">
        <f t="shared" si="4"/>
        <v>4.8158608968553862</v>
      </c>
      <c r="K9" s="53">
        <f t="shared" si="5"/>
        <v>2.1724832257034055</v>
      </c>
      <c r="L9" s="53"/>
      <c r="M9" s="58">
        <f t="shared" si="6"/>
        <v>0</v>
      </c>
      <c r="N9" s="58">
        <f t="shared" si="7"/>
        <v>2.1724832257034055</v>
      </c>
      <c r="O9" s="59">
        <f t="shared" si="8"/>
        <v>6.9135951397755395</v>
      </c>
    </row>
    <row r="10" spans="1:15" x14ac:dyDescent="0.2">
      <c r="A10" s="37"/>
      <c r="B10" s="55">
        <v>36</v>
      </c>
      <c r="C10" s="56" t="s">
        <v>39</v>
      </c>
      <c r="D10" s="57">
        <f>'Headloss Calcs'!$A$42</f>
        <v>22</v>
      </c>
      <c r="E10" s="53">
        <f t="shared" si="0"/>
        <v>34.041394335511981</v>
      </c>
      <c r="F10" s="38">
        <f>'Headloss Calcs'!$E$18</f>
        <v>140</v>
      </c>
      <c r="G10" s="53">
        <f t="shared" si="1"/>
        <v>7.0686</v>
      </c>
      <c r="H10" s="53">
        <f t="shared" si="2"/>
        <v>9.4247999999999994</v>
      </c>
      <c r="I10" s="53">
        <f t="shared" si="3"/>
        <v>0.75</v>
      </c>
      <c r="J10" s="53">
        <f t="shared" si="4"/>
        <v>4.8158608968553862</v>
      </c>
      <c r="K10" s="53">
        <f t="shared" si="5"/>
        <v>0</v>
      </c>
      <c r="L10" s="53">
        <v>0.4</v>
      </c>
      <c r="M10" s="58">
        <f t="shared" si="6"/>
        <v>0.14405289551466313</v>
      </c>
      <c r="N10" s="58">
        <f t="shared" si="7"/>
        <v>0.14405289551466313</v>
      </c>
      <c r="O10" s="59">
        <f t="shared" si="8"/>
        <v>7.0576480352902022</v>
      </c>
    </row>
    <row r="11" spans="1:15" x14ac:dyDescent="0.2">
      <c r="A11" s="37">
        <v>1320</v>
      </c>
      <c r="B11" s="55">
        <v>36</v>
      </c>
      <c r="C11" s="56" t="s">
        <v>23</v>
      </c>
      <c r="D11" s="57">
        <f>'Headloss Calcs'!$A$42</f>
        <v>22</v>
      </c>
      <c r="E11" s="53">
        <f t="shared" si="0"/>
        <v>34.041394335511981</v>
      </c>
      <c r="F11" s="38">
        <f>'Headloss Calcs'!$E$18</f>
        <v>140</v>
      </c>
      <c r="G11" s="53">
        <f t="shared" si="1"/>
        <v>7.0686</v>
      </c>
      <c r="H11" s="53">
        <f t="shared" si="2"/>
        <v>9.4247999999999994</v>
      </c>
      <c r="I11" s="53">
        <f t="shared" si="3"/>
        <v>0.75</v>
      </c>
      <c r="J11" s="53">
        <f t="shared" si="4"/>
        <v>4.8158608968553862</v>
      </c>
      <c r="K11" s="53">
        <f t="shared" si="5"/>
        <v>2.1724832257034055</v>
      </c>
      <c r="L11" s="53"/>
      <c r="M11" s="58">
        <f t="shared" si="6"/>
        <v>0</v>
      </c>
      <c r="N11" s="58">
        <f t="shared" si="7"/>
        <v>2.1724832257034055</v>
      </c>
      <c r="O11" s="59">
        <f t="shared" si="8"/>
        <v>9.2301312609936073</v>
      </c>
    </row>
    <row r="12" spans="1:15" x14ac:dyDescent="0.2">
      <c r="A12" s="37"/>
      <c r="B12" s="55">
        <v>36</v>
      </c>
      <c r="C12" s="56" t="s">
        <v>48</v>
      </c>
      <c r="D12" s="57">
        <f>'Headloss Calcs'!$A$42</f>
        <v>22</v>
      </c>
      <c r="E12" s="53">
        <f t="shared" si="0"/>
        <v>34.041394335511981</v>
      </c>
      <c r="F12" s="38">
        <f>'Headloss Calcs'!$E$18</f>
        <v>140</v>
      </c>
      <c r="G12" s="53">
        <f t="shared" si="1"/>
        <v>7.0686</v>
      </c>
      <c r="H12" s="53">
        <f t="shared" si="2"/>
        <v>9.4247999999999994</v>
      </c>
      <c r="I12" s="53">
        <f t="shared" si="3"/>
        <v>0.75</v>
      </c>
      <c r="J12" s="53">
        <f t="shared" si="4"/>
        <v>4.8158608968553862</v>
      </c>
      <c r="K12" s="53">
        <f t="shared" si="5"/>
        <v>0</v>
      </c>
      <c r="L12" s="53">
        <v>0.4</v>
      </c>
      <c r="M12" s="58">
        <f t="shared" si="6"/>
        <v>0.14405289551466313</v>
      </c>
      <c r="N12" s="58">
        <f t="shared" si="7"/>
        <v>0.14405289551466313</v>
      </c>
      <c r="O12" s="59">
        <f t="shared" si="8"/>
        <v>9.3741841565082709</v>
      </c>
    </row>
    <row r="13" spans="1:15" x14ac:dyDescent="0.2">
      <c r="A13" s="37">
        <v>1320</v>
      </c>
      <c r="B13" s="55">
        <v>36</v>
      </c>
      <c r="C13" s="56" t="s">
        <v>23</v>
      </c>
      <c r="D13" s="57">
        <f>'Headloss Calcs'!$A$42</f>
        <v>22</v>
      </c>
      <c r="E13" s="53">
        <f t="shared" si="0"/>
        <v>34.041394335511981</v>
      </c>
      <c r="F13" s="38">
        <f>'Headloss Calcs'!$E$18</f>
        <v>140</v>
      </c>
      <c r="G13" s="53">
        <f t="shared" si="1"/>
        <v>7.0686</v>
      </c>
      <c r="H13" s="53">
        <f t="shared" si="2"/>
        <v>9.4247999999999994</v>
      </c>
      <c r="I13" s="53">
        <f t="shared" si="3"/>
        <v>0.75</v>
      </c>
      <c r="J13" s="53">
        <f t="shared" si="4"/>
        <v>4.8158608968553862</v>
      </c>
      <c r="K13" s="53">
        <f t="shared" si="5"/>
        <v>2.1724832257034055</v>
      </c>
      <c r="L13" s="53"/>
      <c r="M13" s="58">
        <f t="shared" si="6"/>
        <v>0</v>
      </c>
      <c r="N13" s="58">
        <f t="shared" si="7"/>
        <v>2.1724832257034055</v>
      </c>
      <c r="O13" s="59">
        <f t="shared" si="8"/>
        <v>11.546667382211677</v>
      </c>
    </row>
    <row r="14" spans="1:15" x14ac:dyDescent="0.2">
      <c r="A14" s="37"/>
      <c r="B14" s="55">
        <v>36</v>
      </c>
      <c r="C14" s="56" t="s">
        <v>39</v>
      </c>
      <c r="D14" s="57">
        <f>'Headloss Calcs'!$A$42</f>
        <v>22</v>
      </c>
      <c r="E14" s="53">
        <f t="shared" si="0"/>
        <v>34.041394335511981</v>
      </c>
      <c r="F14" s="38">
        <f>'Headloss Calcs'!$E$18</f>
        <v>140</v>
      </c>
      <c r="G14" s="53">
        <f t="shared" si="1"/>
        <v>7.0686</v>
      </c>
      <c r="H14" s="53">
        <f t="shared" si="2"/>
        <v>9.4247999999999994</v>
      </c>
      <c r="I14" s="53">
        <f t="shared" si="3"/>
        <v>0.75</v>
      </c>
      <c r="J14" s="53">
        <f t="shared" si="4"/>
        <v>4.8158608968553862</v>
      </c>
      <c r="K14" s="53">
        <f t="shared" si="5"/>
        <v>0</v>
      </c>
      <c r="L14" s="53">
        <v>0.4</v>
      </c>
      <c r="M14" s="58">
        <f t="shared" si="6"/>
        <v>0.14405289551466313</v>
      </c>
      <c r="N14" s="58">
        <f t="shared" si="7"/>
        <v>0.14405289551466313</v>
      </c>
      <c r="O14" s="59">
        <f t="shared" si="8"/>
        <v>11.69072027772634</v>
      </c>
    </row>
    <row r="15" spans="1:15" x14ac:dyDescent="0.2">
      <c r="A15" s="37">
        <v>1320</v>
      </c>
      <c r="B15" s="55">
        <v>36</v>
      </c>
      <c r="C15" s="56" t="s">
        <v>23</v>
      </c>
      <c r="D15" s="57">
        <f>'Headloss Calcs'!$A$42</f>
        <v>22</v>
      </c>
      <c r="E15" s="53">
        <f t="shared" si="0"/>
        <v>34.041394335511981</v>
      </c>
      <c r="F15" s="38">
        <f>'Headloss Calcs'!$E$18</f>
        <v>140</v>
      </c>
      <c r="G15" s="53">
        <f t="shared" si="1"/>
        <v>7.0686</v>
      </c>
      <c r="H15" s="53">
        <f t="shared" si="2"/>
        <v>9.4247999999999994</v>
      </c>
      <c r="I15" s="53">
        <f t="shared" si="3"/>
        <v>0.75</v>
      </c>
      <c r="J15" s="53">
        <f t="shared" si="4"/>
        <v>4.8158608968553862</v>
      </c>
      <c r="K15" s="53">
        <f t="shared" si="5"/>
        <v>2.1724832257034055</v>
      </c>
      <c r="L15" s="53"/>
      <c r="M15" s="58">
        <f t="shared" si="6"/>
        <v>0</v>
      </c>
      <c r="N15" s="58">
        <f t="shared" si="7"/>
        <v>2.1724832257034055</v>
      </c>
      <c r="O15" s="59">
        <f t="shared" si="8"/>
        <v>13.863203503429746</v>
      </c>
    </row>
    <row r="16" spans="1:15" x14ac:dyDescent="0.2">
      <c r="A16" s="37"/>
      <c r="B16" s="55">
        <v>36</v>
      </c>
      <c r="C16" s="56" t="s">
        <v>45</v>
      </c>
      <c r="D16" s="57">
        <f>'Headloss Calcs'!$A$42</f>
        <v>22</v>
      </c>
      <c r="E16" s="53">
        <f t="shared" si="0"/>
        <v>34.041394335511981</v>
      </c>
      <c r="F16" s="38">
        <f>'Headloss Calcs'!$E$18</f>
        <v>140</v>
      </c>
      <c r="G16" s="53">
        <f t="shared" si="1"/>
        <v>7.0686</v>
      </c>
      <c r="H16" s="53">
        <f t="shared" si="2"/>
        <v>9.4247999999999994</v>
      </c>
      <c r="I16" s="53">
        <f t="shared" si="3"/>
        <v>0.75</v>
      </c>
      <c r="J16" s="53">
        <f t="shared" si="4"/>
        <v>4.8158608968553862</v>
      </c>
      <c r="K16" s="53">
        <f t="shared" si="5"/>
        <v>0</v>
      </c>
      <c r="L16" s="53">
        <v>0.2</v>
      </c>
      <c r="M16" s="58">
        <f t="shared" si="6"/>
        <v>7.2026447757331566E-2</v>
      </c>
      <c r="N16" s="58">
        <f t="shared" si="7"/>
        <v>7.2026447757331566E-2</v>
      </c>
      <c r="O16" s="59">
        <f t="shared" si="8"/>
        <v>13.935229951187077</v>
      </c>
    </row>
    <row r="17" spans="1:15" x14ac:dyDescent="0.2">
      <c r="A17" s="37">
        <v>1320</v>
      </c>
      <c r="B17" s="55">
        <v>36</v>
      </c>
      <c r="C17" s="56" t="s">
        <v>23</v>
      </c>
      <c r="D17" s="57">
        <f>'Headloss Calcs'!$A$42</f>
        <v>22</v>
      </c>
      <c r="E17" s="53">
        <f t="shared" si="0"/>
        <v>34.041394335511981</v>
      </c>
      <c r="F17" s="38">
        <f>'Headloss Calcs'!$E$18</f>
        <v>140</v>
      </c>
      <c r="G17" s="53">
        <f t="shared" si="1"/>
        <v>7.0686</v>
      </c>
      <c r="H17" s="53">
        <f t="shared" si="2"/>
        <v>9.4247999999999994</v>
      </c>
      <c r="I17" s="53">
        <f t="shared" si="3"/>
        <v>0.75</v>
      </c>
      <c r="J17" s="53">
        <f t="shared" si="4"/>
        <v>4.8158608968553862</v>
      </c>
      <c r="K17" s="53">
        <f t="shared" si="5"/>
        <v>2.1724832257034055</v>
      </c>
      <c r="L17" s="53"/>
      <c r="M17" s="58">
        <f t="shared" si="6"/>
        <v>0</v>
      </c>
      <c r="N17" s="58">
        <f t="shared" si="7"/>
        <v>2.1724832257034055</v>
      </c>
      <c r="O17" s="59">
        <f t="shared" si="8"/>
        <v>16.107713176890481</v>
      </c>
    </row>
    <row r="18" spans="1:15" ht="12" customHeight="1" x14ac:dyDescent="0.2">
      <c r="A18" s="37"/>
      <c r="B18" s="55">
        <v>36</v>
      </c>
      <c r="C18" s="56" t="s">
        <v>44</v>
      </c>
      <c r="D18" s="57">
        <f>'Headloss Calcs'!$A$42</f>
        <v>22</v>
      </c>
      <c r="E18" s="53">
        <f t="shared" si="0"/>
        <v>34.041394335511981</v>
      </c>
      <c r="F18" s="38">
        <f>'Headloss Calcs'!$E$18</f>
        <v>140</v>
      </c>
      <c r="G18" s="53">
        <f t="shared" si="1"/>
        <v>7.0686</v>
      </c>
      <c r="H18" s="53">
        <f t="shared" si="2"/>
        <v>9.4247999999999994</v>
      </c>
      <c r="I18" s="53">
        <f t="shared" si="3"/>
        <v>0.75</v>
      </c>
      <c r="J18" s="53">
        <f t="shared" si="4"/>
        <v>4.8158608968553862</v>
      </c>
      <c r="K18" s="53">
        <f t="shared" si="5"/>
        <v>0</v>
      </c>
      <c r="L18" s="53">
        <v>1</v>
      </c>
      <c r="M18" s="58">
        <f t="shared" si="6"/>
        <v>0.36013223878665779</v>
      </c>
      <c r="N18" s="58">
        <f t="shared" si="7"/>
        <v>0.36013223878665779</v>
      </c>
      <c r="O18" s="59">
        <f t="shared" si="8"/>
        <v>16.467845415677139</v>
      </c>
    </row>
    <row r="19" spans="1:15" ht="13.5" thickBot="1" x14ac:dyDescent="0.25">
      <c r="A19" s="39"/>
      <c r="B19" s="40"/>
      <c r="C19" s="41"/>
      <c r="D19" s="40"/>
      <c r="E19" s="42"/>
      <c r="F19" s="40"/>
      <c r="G19" s="54"/>
      <c r="H19" s="54"/>
      <c r="I19" s="54"/>
      <c r="J19" s="54"/>
      <c r="K19" s="54"/>
      <c r="L19" s="54"/>
      <c r="M19" s="60"/>
      <c r="N19" s="60" t="s">
        <v>40</v>
      </c>
      <c r="O19" s="61">
        <f>O18</f>
        <v>16.467845415677139</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Calcs'!$A$42</f>
        <v>22</v>
      </c>
      <c r="E22" s="53">
        <f t="shared" ref="E22:E37" si="9">D22*1000000/(7.48*24*60*60)</f>
        <v>34.041394335511981</v>
      </c>
      <c r="F22" s="38">
        <f>'Headloss Calcs'!$H$18</f>
        <v>100</v>
      </c>
      <c r="G22" s="53">
        <f t="shared" ref="G22:G37" si="10">3.1416/4*(B22/12)^2</f>
        <v>7.0686</v>
      </c>
      <c r="H22" s="53">
        <f t="shared" ref="H22:H37" si="11">3.1416*(B22/12)</f>
        <v>9.4247999999999994</v>
      </c>
      <c r="I22" s="53">
        <f t="shared" ref="I22:I37" si="12">G22/H22</f>
        <v>0.75</v>
      </c>
      <c r="J22" s="53">
        <f t="shared" ref="J22:J37" si="13">E22/G22</f>
        <v>4.8158608968553862</v>
      </c>
      <c r="K22" s="53">
        <f t="shared" ref="K22:K37" si="14">(J22/(1.318*F22*I22^0.63))^1.85*A22</f>
        <v>0</v>
      </c>
      <c r="L22" s="53">
        <v>0.25</v>
      </c>
      <c r="M22" s="58">
        <f t="shared" ref="M22:M37" si="15">L22*(J22^2)/(2*32.2)</f>
        <v>9.0033059696664447E-2</v>
      </c>
      <c r="N22" s="58">
        <f t="shared" ref="N22:N37" si="16">K22+M22</f>
        <v>9.0033059696664447E-2</v>
      </c>
      <c r="O22" s="59">
        <f>N22</f>
        <v>9.0033059696664447E-2</v>
      </c>
    </row>
    <row r="23" spans="1:15" x14ac:dyDescent="0.2">
      <c r="A23" s="37"/>
      <c r="B23" s="55">
        <v>36</v>
      </c>
      <c r="C23" s="56" t="s">
        <v>47</v>
      </c>
      <c r="D23" s="57">
        <f>'Headloss Calcs'!$A$42</f>
        <v>22</v>
      </c>
      <c r="E23" s="53">
        <f t="shared" si="9"/>
        <v>34.041394335511981</v>
      </c>
      <c r="F23" s="38">
        <f>'Headloss Calcs'!$H$18</f>
        <v>100</v>
      </c>
      <c r="G23" s="53">
        <f t="shared" si="10"/>
        <v>7.0686</v>
      </c>
      <c r="H23" s="53">
        <f t="shared" si="11"/>
        <v>9.4247999999999994</v>
      </c>
      <c r="I23" s="53">
        <f t="shared" si="12"/>
        <v>0.75</v>
      </c>
      <c r="J23" s="53">
        <f t="shared" si="13"/>
        <v>4.8158608968553862</v>
      </c>
      <c r="K23" s="53">
        <f t="shared" si="14"/>
        <v>0</v>
      </c>
      <c r="L23" s="53">
        <v>0.25</v>
      </c>
      <c r="M23" s="58">
        <f t="shared" si="15"/>
        <v>9.0033059696664447E-2</v>
      </c>
      <c r="N23" s="58">
        <f t="shared" si="16"/>
        <v>9.0033059696664447E-2</v>
      </c>
      <c r="O23" s="59">
        <f t="shared" ref="O23:O37" si="17">N23+O22</f>
        <v>0.18006611939332889</v>
      </c>
    </row>
    <row r="24" spans="1:15" x14ac:dyDescent="0.2">
      <c r="A24" s="37">
        <v>1320</v>
      </c>
      <c r="B24" s="55">
        <v>36</v>
      </c>
      <c r="C24" s="56" t="s">
        <v>23</v>
      </c>
      <c r="D24" s="57">
        <f>'Headloss Calcs'!$A$42</f>
        <v>22</v>
      </c>
      <c r="E24" s="53">
        <f t="shared" si="9"/>
        <v>34.041394335511981</v>
      </c>
      <c r="F24" s="38">
        <f>'Headloss Calcs'!$H$18</f>
        <v>100</v>
      </c>
      <c r="G24" s="53">
        <f t="shared" si="10"/>
        <v>7.0686</v>
      </c>
      <c r="H24" s="53">
        <f t="shared" si="11"/>
        <v>9.4247999999999994</v>
      </c>
      <c r="I24" s="53">
        <f t="shared" si="12"/>
        <v>0.75</v>
      </c>
      <c r="J24" s="53">
        <f t="shared" si="13"/>
        <v>4.8158608968553862</v>
      </c>
      <c r="K24" s="53">
        <f t="shared" si="14"/>
        <v>4.0484921157061633</v>
      </c>
      <c r="L24" s="53"/>
      <c r="M24" s="58">
        <f t="shared" si="15"/>
        <v>0</v>
      </c>
      <c r="N24" s="58">
        <f t="shared" si="16"/>
        <v>4.0484921157061633</v>
      </c>
      <c r="O24" s="59">
        <f t="shared" si="17"/>
        <v>4.2285582350994924</v>
      </c>
    </row>
    <row r="25" spans="1:15" x14ac:dyDescent="0.2">
      <c r="A25" s="37"/>
      <c r="B25" s="55">
        <v>36</v>
      </c>
      <c r="C25" s="56" t="s">
        <v>45</v>
      </c>
      <c r="D25" s="57">
        <f>'Headloss Calcs'!$A$42</f>
        <v>22</v>
      </c>
      <c r="E25" s="53">
        <f t="shared" si="9"/>
        <v>34.041394335511981</v>
      </c>
      <c r="F25" s="38">
        <f>'Headloss Calcs'!$H$18</f>
        <v>100</v>
      </c>
      <c r="G25" s="53">
        <f t="shared" si="10"/>
        <v>7.0686</v>
      </c>
      <c r="H25" s="53">
        <f t="shared" si="11"/>
        <v>9.4247999999999994</v>
      </c>
      <c r="I25" s="53">
        <f t="shared" si="12"/>
        <v>0.75</v>
      </c>
      <c r="J25" s="53">
        <f t="shared" si="13"/>
        <v>4.8158608968553862</v>
      </c>
      <c r="K25" s="53">
        <f t="shared" si="14"/>
        <v>0</v>
      </c>
      <c r="L25" s="53">
        <v>0.2</v>
      </c>
      <c r="M25" s="58">
        <f t="shared" si="15"/>
        <v>7.2026447757331566E-2</v>
      </c>
      <c r="N25" s="58">
        <f t="shared" si="16"/>
        <v>7.2026447757331566E-2</v>
      </c>
      <c r="O25" s="59">
        <f t="shared" si="17"/>
        <v>4.3005846828568242</v>
      </c>
    </row>
    <row r="26" spans="1:15" x14ac:dyDescent="0.2">
      <c r="A26" s="37">
        <v>1320</v>
      </c>
      <c r="B26" s="55">
        <v>36</v>
      </c>
      <c r="C26" s="69" t="s">
        <v>23</v>
      </c>
      <c r="D26" s="57">
        <f>'Headloss Calcs'!$A$42</f>
        <v>22</v>
      </c>
      <c r="E26" s="53">
        <f t="shared" si="9"/>
        <v>34.041394335511981</v>
      </c>
      <c r="F26" s="38">
        <f>'Headloss Calcs'!$H$18</f>
        <v>100</v>
      </c>
      <c r="G26" s="53">
        <f t="shared" si="10"/>
        <v>7.0686</v>
      </c>
      <c r="H26" s="53">
        <f t="shared" si="11"/>
        <v>9.4247999999999994</v>
      </c>
      <c r="I26" s="53">
        <f t="shared" si="12"/>
        <v>0.75</v>
      </c>
      <c r="J26" s="53">
        <f t="shared" si="13"/>
        <v>4.8158608968553862</v>
      </c>
      <c r="K26" s="53">
        <f t="shared" si="14"/>
        <v>4.0484921157061633</v>
      </c>
      <c r="L26" s="53"/>
      <c r="M26" s="58">
        <f t="shared" si="15"/>
        <v>0</v>
      </c>
      <c r="N26" s="58">
        <f t="shared" si="16"/>
        <v>4.0484921157061633</v>
      </c>
      <c r="O26" s="59">
        <f t="shared" si="17"/>
        <v>8.3490767985629866</v>
      </c>
    </row>
    <row r="27" spans="1:15" x14ac:dyDescent="0.2">
      <c r="A27" s="37"/>
      <c r="B27" s="55">
        <v>36</v>
      </c>
      <c r="C27" s="56" t="s">
        <v>39</v>
      </c>
      <c r="D27" s="57">
        <f>'Headloss Calcs'!$A$42</f>
        <v>22</v>
      </c>
      <c r="E27" s="53">
        <f t="shared" si="9"/>
        <v>34.041394335511981</v>
      </c>
      <c r="F27" s="38">
        <f>'Headloss Calcs'!$H$18</f>
        <v>100</v>
      </c>
      <c r="G27" s="53">
        <f t="shared" si="10"/>
        <v>7.0686</v>
      </c>
      <c r="H27" s="53">
        <f t="shared" si="11"/>
        <v>9.4247999999999994</v>
      </c>
      <c r="I27" s="53">
        <f t="shared" si="12"/>
        <v>0.75</v>
      </c>
      <c r="J27" s="53">
        <f t="shared" si="13"/>
        <v>4.8158608968553862</v>
      </c>
      <c r="K27" s="53">
        <f t="shared" si="14"/>
        <v>0</v>
      </c>
      <c r="L27" s="53">
        <v>0.4</v>
      </c>
      <c r="M27" s="58">
        <f t="shared" si="15"/>
        <v>0.14405289551466313</v>
      </c>
      <c r="N27" s="58">
        <f t="shared" si="16"/>
        <v>0.14405289551466313</v>
      </c>
      <c r="O27" s="59">
        <f t="shared" si="17"/>
        <v>8.4931296940776502</v>
      </c>
    </row>
    <row r="28" spans="1:15" x14ac:dyDescent="0.2">
      <c r="A28" s="37">
        <v>1320</v>
      </c>
      <c r="B28" s="55">
        <v>36</v>
      </c>
      <c r="C28" s="56" t="s">
        <v>23</v>
      </c>
      <c r="D28" s="57">
        <f>'Headloss Calcs'!$A$42</f>
        <v>22</v>
      </c>
      <c r="E28" s="53">
        <f t="shared" si="9"/>
        <v>34.041394335511981</v>
      </c>
      <c r="F28" s="38">
        <f>'Headloss Calcs'!$H$18</f>
        <v>100</v>
      </c>
      <c r="G28" s="53">
        <f t="shared" si="10"/>
        <v>7.0686</v>
      </c>
      <c r="H28" s="53">
        <f t="shared" si="11"/>
        <v>9.4247999999999994</v>
      </c>
      <c r="I28" s="53">
        <f t="shared" si="12"/>
        <v>0.75</v>
      </c>
      <c r="J28" s="53">
        <f t="shared" si="13"/>
        <v>4.8158608968553862</v>
      </c>
      <c r="K28" s="53">
        <f t="shared" si="14"/>
        <v>4.0484921157061633</v>
      </c>
      <c r="L28" s="53"/>
      <c r="M28" s="58">
        <f t="shared" si="15"/>
        <v>0</v>
      </c>
      <c r="N28" s="58">
        <f t="shared" si="16"/>
        <v>4.0484921157061633</v>
      </c>
      <c r="O28" s="59">
        <f t="shared" si="17"/>
        <v>12.541621809783813</v>
      </c>
    </row>
    <row r="29" spans="1:15" x14ac:dyDescent="0.2">
      <c r="A29" s="37"/>
      <c r="B29" s="55">
        <v>36</v>
      </c>
      <c r="C29" s="56" t="s">
        <v>39</v>
      </c>
      <c r="D29" s="57">
        <f>'Headloss Calcs'!$A$42</f>
        <v>22</v>
      </c>
      <c r="E29" s="53">
        <f t="shared" si="9"/>
        <v>34.041394335511981</v>
      </c>
      <c r="F29" s="38">
        <f>'Headloss Calcs'!$H$18</f>
        <v>100</v>
      </c>
      <c r="G29" s="53">
        <f t="shared" si="10"/>
        <v>7.0686</v>
      </c>
      <c r="H29" s="53">
        <f t="shared" si="11"/>
        <v>9.4247999999999994</v>
      </c>
      <c r="I29" s="53">
        <f t="shared" si="12"/>
        <v>0.75</v>
      </c>
      <c r="J29" s="53">
        <f t="shared" si="13"/>
        <v>4.8158608968553862</v>
      </c>
      <c r="K29" s="53">
        <f t="shared" si="14"/>
        <v>0</v>
      </c>
      <c r="L29" s="53">
        <v>0.4</v>
      </c>
      <c r="M29" s="58">
        <f t="shared" si="15"/>
        <v>0.14405289551466313</v>
      </c>
      <c r="N29" s="58">
        <f t="shared" si="16"/>
        <v>0.14405289551466313</v>
      </c>
      <c r="O29" s="59">
        <f t="shared" si="17"/>
        <v>12.685674705298476</v>
      </c>
    </row>
    <row r="30" spans="1:15" x14ac:dyDescent="0.2">
      <c r="A30" s="37">
        <v>1320</v>
      </c>
      <c r="B30" s="55">
        <v>36</v>
      </c>
      <c r="C30" s="56" t="s">
        <v>23</v>
      </c>
      <c r="D30" s="57">
        <f>'Headloss Calcs'!$A$42</f>
        <v>22</v>
      </c>
      <c r="E30" s="53">
        <f t="shared" si="9"/>
        <v>34.041394335511981</v>
      </c>
      <c r="F30" s="38">
        <f>'Headloss Calcs'!$H$18</f>
        <v>100</v>
      </c>
      <c r="G30" s="53">
        <f t="shared" si="10"/>
        <v>7.0686</v>
      </c>
      <c r="H30" s="53">
        <f t="shared" si="11"/>
        <v>9.4247999999999994</v>
      </c>
      <c r="I30" s="53">
        <f t="shared" si="12"/>
        <v>0.75</v>
      </c>
      <c r="J30" s="53">
        <f t="shared" si="13"/>
        <v>4.8158608968553862</v>
      </c>
      <c r="K30" s="53">
        <f t="shared" si="14"/>
        <v>4.0484921157061633</v>
      </c>
      <c r="L30" s="53"/>
      <c r="M30" s="58">
        <f t="shared" si="15"/>
        <v>0</v>
      </c>
      <c r="N30" s="58">
        <f t="shared" si="16"/>
        <v>4.0484921157061633</v>
      </c>
      <c r="O30" s="59">
        <f t="shared" si="17"/>
        <v>16.734166821004639</v>
      </c>
    </row>
    <row r="31" spans="1:15" x14ac:dyDescent="0.2">
      <c r="A31" s="37"/>
      <c r="B31" s="55">
        <v>36</v>
      </c>
      <c r="C31" s="56" t="s">
        <v>48</v>
      </c>
      <c r="D31" s="57">
        <f>'Headloss Calcs'!$A$42</f>
        <v>22</v>
      </c>
      <c r="E31" s="53">
        <f t="shared" si="9"/>
        <v>34.041394335511981</v>
      </c>
      <c r="F31" s="38">
        <f>'Headloss Calcs'!$H$18</f>
        <v>100</v>
      </c>
      <c r="G31" s="53">
        <f t="shared" si="10"/>
        <v>7.0686</v>
      </c>
      <c r="H31" s="53">
        <f t="shared" si="11"/>
        <v>9.4247999999999994</v>
      </c>
      <c r="I31" s="53">
        <f t="shared" si="12"/>
        <v>0.75</v>
      </c>
      <c r="J31" s="53">
        <f t="shared" si="13"/>
        <v>4.8158608968553862</v>
      </c>
      <c r="K31" s="53">
        <f t="shared" si="14"/>
        <v>0</v>
      </c>
      <c r="L31" s="53">
        <v>0.4</v>
      </c>
      <c r="M31" s="58">
        <f t="shared" si="15"/>
        <v>0.14405289551466313</v>
      </c>
      <c r="N31" s="58">
        <f t="shared" si="16"/>
        <v>0.14405289551466313</v>
      </c>
      <c r="O31" s="59">
        <f t="shared" si="17"/>
        <v>16.8782197165193</v>
      </c>
    </row>
    <row r="32" spans="1:15" x14ac:dyDescent="0.2">
      <c r="A32" s="37">
        <v>1320</v>
      </c>
      <c r="B32" s="55">
        <v>36</v>
      </c>
      <c r="C32" s="56" t="s">
        <v>23</v>
      </c>
      <c r="D32" s="57">
        <f>'Headloss Calcs'!$A$42</f>
        <v>22</v>
      </c>
      <c r="E32" s="53">
        <f t="shared" si="9"/>
        <v>34.041394335511981</v>
      </c>
      <c r="F32" s="38">
        <f>'Headloss Calcs'!$H$18</f>
        <v>100</v>
      </c>
      <c r="G32" s="53">
        <f t="shared" si="10"/>
        <v>7.0686</v>
      </c>
      <c r="H32" s="53">
        <f t="shared" si="11"/>
        <v>9.4247999999999994</v>
      </c>
      <c r="I32" s="53">
        <f t="shared" si="12"/>
        <v>0.75</v>
      </c>
      <c r="J32" s="53">
        <f t="shared" si="13"/>
        <v>4.8158608968553862</v>
      </c>
      <c r="K32" s="53">
        <f t="shared" si="14"/>
        <v>4.0484921157061633</v>
      </c>
      <c r="L32" s="53"/>
      <c r="M32" s="58">
        <f t="shared" si="15"/>
        <v>0</v>
      </c>
      <c r="N32" s="58">
        <f t="shared" si="16"/>
        <v>4.0484921157061633</v>
      </c>
      <c r="O32" s="59">
        <f t="shared" si="17"/>
        <v>20.926711832225465</v>
      </c>
    </row>
    <row r="33" spans="1:15" x14ac:dyDescent="0.2">
      <c r="A33" s="37"/>
      <c r="B33" s="55">
        <v>36</v>
      </c>
      <c r="C33" s="56" t="s">
        <v>39</v>
      </c>
      <c r="D33" s="57">
        <f>'Headloss Calcs'!$A$42</f>
        <v>22</v>
      </c>
      <c r="E33" s="53">
        <f t="shared" si="9"/>
        <v>34.041394335511981</v>
      </c>
      <c r="F33" s="38">
        <f>'Headloss Calcs'!$H$18</f>
        <v>100</v>
      </c>
      <c r="G33" s="53">
        <f t="shared" si="10"/>
        <v>7.0686</v>
      </c>
      <c r="H33" s="53">
        <f t="shared" si="11"/>
        <v>9.4247999999999994</v>
      </c>
      <c r="I33" s="53">
        <f t="shared" si="12"/>
        <v>0.75</v>
      </c>
      <c r="J33" s="53">
        <f t="shared" si="13"/>
        <v>4.8158608968553862</v>
      </c>
      <c r="K33" s="53">
        <f t="shared" si="14"/>
        <v>0</v>
      </c>
      <c r="L33" s="53">
        <v>0.4</v>
      </c>
      <c r="M33" s="58">
        <f t="shared" si="15"/>
        <v>0.14405289551466313</v>
      </c>
      <c r="N33" s="58">
        <f t="shared" si="16"/>
        <v>0.14405289551466313</v>
      </c>
      <c r="O33" s="59">
        <f t="shared" si="17"/>
        <v>21.070764727740126</v>
      </c>
    </row>
    <row r="34" spans="1:15" x14ac:dyDescent="0.2">
      <c r="A34" s="37">
        <v>1320</v>
      </c>
      <c r="B34" s="55">
        <v>36</v>
      </c>
      <c r="C34" s="56" t="s">
        <v>23</v>
      </c>
      <c r="D34" s="57">
        <f>'Headloss Calcs'!$A$42</f>
        <v>22</v>
      </c>
      <c r="E34" s="53">
        <f t="shared" si="9"/>
        <v>34.041394335511981</v>
      </c>
      <c r="F34" s="38">
        <f>'Headloss Calcs'!$H$18</f>
        <v>100</v>
      </c>
      <c r="G34" s="53">
        <f t="shared" si="10"/>
        <v>7.0686</v>
      </c>
      <c r="H34" s="53">
        <f t="shared" si="11"/>
        <v>9.4247999999999994</v>
      </c>
      <c r="I34" s="53">
        <f t="shared" si="12"/>
        <v>0.75</v>
      </c>
      <c r="J34" s="53">
        <f t="shared" si="13"/>
        <v>4.8158608968553862</v>
      </c>
      <c r="K34" s="53">
        <f t="shared" si="14"/>
        <v>4.0484921157061633</v>
      </c>
      <c r="L34" s="53"/>
      <c r="M34" s="58">
        <f t="shared" si="15"/>
        <v>0</v>
      </c>
      <c r="N34" s="58">
        <f t="shared" si="16"/>
        <v>4.0484921157061633</v>
      </c>
      <c r="O34" s="59">
        <f t="shared" si="17"/>
        <v>25.119256843446291</v>
      </c>
    </row>
    <row r="35" spans="1:15" x14ac:dyDescent="0.2">
      <c r="A35" s="37"/>
      <c r="B35" s="55">
        <v>36</v>
      </c>
      <c r="C35" s="56" t="s">
        <v>45</v>
      </c>
      <c r="D35" s="57">
        <f>'Headloss Calcs'!$A$42</f>
        <v>22</v>
      </c>
      <c r="E35" s="53">
        <f t="shared" si="9"/>
        <v>34.041394335511981</v>
      </c>
      <c r="F35" s="38">
        <f>'Headloss Calcs'!$H$18</f>
        <v>100</v>
      </c>
      <c r="G35" s="53">
        <f t="shared" si="10"/>
        <v>7.0686</v>
      </c>
      <c r="H35" s="53">
        <f t="shared" si="11"/>
        <v>9.4247999999999994</v>
      </c>
      <c r="I35" s="53">
        <f t="shared" si="12"/>
        <v>0.75</v>
      </c>
      <c r="J35" s="53">
        <f t="shared" si="13"/>
        <v>4.8158608968553862</v>
      </c>
      <c r="K35" s="53">
        <f t="shared" si="14"/>
        <v>0</v>
      </c>
      <c r="L35" s="53">
        <v>0.2</v>
      </c>
      <c r="M35" s="58">
        <f t="shared" si="15"/>
        <v>7.2026447757331566E-2</v>
      </c>
      <c r="N35" s="58">
        <f t="shared" si="16"/>
        <v>7.2026447757331566E-2</v>
      </c>
      <c r="O35" s="59">
        <f t="shared" si="17"/>
        <v>25.191283291203622</v>
      </c>
    </row>
    <row r="36" spans="1:15" x14ac:dyDescent="0.2">
      <c r="A36" s="37">
        <v>1320</v>
      </c>
      <c r="B36" s="55">
        <v>36</v>
      </c>
      <c r="C36" s="56" t="s">
        <v>23</v>
      </c>
      <c r="D36" s="57">
        <f>'Headloss Calcs'!$A$42</f>
        <v>22</v>
      </c>
      <c r="E36" s="53">
        <f t="shared" si="9"/>
        <v>34.041394335511981</v>
      </c>
      <c r="F36" s="38">
        <f>'Headloss Calcs'!$H$18</f>
        <v>100</v>
      </c>
      <c r="G36" s="53">
        <f t="shared" si="10"/>
        <v>7.0686</v>
      </c>
      <c r="H36" s="53">
        <f t="shared" si="11"/>
        <v>9.4247999999999994</v>
      </c>
      <c r="I36" s="53">
        <f t="shared" si="12"/>
        <v>0.75</v>
      </c>
      <c r="J36" s="53">
        <f t="shared" si="13"/>
        <v>4.8158608968553862</v>
      </c>
      <c r="K36" s="53">
        <f t="shared" si="14"/>
        <v>4.0484921157061633</v>
      </c>
      <c r="L36" s="53"/>
      <c r="M36" s="58">
        <f t="shared" si="15"/>
        <v>0</v>
      </c>
      <c r="N36" s="58">
        <f t="shared" si="16"/>
        <v>4.0484921157061633</v>
      </c>
      <c r="O36" s="59">
        <f t="shared" si="17"/>
        <v>29.239775406909786</v>
      </c>
    </row>
    <row r="37" spans="1:15" ht="12" customHeight="1" x14ac:dyDescent="0.2">
      <c r="A37" s="37"/>
      <c r="B37" s="55">
        <v>36</v>
      </c>
      <c r="C37" s="56" t="s">
        <v>44</v>
      </c>
      <c r="D37" s="57">
        <f>'Headloss Calcs'!$A$42</f>
        <v>22</v>
      </c>
      <c r="E37" s="53">
        <f t="shared" si="9"/>
        <v>34.041394335511981</v>
      </c>
      <c r="F37" s="38">
        <f>'Headloss Calcs'!$H$18</f>
        <v>100</v>
      </c>
      <c r="G37" s="53">
        <f t="shared" si="10"/>
        <v>7.0686</v>
      </c>
      <c r="H37" s="53">
        <f t="shared" si="11"/>
        <v>9.4247999999999994</v>
      </c>
      <c r="I37" s="53">
        <f t="shared" si="12"/>
        <v>0.75</v>
      </c>
      <c r="J37" s="53">
        <f t="shared" si="13"/>
        <v>4.8158608968553862</v>
      </c>
      <c r="K37" s="53">
        <f t="shared" si="14"/>
        <v>0</v>
      </c>
      <c r="L37" s="53">
        <v>1</v>
      </c>
      <c r="M37" s="58">
        <f t="shared" si="15"/>
        <v>0.36013223878665779</v>
      </c>
      <c r="N37" s="58">
        <f t="shared" si="16"/>
        <v>0.36013223878665779</v>
      </c>
      <c r="O37" s="59">
        <f t="shared" si="17"/>
        <v>29.599907645696444</v>
      </c>
    </row>
    <row r="38" spans="1:15" ht="13.5" thickBot="1" x14ac:dyDescent="0.25">
      <c r="A38" s="39"/>
      <c r="B38" s="40"/>
      <c r="C38" s="41"/>
      <c r="D38" s="40"/>
      <c r="E38" s="42"/>
      <c r="F38" s="40"/>
      <c r="G38" s="54"/>
      <c r="H38" s="54"/>
      <c r="I38" s="54"/>
      <c r="J38" s="54"/>
      <c r="K38" s="54"/>
      <c r="L38" s="54"/>
      <c r="M38" s="60"/>
      <c r="N38" s="60" t="s">
        <v>40</v>
      </c>
      <c r="O38" s="61">
        <f>O37</f>
        <v>29.599907645696444</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row r="52" spans="1:15" x14ac:dyDescent="0.2">
      <c r="I52" t="s">
        <v>49</v>
      </c>
    </row>
  </sheetData>
  <phoneticPr fontId="2"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50"/>
  <sheetViews>
    <sheetView topLeftCell="A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Calcs'!$A$43</f>
        <v>23</v>
      </c>
      <c r="E3" s="53">
        <f t="shared" ref="E3:E18" si="0">D3*1000000/(7.48*24*60*60)</f>
        <v>35.588730441671615</v>
      </c>
      <c r="F3" s="38">
        <f>'Headloss Calcs'!$E$18</f>
        <v>140</v>
      </c>
      <c r="G3" s="53">
        <f t="shared" ref="G3:G18" si="1">3.1416/4*(B3/12)^2</f>
        <v>7.0686</v>
      </c>
      <c r="H3" s="53">
        <f t="shared" ref="H3:H18" si="2">3.1416*(B3/12)</f>
        <v>9.4247999999999994</v>
      </c>
      <c r="I3" s="53">
        <f t="shared" ref="I3:I18" si="3">G3/H3</f>
        <v>0.75</v>
      </c>
      <c r="J3" s="53">
        <f t="shared" ref="J3:J18" si="4">E3/G3</f>
        <v>5.0347636648942666</v>
      </c>
      <c r="K3" s="53">
        <f t="shared" ref="K3:K18" si="5">(J3/(1.318*F3*I3^0.63))^1.85*A3</f>
        <v>0</v>
      </c>
      <c r="L3" s="53">
        <v>0.25</v>
      </c>
      <c r="M3" s="58">
        <f t="shared" ref="M3:M18" si="6">L3*(J3^2)/(2*32.2)</f>
        <v>9.8403902023833631E-2</v>
      </c>
      <c r="N3" s="58">
        <f t="shared" ref="N3:N18" si="7">K3+M3</f>
        <v>9.8403902023833631E-2</v>
      </c>
      <c r="O3" s="59">
        <f>N3</f>
        <v>9.8403902023833631E-2</v>
      </c>
    </row>
    <row r="4" spans="1:15" x14ac:dyDescent="0.2">
      <c r="A4" s="37"/>
      <c r="B4" s="55">
        <v>36</v>
      </c>
      <c r="C4" s="56" t="s">
        <v>47</v>
      </c>
      <c r="D4" s="57">
        <f>'Headloss Calcs'!$A$43</f>
        <v>23</v>
      </c>
      <c r="E4" s="53">
        <f t="shared" si="0"/>
        <v>35.588730441671615</v>
      </c>
      <c r="F4" s="38">
        <f>'Headloss Calcs'!$E$18</f>
        <v>140</v>
      </c>
      <c r="G4" s="53">
        <f t="shared" si="1"/>
        <v>7.0686</v>
      </c>
      <c r="H4" s="53">
        <f t="shared" si="2"/>
        <v>9.4247999999999994</v>
      </c>
      <c r="I4" s="53">
        <f t="shared" si="3"/>
        <v>0.75</v>
      </c>
      <c r="J4" s="53">
        <f t="shared" si="4"/>
        <v>5.0347636648942666</v>
      </c>
      <c r="K4" s="53">
        <f t="shared" si="5"/>
        <v>0</v>
      </c>
      <c r="L4" s="53">
        <v>0.25</v>
      </c>
      <c r="M4" s="58">
        <f t="shared" si="6"/>
        <v>9.8403902023833631E-2</v>
      </c>
      <c r="N4" s="58">
        <f t="shared" si="7"/>
        <v>9.8403902023833631E-2</v>
      </c>
      <c r="O4" s="59">
        <f t="shared" ref="O4:O18" si="8">N4+O3</f>
        <v>0.19680780404766726</v>
      </c>
    </row>
    <row r="5" spans="1:15" x14ac:dyDescent="0.2">
      <c r="A5" s="37">
        <v>1320</v>
      </c>
      <c r="B5" s="55">
        <v>36</v>
      </c>
      <c r="C5" s="56" t="s">
        <v>23</v>
      </c>
      <c r="D5" s="57">
        <f>'Headloss Calcs'!$A$43</f>
        <v>23</v>
      </c>
      <c r="E5" s="53">
        <f t="shared" si="0"/>
        <v>35.588730441671615</v>
      </c>
      <c r="F5" s="38">
        <f>'Headloss Calcs'!$E$18</f>
        <v>140</v>
      </c>
      <c r="G5" s="53">
        <f t="shared" si="1"/>
        <v>7.0686</v>
      </c>
      <c r="H5" s="53">
        <f t="shared" si="2"/>
        <v>9.4247999999999994</v>
      </c>
      <c r="I5" s="53">
        <f t="shared" si="3"/>
        <v>0.75</v>
      </c>
      <c r="J5" s="53">
        <f t="shared" si="4"/>
        <v>5.0347636648942666</v>
      </c>
      <c r="K5" s="53">
        <f t="shared" si="5"/>
        <v>2.3586905602201922</v>
      </c>
      <c r="L5" s="53"/>
      <c r="M5" s="58">
        <f t="shared" si="6"/>
        <v>0</v>
      </c>
      <c r="N5" s="58">
        <f t="shared" si="7"/>
        <v>2.3586905602201922</v>
      </c>
      <c r="O5" s="59">
        <f t="shared" si="8"/>
        <v>2.5554983642678595</v>
      </c>
    </row>
    <row r="6" spans="1:15" x14ac:dyDescent="0.2">
      <c r="A6" s="37"/>
      <c r="B6" s="55">
        <v>36</v>
      </c>
      <c r="C6" s="56" t="s">
        <v>45</v>
      </c>
      <c r="D6" s="57">
        <f>'Headloss Calcs'!$A$43</f>
        <v>23</v>
      </c>
      <c r="E6" s="53">
        <f t="shared" si="0"/>
        <v>35.588730441671615</v>
      </c>
      <c r="F6" s="38">
        <f>'Headloss Calcs'!$E$18</f>
        <v>140</v>
      </c>
      <c r="G6" s="53">
        <f t="shared" si="1"/>
        <v>7.0686</v>
      </c>
      <c r="H6" s="53">
        <f t="shared" si="2"/>
        <v>9.4247999999999994</v>
      </c>
      <c r="I6" s="53">
        <f t="shared" si="3"/>
        <v>0.75</v>
      </c>
      <c r="J6" s="53">
        <f t="shared" si="4"/>
        <v>5.0347636648942666</v>
      </c>
      <c r="K6" s="53">
        <f t="shared" si="5"/>
        <v>0</v>
      </c>
      <c r="L6" s="53">
        <v>0.2</v>
      </c>
      <c r="M6" s="58">
        <f t="shared" si="6"/>
        <v>7.8723121619066916E-2</v>
      </c>
      <c r="N6" s="58">
        <f t="shared" si="7"/>
        <v>7.8723121619066916E-2</v>
      </c>
      <c r="O6" s="59">
        <f t="shared" si="8"/>
        <v>2.6342214858869264</v>
      </c>
    </row>
    <row r="7" spans="1:15" x14ac:dyDescent="0.2">
      <c r="A7" s="37">
        <v>1320</v>
      </c>
      <c r="B7" s="55">
        <v>36</v>
      </c>
      <c r="C7" s="69" t="s">
        <v>23</v>
      </c>
      <c r="D7" s="57">
        <f>'Headloss Calcs'!$A$43</f>
        <v>23</v>
      </c>
      <c r="E7" s="53">
        <f t="shared" si="0"/>
        <v>35.588730441671615</v>
      </c>
      <c r="F7" s="38">
        <f>'Headloss Calcs'!$E$18</f>
        <v>140</v>
      </c>
      <c r="G7" s="53">
        <f t="shared" si="1"/>
        <v>7.0686</v>
      </c>
      <c r="H7" s="53">
        <f t="shared" si="2"/>
        <v>9.4247999999999994</v>
      </c>
      <c r="I7" s="53">
        <f t="shared" si="3"/>
        <v>0.75</v>
      </c>
      <c r="J7" s="53">
        <f t="shared" si="4"/>
        <v>5.0347636648942666</v>
      </c>
      <c r="K7" s="53">
        <f t="shared" si="5"/>
        <v>2.3586905602201922</v>
      </c>
      <c r="L7" s="53"/>
      <c r="M7" s="58">
        <f t="shared" si="6"/>
        <v>0</v>
      </c>
      <c r="N7" s="58">
        <f t="shared" si="7"/>
        <v>2.3586905602201922</v>
      </c>
      <c r="O7" s="59">
        <f t="shared" si="8"/>
        <v>4.9929120461071186</v>
      </c>
    </row>
    <row r="8" spans="1:15" x14ac:dyDescent="0.2">
      <c r="A8" s="37"/>
      <c r="B8" s="55">
        <v>36</v>
      </c>
      <c r="C8" s="56" t="s">
        <v>39</v>
      </c>
      <c r="D8" s="57">
        <f>'Headloss Calcs'!$A$43</f>
        <v>23</v>
      </c>
      <c r="E8" s="53">
        <f t="shared" si="0"/>
        <v>35.588730441671615</v>
      </c>
      <c r="F8" s="38">
        <f>'Headloss Calcs'!$E$18</f>
        <v>140</v>
      </c>
      <c r="G8" s="53">
        <f t="shared" si="1"/>
        <v>7.0686</v>
      </c>
      <c r="H8" s="53">
        <f t="shared" si="2"/>
        <v>9.4247999999999994</v>
      </c>
      <c r="I8" s="53">
        <f t="shared" si="3"/>
        <v>0.75</v>
      </c>
      <c r="J8" s="53">
        <f t="shared" si="4"/>
        <v>5.0347636648942666</v>
      </c>
      <c r="K8" s="53">
        <f t="shared" si="5"/>
        <v>0</v>
      </c>
      <c r="L8" s="53">
        <v>0.4</v>
      </c>
      <c r="M8" s="58">
        <f t="shared" si="6"/>
        <v>0.15744624323813383</v>
      </c>
      <c r="N8" s="58">
        <f t="shared" si="7"/>
        <v>0.15744624323813383</v>
      </c>
      <c r="O8" s="59">
        <f t="shared" si="8"/>
        <v>5.1503582893452524</v>
      </c>
    </row>
    <row r="9" spans="1:15" x14ac:dyDescent="0.2">
      <c r="A9" s="37">
        <v>1320</v>
      </c>
      <c r="B9" s="55">
        <v>36</v>
      </c>
      <c r="C9" s="56" t="s">
        <v>23</v>
      </c>
      <c r="D9" s="57">
        <f>'Headloss Calcs'!$A$43</f>
        <v>23</v>
      </c>
      <c r="E9" s="53">
        <f t="shared" si="0"/>
        <v>35.588730441671615</v>
      </c>
      <c r="F9" s="38">
        <f>'Headloss Calcs'!$E$18</f>
        <v>140</v>
      </c>
      <c r="G9" s="53">
        <f t="shared" si="1"/>
        <v>7.0686</v>
      </c>
      <c r="H9" s="53">
        <f t="shared" si="2"/>
        <v>9.4247999999999994</v>
      </c>
      <c r="I9" s="53">
        <f t="shared" si="3"/>
        <v>0.75</v>
      </c>
      <c r="J9" s="53">
        <f t="shared" si="4"/>
        <v>5.0347636648942666</v>
      </c>
      <c r="K9" s="53">
        <f t="shared" si="5"/>
        <v>2.3586905602201922</v>
      </c>
      <c r="L9" s="53"/>
      <c r="M9" s="58">
        <f t="shared" si="6"/>
        <v>0</v>
      </c>
      <c r="N9" s="58">
        <f t="shared" si="7"/>
        <v>2.3586905602201922</v>
      </c>
      <c r="O9" s="59">
        <f t="shared" si="8"/>
        <v>7.5090488495654446</v>
      </c>
    </row>
    <row r="10" spans="1:15" x14ac:dyDescent="0.2">
      <c r="A10" s="37"/>
      <c r="B10" s="55">
        <v>36</v>
      </c>
      <c r="C10" s="56" t="s">
        <v>39</v>
      </c>
      <c r="D10" s="57">
        <f>'Headloss Calcs'!$A$43</f>
        <v>23</v>
      </c>
      <c r="E10" s="53">
        <f t="shared" si="0"/>
        <v>35.588730441671615</v>
      </c>
      <c r="F10" s="38">
        <f>'Headloss Calcs'!$E$18</f>
        <v>140</v>
      </c>
      <c r="G10" s="53">
        <f t="shared" si="1"/>
        <v>7.0686</v>
      </c>
      <c r="H10" s="53">
        <f t="shared" si="2"/>
        <v>9.4247999999999994</v>
      </c>
      <c r="I10" s="53">
        <f t="shared" si="3"/>
        <v>0.75</v>
      </c>
      <c r="J10" s="53">
        <f t="shared" si="4"/>
        <v>5.0347636648942666</v>
      </c>
      <c r="K10" s="53">
        <f t="shared" si="5"/>
        <v>0</v>
      </c>
      <c r="L10" s="53">
        <v>0.4</v>
      </c>
      <c r="M10" s="58">
        <f t="shared" si="6"/>
        <v>0.15744624323813383</v>
      </c>
      <c r="N10" s="58">
        <f t="shared" si="7"/>
        <v>0.15744624323813383</v>
      </c>
      <c r="O10" s="59">
        <f t="shared" si="8"/>
        <v>7.6664950928035784</v>
      </c>
    </row>
    <row r="11" spans="1:15" x14ac:dyDescent="0.2">
      <c r="A11" s="37">
        <v>1320</v>
      </c>
      <c r="B11" s="55">
        <v>36</v>
      </c>
      <c r="C11" s="56" t="s">
        <v>23</v>
      </c>
      <c r="D11" s="57">
        <f>'Headloss Calcs'!$A$43</f>
        <v>23</v>
      </c>
      <c r="E11" s="53">
        <f t="shared" si="0"/>
        <v>35.588730441671615</v>
      </c>
      <c r="F11" s="38">
        <f>'Headloss Calcs'!$E$18</f>
        <v>140</v>
      </c>
      <c r="G11" s="53">
        <f t="shared" si="1"/>
        <v>7.0686</v>
      </c>
      <c r="H11" s="53">
        <f t="shared" si="2"/>
        <v>9.4247999999999994</v>
      </c>
      <c r="I11" s="53">
        <f t="shared" si="3"/>
        <v>0.75</v>
      </c>
      <c r="J11" s="53">
        <f t="shared" si="4"/>
        <v>5.0347636648942666</v>
      </c>
      <c r="K11" s="53">
        <f t="shared" si="5"/>
        <v>2.3586905602201922</v>
      </c>
      <c r="L11" s="53"/>
      <c r="M11" s="58">
        <f t="shared" si="6"/>
        <v>0</v>
      </c>
      <c r="N11" s="58">
        <f t="shared" si="7"/>
        <v>2.3586905602201922</v>
      </c>
      <c r="O11" s="59">
        <f t="shared" si="8"/>
        <v>10.025185653023771</v>
      </c>
    </row>
    <row r="12" spans="1:15" x14ac:dyDescent="0.2">
      <c r="A12" s="37"/>
      <c r="B12" s="55">
        <v>36</v>
      </c>
      <c r="C12" s="56" t="s">
        <v>48</v>
      </c>
      <c r="D12" s="57">
        <f>'Headloss Calcs'!$A$43</f>
        <v>23</v>
      </c>
      <c r="E12" s="53">
        <f t="shared" si="0"/>
        <v>35.588730441671615</v>
      </c>
      <c r="F12" s="38">
        <f>'Headloss Calcs'!$E$18</f>
        <v>140</v>
      </c>
      <c r="G12" s="53">
        <f t="shared" si="1"/>
        <v>7.0686</v>
      </c>
      <c r="H12" s="53">
        <f t="shared" si="2"/>
        <v>9.4247999999999994</v>
      </c>
      <c r="I12" s="53">
        <f t="shared" si="3"/>
        <v>0.75</v>
      </c>
      <c r="J12" s="53">
        <f t="shared" si="4"/>
        <v>5.0347636648942666</v>
      </c>
      <c r="K12" s="53">
        <f t="shared" si="5"/>
        <v>0</v>
      </c>
      <c r="L12" s="53">
        <v>0.4</v>
      </c>
      <c r="M12" s="58">
        <f t="shared" si="6"/>
        <v>0.15744624323813383</v>
      </c>
      <c r="N12" s="58">
        <f t="shared" si="7"/>
        <v>0.15744624323813383</v>
      </c>
      <c r="O12" s="59">
        <f t="shared" si="8"/>
        <v>10.182631896261904</v>
      </c>
    </row>
    <row r="13" spans="1:15" x14ac:dyDescent="0.2">
      <c r="A13" s="37">
        <v>1320</v>
      </c>
      <c r="B13" s="55">
        <v>36</v>
      </c>
      <c r="C13" s="56" t="s">
        <v>23</v>
      </c>
      <c r="D13" s="57">
        <f>'Headloss Calcs'!$A$43</f>
        <v>23</v>
      </c>
      <c r="E13" s="53">
        <f t="shared" si="0"/>
        <v>35.588730441671615</v>
      </c>
      <c r="F13" s="38">
        <f>'Headloss Calcs'!$E$18</f>
        <v>140</v>
      </c>
      <c r="G13" s="53">
        <f t="shared" si="1"/>
        <v>7.0686</v>
      </c>
      <c r="H13" s="53">
        <f t="shared" si="2"/>
        <v>9.4247999999999994</v>
      </c>
      <c r="I13" s="53">
        <f t="shared" si="3"/>
        <v>0.75</v>
      </c>
      <c r="J13" s="53">
        <f t="shared" si="4"/>
        <v>5.0347636648942666</v>
      </c>
      <c r="K13" s="53">
        <f t="shared" si="5"/>
        <v>2.3586905602201922</v>
      </c>
      <c r="L13" s="53"/>
      <c r="M13" s="58">
        <f t="shared" si="6"/>
        <v>0</v>
      </c>
      <c r="N13" s="58">
        <f t="shared" si="7"/>
        <v>2.3586905602201922</v>
      </c>
      <c r="O13" s="59">
        <f t="shared" si="8"/>
        <v>12.541322456482096</v>
      </c>
    </row>
    <row r="14" spans="1:15" x14ac:dyDescent="0.2">
      <c r="A14" s="37"/>
      <c r="B14" s="55">
        <v>36</v>
      </c>
      <c r="C14" s="56" t="s">
        <v>39</v>
      </c>
      <c r="D14" s="57">
        <f>'Headloss Calcs'!$A$43</f>
        <v>23</v>
      </c>
      <c r="E14" s="53">
        <f t="shared" si="0"/>
        <v>35.588730441671615</v>
      </c>
      <c r="F14" s="38">
        <f>'Headloss Calcs'!$E$18</f>
        <v>140</v>
      </c>
      <c r="G14" s="53">
        <f t="shared" si="1"/>
        <v>7.0686</v>
      </c>
      <c r="H14" s="53">
        <f t="shared" si="2"/>
        <v>9.4247999999999994</v>
      </c>
      <c r="I14" s="53">
        <f t="shared" si="3"/>
        <v>0.75</v>
      </c>
      <c r="J14" s="53">
        <f t="shared" si="4"/>
        <v>5.0347636648942666</v>
      </c>
      <c r="K14" s="53">
        <f t="shared" si="5"/>
        <v>0</v>
      </c>
      <c r="L14" s="53">
        <v>0.4</v>
      </c>
      <c r="M14" s="58">
        <f t="shared" si="6"/>
        <v>0.15744624323813383</v>
      </c>
      <c r="N14" s="58">
        <f t="shared" si="7"/>
        <v>0.15744624323813383</v>
      </c>
      <c r="O14" s="59">
        <f t="shared" si="8"/>
        <v>12.69876869972023</v>
      </c>
    </row>
    <row r="15" spans="1:15" x14ac:dyDescent="0.2">
      <c r="A15" s="37">
        <v>1320</v>
      </c>
      <c r="B15" s="55">
        <v>36</v>
      </c>
      <c r="C15" s="56" t="s">
        <v>23</v>
      </c>
      <c r="D15" s="57">
        <f>'Headloss Calcs'!$A$43</f>
        <v>23</v>
      </c>
      <c r="E15" s="53">
        <f t="shared" si="0"/>
        <v>35.588730441671615</v>
      </c>
      <c r="F15" s="38">
        <f>'Headloss Calcs'!$E$18</f>
        <v>140</v>
      </c>
      <c r="G15" s="53">
        <f t="shared" si="1"/>
        <v>7.0686</v>
      </c>
      <c r="H15" s="53">
        <f t="shared" si="2"/>
        <v>9.4247999999999994</v>
      </c>
      <c r="I15" s="53">
        <f t="shared" si="3"/>
        <v>0.75</v>
      </c>
      <c r="J15" s="53">
        <f t="shared" si="4"/>
        <v>5.0347636648942666</v>
      </c>
      <c r="K15" s="53">
        <f t="shared" si="5"/>
        <v>2.3586905602201922</v>
      </c>
      <c r="L15" s="53"/>
      <c r="M15" s="58">
        <f t="shared" si="6"/>
        <v>0</v>
      </c>
      <c r="N15" s="58">
        <f t="shared" si="7"/>
        <v>2.3586905602201922</v>
      </c>
      <c r="O15" s="59">
        <f t="shared" si="8"/>
        <v>15.057459259940423</v>
      </c>
    </row>
    <row r="16" spans="1:15" x14ac:dyDescent="0.2">
      <c r="A16" s="37"/>
      <c r="B16" s="55">
        <v>36</v>
      </c>
      <c r="C16" s="56" t="s">
        <v>45</v>
      </c>
      <c r="D16" s="57">
        <f>'Headloss Calcs'!$A$43</f>
        <v>23</v>
      </c>
      <c r="E16" s="53">
        <f t="shared" si="0"/>
        <v>35.588730441671615</v>
      </c>
      <c r="F16" s="38">
        <f>'Headloss Calcs'!$E$18</f>
        <v>140</v>
      </c>
      <c r="G16" s="53">
        <f t="shared" si="1"/>
        <v>7.0686</v>
      </c>
      <c r="H16" s="53">
        <f t="shared" si="2"/>
        <v>9.4247999999999994</v>
      </c>
      <c r="I16" s="53">
        <f t="shared" si="3"/>
        <v>0.75</v>
      </c>
      <c r="J16" s="53">
        <f t="shared" si="4"/>
        <v>5.0347636648942666</v>
      </c>
      <c r="K16" s="53">
        <f t="shared" si="5"/>
        <v>0</v>
      </c>
      <c r="L16" s="53">
        <v>0.2</v>
      </c>
      <c r="M16" s="58">
        <f t="shared" si="6"/>
        <v>7.8723121619066916E-2</v>
      </c>
      <c r="N16" s="58">
        <f t="shared" si="7"/>
        <v>7.8723121619066916E-2</v>
      </c>
      <c r="O16" s="59">
        <f t="shared" si="8"/>
        <v>15.13618238155949</v>
      </c>
    </row>
    <row r="17" spans="1:15" x14ac:dyDescent="0.2">
      <c r="A17" s="37">
        <v>1320</v>
      </c>
      <c r="B17" s="55">
        <v>36</v>
      </c>
      <c r="C17" s="56" t="s">
        <v>23</v>
      </c>
      <c r="D17" s="57">
        <f>'Headloss Calcs'!$A$43</f>
        <v>23</v>
      </c>
      <c r="E17" s="53">
        <f t="shared" si="0"/>
        <v>35.588730441671615</v>
      </c>
      <c r="F17" s="38">
        <f>'Headloss Calcs'!$E$18</f>
        <v>140</v>
      </c>
      <c r="G17" s="53">
        <f t="shared" si="1"/>
        <v>7.0686</v>
      </c>
      <c r="H17" s="53">
        <f t="shared" si="2"/>
        <v>9.4247999999999994</v>
      </c>
      <c r="I17" s="53">
        <f t="shared" si="3"/>
        <v>0.75</v>
      </c>
      <c r="J17" s="53">
        <f t="shared" si="4"/>
        <v>5.0347636648942666</v>
      </c>
      <c r="K17" s="53">
        <f t="shared" si="5"/>
        <v>2.3586905602201922</v>
      </c>
      <c r="L17" s="53"/>
      <c r="M17" s="58">
        <f t="shared" si="6"/>
        <v>0</v>
      </c>
      <c r="N17" s="58">
        <f t="shared" si="7"/>
        <v>2.3586905602201922</v>
      </c>
      <c r="O17" s="59">
        <f t="shared" si="8"/>
        <v>17.494872941779683</v>
      </c>
    </row>
    <row r="18" spans="1:15" ht="12" customHeight="1" x14ac:dyDescent="0.2">
      <c r="A18" s="37"/>
      <c r="B18" s="55">
        <v>36</v>
      </c>
      <c r="C18" s="56" t="s">
        <v>44</v>
      </c>
      <c r="D18" s="57">
        <f>'Headloss Calcs'!$A$43</f>
        <v>23</v>
      </c>
      <c r="E18" s="53">
        <f t="shared" si="0"/>
        <v>35.588730441671615</v>
      </c>
      <c r="F18" s="38">
        <f>'Headloss Calcs'!$E$18</f>
        <v>140</v>
      </c>
      <c r="G18" s="53">
        <f t="shared" si="1"/>
        <v>7.0686</v>
      </c>
      <c r="H18" s="53">
        <f t="shared" si="2"/>
        <v>9.4247999999999994</v>
      </c>
      <c r="I18" s="53">
        <f t="shared" si="3"/>
        <v>0.75</v>
      </c>
      <c r="J18" s="53">
        <f t="shared" si="4"/>
        <v>5.0347636648942666</v>
      </c>
      <c r="K18" s="53">
        <f t="shared" si="5"/>
        <v>0</v>
      </c>
      <c r="L18" s="53">
        <v>1</v>
      </c>
      <c r="M18" s="58">
        <f t="shared" si="6"/>
        <v>0.39361560809533452</v>
      </c>
      <c r="N18" s="58">
        <f t="shared" si="7"/>
        <v>0.39361560809533452</v>
      </c>
      <c r="O18" s="59">
        <f t="shared" si="8"/>
        <v>17.888488549875017</v>
      </c>
    </row>
    <row r="19" spans="1:15" ht="13.5" thickBot="1" x14ac:dyDescent="0.25">
      <c r="A19" s="39"/>
      <c r="B19" s="40"/>
      <c r="C19" s="41"/>
      <c r="D19" s="40"/>
      <c r="E19" s="42"/>
      <c r="F19" s="40"/>
      <c r="G19" s="54"/>
      <c r="H19" s="54"/>
      <c r="I19" s="54"/>
      <c r="J19" s="54"/>
      <c r="K19" s="54"/>
      <c r="L19" s="54"/>
      <c r="M19" s="60"/>
      <c r="N19" s="60" t="s">
        <v>40</v>
      </c>
      <c r="O19" s="61">
        <f>O18</f>
        <v>17.888488549875017</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Calcs'!$A$43</f>
        <v>23</v>
      </c>
      <c r="E22" s="53">
        <f t="shared" ref="E22:E37" si="9">D22*1000000/(7.48*24*60*60)</f>
        <v>35.588730441671615</v>
      </c>
      <c r="F22" s="38">
        <f>'Headloss Calcs'!$H$18</f>
        <v>100</v>
      </c>
      <c r="G22" s="53">
        <f t="shared" ref="G22:G37" si="10">3.1416/4*(B22/12)^2</f>
        <v>7.0686</v>
      </c>
      <c r="H22" s="53">
        <f t="shared" ref="H22:H37" si="11">3.1416*(B22/12)</f>
        <v>9.4247999999999994</v>
      </c>
      <c r="I22" s="53">
        <f t="shared" ref="I22:I37" si="12">G22/H22</f>
        <v>0.75</v>
      </c>
      <c r="J22" s="53">
        <f t="shared" ref="J22:J37" si="13">E22/G22</f>
        <v>5.0347636648942666</v>
      </c>
      <c r="K22" s="53">
        <f t="shared" ref="K22:K37" si="14">(J22/(1.318*F22*I22^0.63))^1.85*A22</f>
        <v>0</v>
      </c>
      <c r="L22" s="53">
        <v>0.25</v>
      </c>
      <c r="M22" s="58">
        <f t="shared" ref="M22:M37" si="15">L22*(J22^2)/(2*32.2)</f>
        <v>9.8403902023833631E-2</v>
      </c>
      <c r="N22" s="58">
        <f t="shared" ref="N22:N37" si="16">K22+M22</f>
        <v>9.8403902023833631E-2</v>
      </c>
      <c r="O22" s="59">
        <f>N22</f>
        <v>9.8403902023833631E-2</v>
      </c>
    </row>
    <row r="23" spans="1:15" x14ac:dyDescent="0.2">
      <c r="A23" s="37"/>
      <c r="B23" s="55">
        <v>36</v>
      </c>
      <c r="C23" s="56" t="s">
        <v>47</v>
      </c>
      <c r="D23" s="57">
        <f>'Headloss Calcs'!$A$43</f>
        <v>23</v>
      </c>
      <c r="E23" s="53">
        <f t="shared" si="9"/>
        <v>35.588730441671615</v>
      </c>
      <c r="F23" s="38">
        <f>'Headloss Calcs'!$H$18</f>
        <v>100</v>
      </c>
      <c r="G23" s="53">
        <f t="shared" si="10"/>
        <v>7.0686</v>
      </c>
      <c r="H23" s="53">
        <f t="shared" si="11"/>
        <v>9.4247999999999994</v>
      </c>
      <c r="I23" s="53">
        <f t="shared" si="12"/>
        <v>0.75</v>
      </c>
      <c r="J23" s="53">
        <f t="shared" si="13"/>
        <v>5.0347636648942666</v>
      </c>
      <c r="K23" s="53">
        <f t="shared" si="14"/>
        <v>0</v>
      </c>
      <c r="L23" s="53">
        <v>0.25</v>
      </c>
      <c r="M23" s="58">
        <f t="shared" si="15"/>
        <v>9.8403902023833631E-2</v>
      </c>
      <c r="N23" s="58">
        <f t="shared" si="16"/>
        <v>9.8403902023833631E-2</v>
      </c>
      <c r="O23" s="59">
        <f t="shared" ref="O23:O37" si="17">N23+O22</f>
        <v>0.19680780404766726</v>
      </c>
    </row>
    <row r="24" spans="1:15" x14ac:dyDescent="0.2">
      <c r="A24" s="37">
        <v>1320</v>
      </c>
      <c r="B24" s="55">
        <v>36</v>
      </c>
      <c r="C24" s="56" t="s">
        <v>23</v>
      </c>
      <c r="D24" s="57">
        <f>'Headloss Calcs'!$A$43</f>
        <v>23</v>
      </c>
      <c r="E24" s="53">
        <f t="shared" si="9"/>
        <v>35.588730441671615</v>
      </c>
      <c r="F24" s="38">
        <f>'Headloss Calcs'!$H$18</f>
        <v>100</v>
      </c>
      <c r="G24" s="53">
        <f t="shared" si="10"/>
        <v>7.0686</v>
      </c>
      <c r="H24" s="53">
        <f t="shared" si="11"/>
        <v>9.4247999999999994</v>
      </c>
      <c r="I24" s="53">
        <f t="shared" si="12"/>
        <v>0.75</v>
      </c>
      <c r="J24" s="53">
        <f t="shared" si="13"/>
        <v>5.0347636648942666</v>
      </c>
      <c r="K24" s="53">
        <f t="shared" si="14"/>
        <v>4.395495451225031</v>
      </c>
      <c r="L24" s="53"/>
      <c r="M24" s="58">
        <f t="shared" si="15"/>
        <v>0</v>
      </c>
      <c r="N24" s="58">
        <f t="shared" si="16"/>
        <v>4.395495451225031</v>
      </c>
      <c r="O24" s="59">
        <f t="shared" si="17"/>
        <v>4.5923032552726983</v>
      </c>
    </row>
    <row r="25" spans="1:15" x14ac:dyDescent="0.2">
      <c r="A25" s="37"/>
      <c r="B25" s="55">
        <v>36</v>
      </c>
      <c r="C25" s="56" t="s">
        <v>45</v>
      </c>
      <c r="D25" s="57">
        <f>'Headloss Calcs'!$A$43</f>
        <v>23</v>
      </c>
      <c r="E25" s="53">
        <f t="shared" si="9"/>
        <v>35.588730441671615</v>
      </c>
      <c r="F25" s="38">
        <f>'Headloss Calcs'!$H$18</f>
        <v>100</v>
      </c>
      <c r="G25" s="53">
        <f t="shared" si="10"/>
        <v>7.0686</v>
      </c>
      <c r="H25" s="53">
        <f t="shared" si="11"/>
        <v>9.4247999999999994</v>
      </c>
      <c r="I25" s="53">
        <f t="shared" si="12"/>
        <v>0.75</v>
      </c>
      <c r="J25" s="53">
        <f t="shared" si="13"/>
        <v>5.0347636648942666</v>
      </c>
      <c r="K25" s="53">
        <f t="shared" si="14"/>
        <v>0</v>
      </c>
      <c r="L25" s="53">
        <v>0.2</v>
      </c>
      <c r="M25" s="58">
        <f t="shared" si="15"/>
        <v>7.8723121619066916E-2</v>
      </c>
      <c r="N25" s="58">
        <f t="shared" si="16"/>
        <v>7.8723121619066916E-2</v>
      </c>
      <c r="O25" s="59">
        <f t="shared" si="17"/>
        <v>4.6710263768917653</v>
      </c>
    </row>
    <row r="26" spans="1:15" x14ac:dyDescent="0.2">
      <c r="A26" s="37">
        <v>1320</v>
      </c>
      <c r="B26" s="55">
        <v>36</v>
      </c>
      <c r="C26" s="69" t="s">
        <v>23</v>
      </c>
      <c r="D26" s="57">
        <f>'Headloss Calcs'!$A$43</f>
        <v>23</v>
      </c>
      <c r="E26" s="53">
        <f t="shared" si="9"/>
        <v>35.588730441671615</v>
      </c>
      <c r="F26" s="38">
        <f>'Headloss Calcs'!$H$18</f>
        <v>100</v>
      </c>
      <c r="G26" s="53">
        <f t="shared" si="10"/>
        <v>7.0686</v>
      </c>
      <c r="H26" s="53">
        <f t="shared" si="11"/>
        <v>9.4247999999999994</v>
      </c>
      <c r="I26" s="53">
        <f t="shared" si="12"/>
        <v>0.75</v>
      </c>
      <c r="J26" s="53">
        <f t="shared" si="13"/>
        <v>5.0347636648942666</v>
      </c>
      <c r="K26" s="53">
        <f t="shared" si="14"/>
        <v>4.395495451225031</v>
      </c>
      <c r="L26" s="53"/>
      <c r="M26" s="58">
        <f t="shared" si="15"/>
        <v>0</v>
      </c>
      <c r="N26" s="58">
        <f t="shared" si="16"/>
        <v>4.395495451225031</v>
      </c>
      <c r="O26" s="59">
        <f t="shared" si="17"/>
        <v>9.0665218281167963</v>
      </c>
    </row>
    <row r="27" spans="1:15" x14ac:dyDescent="0.2">
      <c r="A27" s="37"/>
      <c r="B27" s="55">
        <v>36</v>
      </c>
      <c r="C27" s="56" t="s">
        <v>39</v>
      </c>
      <c r="D27" s="57">
        <f>'Headloss Calcs'!$A$43</f>
        <v>23</v>
      </c>
      <c r="E27" s="53">
        <f t="shared" si="9"/>
        <v>35.588730441671615</v>
      </c>
      <c r="F27" s="38">
        <f>'Headloss Calcs'!$H$18</f>
        <v>100</v>
      </c>
      <c r="G27" s="53">
        <f t="shared" si="10"/>
        <v>7.0686</v>
      </c>
      <c r="H27" s="53">
        <f t="shared" si="11"/>
        <v>9.4247999999999994</v>
      </c>
      <c r="I27" s="53">
        <f t="shared" si="12"/>
        <v>0.75</v>
      </c>
      <c r="J27" s="53">
        <f t="shared" si="13"/>
        <v>5.0347636648942666</v>
      </c>
      <c r="K27" s="53">
        <f t="shared" si="14"/>
        <v>0</v>
      </c>
      <c r="L27" s="53">
        <v>0.4</v>
      </c>
      <c r="M27" s="58">
        <f t="shared" si="15"/>
        <v>0.15744624323813383</v>
      </c>
      <c r="N27" s="58">
        <f t="shared" si="16"/>
        <v>0.15744624323813383</v>
      </c>
      <c r="O27" s="59">
        <f t="shared" si="17"/>
        <v>9.2239680713549301</v>
      </c>
    </row>
    <row r="28" spans="1:15" x14ac:dyDescent="0.2">
      <c r="A28" s="37">
        <v>1320</v>
      </c>
      <c r="B28" s="55">
        <v>36</v>
      </c>
      <c r="C28" s="56" t="s">
        <v>23</v>
      </c>
      <c r="D28" s="57">
        <f>'Headloss Calcs'!$A$43</f>
        <v>23</v>
      </c>
      <c r="E28" s="53">
        <f t="shared" si="9"/>
        <v>35.588730441671615</v>
      </c>
      <c r="F28" s="38">
        <f>'Headloss Calcs'!$H$18</f>
        <v>100</v>
      </c>
      <c r="G28" s="53">
        <f t="shared" si="10"/>
        <v>7.0686</v>
      </c>
      <c r="H28" s="53">
        <f t="shared" si="11"/>
        <v>9.4247999999999994</v>
      </c>
      <c r="I28" s="53">
        <f t="shared" si="12"/>
        <v>0.75</v>
      </c>
      <c r="J28" s="53">
        <f t="shared" si="13"/>
        <v>5.0347636648942666</v>
      </c>
      <c r="K28" s="53">
        <f t="shared" si="14"/>
        <v>4.395495451225031</v>
      </c>
      <c r="L28" s="53"/>
      <c r="M28" s="58">
        <f t="shared" si="15"/>
        <v>0</v>
      </c>
      <c r="N28" s="58">
        <f t="shared" si="16"/>
        <v>4.395495451225031</v>
      </c>
      <c r="O28" s="59">
        <f t="shared" si="17"/>
        <v>13.619463522579961</v>
      </c>
    </row>
    <row r="29" spans="1:15" x14ac:dyDescent="0.2">
      <c r="A29" s="37"/>
      <c r="B29" s="55">
        <v>36</v>
      </c>
      <c r="C29" s="56" t="s">
        <v>39</v>
      </c>
      <c r="D29" s="57">
        <f>'Headloss Calcs'!$A$43</f>
        <v>23</v>
      </c>
      <c r="E29" s="53">
        <f t="shared" si="9"/>
        <v>35.588730441671615</v>
      </c>
      <c r="F29" s="38">
        <f>'Headloss Calcs'!$H$18</f>
        <v>100</v>
      </c>
      <c r="G29" s="53">
        <f t="shared" si="10"/>
        <v>7.0686</v>
      </c>
      <c r="H29" s="53">
        <f t="shared" si="11"/>
        <v>9.4247999999999994</v>
      </c>
      <c r="I29" s="53">
        <f t="shared" si="12"/>
        <v>0.75</v>
      </c>
      <c r="J29" s="53">
        <f t="shared" si="13"/>
        <v>5.0347636648942666</v>
      </c>
      <c r="K29" s="53">
        <f t="shared" si="14"/>
        <v>0</v>
      </c>
      <c r="L29" s="53">
        <v>0.4</v>
      </c>
      <c r="M29" s="58">
        <f t="shared" si="15"/>
        <v>0.15744624323813383</v>
      </c>
      <c r="N29" s="58">
        <f t="shared" si="16"/>
        <v>0.15744624323813383</v>
      </c>
      <c r="O29" s="59">
        <f t="shared" si="17"/>
        <v>13.776909765818095</v>
      </c>
    </row>
    <row r="30" spans="1:15" x14ac:dyDescent="0.2">
      <c r="A30" s="37">
        <v>1320</v>
      </c>
      <c r="B30" s="55">
        <v>36</v>
      </c>
      <c r="C30" s="56" t="s">
        <v>23</v>
      </c>
      <c r="D30" s="57">
        <f>'Headloss Calcs'!$A$43</f>
        <v>23</v>
      </c>
      <c r="E30" s="53">
        <f t="shared" si="9"/>
        <v>35.588730441671615</v>
      </c>
      <c r="F30" s="38">
        <f>'Headloss Calcs'!$H$18</f>
        <v>100</v>
      </c>
      <c r="G30" s="53">
        <f t="shared" si="10"/>
        <v>7.0686</v>
      </c>
      <c r="H30" s="53">
        <f t="shared" si="11"/>
        <v>9.4247999999999994</v>
      </c>
      <c r="I30" s="53">
        <f t="shared" si="12"/>
        <v>0.75</v>
      </c>
      <c r="J30" s="53">
        <f t="shared" si="13"/>
        <v>5.0347636648942666</v>
      </c>
      <c r="K30" s="53">
        <f t="shared" si="14"/>
        <v>4.395495451225031</v>
      </c>
      <c r="L30" s="53"/>
      <c r="M30" s="58">
        <f t="shared" si="15"/>
        <v>0</v>
      </c>
      <c r="N30" s="58">
        <f t="shared" si="16"/>
        <v>4.395495451225031</v>
      </c>
      <c r="O30" s="59">
        <f t="shared" si="17"/>
        <v>18.172405217043128</v>
      </c>
    </row>
    <row r="31" spans="1:15" x14ac:dyDescent="0.2">
      <c r="A31" s="37"/>
      <c r="B31" s="55">
        <v>36</v>
      </c>
      <c r="C31" s="56" t="s">
        <v>48</v>
      </c>
      <c r="D31" s="57">
        <f>'Headloss Calcs'!$A$43</f>
        <v>23</v>
      </c>
      <c r="E31" s="53">
        <f t="shared" si="9"/>
        <v>35.588730441671615</v>
      </c>
      <c r="F31" s="38">
        <f>'Headloss Calcs'!$H$18</f>
        <v>100</v>
      </c>
      <c r="G31" s="53">
        <f t="shared" si="10"/>
        <v>7.0686</v>
      </c>
      <c r="H31" s="53">
        <f t="shared" si="11"/>
        <v>9.4247999999999994</v>
      </c>
      <c r="I31" s="53">
        <f t="shared" si="12"/>
        <v>0.75</v>
      </c>
      <c r="J31" s="53">
        <f t="shared" si="13"/>
        <v>5.0347636648942666</v>
      </c>
      <c r="K31" s="53">
        <f t="shared" si="14"/>
        <v>0</v>
      </c>
      <c r="L31" s="53">
        <v>0.4</v>
      </c>
      <c r="M31" s="58">
        <f t="shared" si="15"/>
        <v>0.15744624323813383</v>
      </c>
      <c r="N31" s="58">
        <f t="shared" si="16"/>
        <v>0.15744624323813383</v>
      </c>
      <c r="O31" s="59">
        <f t="shared" si="17"/>
        <v>18.329851460281262</v>
      </c>
    </row>
    <row r="32" spans="1:15" x14ac:dyDescent="0.2">
      <c r="A32" s="37">
        <v>1320</v>
      </c>
      <c r="B32" s="55">
        <v>36</v>
      </c>
      <c r="C32" s="56" t="s">
        <v>23</v>
      </c>
      <c r="D32" s="57">
        <f>'Headloss Calcs'!$A$43</f>
        <v>23</v>
      </c>
      <c r="E32" s="53">
        <f t="shared" si="9"/>
        <v>35.588730441671615</v>
      </c>
      <c r="F32" s="38">
        <f>'Headloss Calcs'!$H$18</f>
        <v>100</v>
      </c>
      <c r="G32" s="53">
        <f t="shared" si="10"/>
        <v>7.0686</v>
      </c>
      <c r="H32" s="53">
        <f t="shared" si="11"/>
        <v>9.4247999999999994</v>
      </c>
      <c r="I32" s="53">
        <f t="shared" si="12"/>
        <v>0.75</v>
      </c>
      <c r="J32" s="53">
        <f t="shared" si="13"/>
        <v>5.0347636648942666</v>
      </c>
      <c r="K32" s="53">
        <f t="shared" si="14"/>
        <v>4.395495451225031</v>
      </c>
      <c r="L32" s="53"/>
      <c r="M32" s="58">
        <f t="shared" si="15"/>
        <v>0</v>
      </c>
      <c r="N32" s="58">
        <f t="shared" si="16"/>
        <v>4.395495451225031</v>
      </c>
      <c r="O32" s="59">
        <f t="shared" si="17"/>
        <v>22.725346911506293</v>
      </c>
    </row>
    <row r="33" spans="1:15" x14ac:dyDescent="0.2">
      <c r="A33" s="37"/>
      <c r="B33" s="55">
        <v>36</v>
      </c>
      <c r="C33" s="56" t="s">
        <v>39</v>
      </c>
      <c r="D33" s="57">
        <f>'Headloss Calcs'!$A$43</f>
        <v>23</v>
      </c>
      <c r="E33" s="53">
        <f t="shared" si="9"/>
        <v>35.588730441671615</v>
      </c>
      <c r="F33" s="38">
        <f>'Headloss Calcs'!$H$18</f>
        <v>100</v>
      </c>
      <c r="G33" s="53">
        <f t="shared" si="10"/>
        <v>7.0686</v>
      </c>
      <c r="H33" s="53">
        <f t="shared" si="11"/>
        <v>9.4247999999999994</v>
      </c>
      <c r="I33" s="53">
        <f t="shared" si="12"/>
        <v>0.75</v>
      </c>
      <c r="J33" s="53">
        <f t="shared" si="13"/>
        <v>5.0347636648942666</v>
      </c>
      <c r="K33" s="53">
        <f t="shared" si="14"/>
        <v>0</v>
      </c>
      <c r="L33" s="53">
        <v>0.4</v>
      </c>
      <c r="M33" s="58">
        <f t="shared" si="15"/>
        <v>0.15744624323813383</v>
      </c>
      <c r="N33" s="58">
        <f t="shared" si="16"/>
        <v>0.15744624323813383</v>
      </c>
      <c r="O33" s="59">
        <f t="shared" si="17"/>
        <v>22.882793154744427</v>
      </c>
    </row>
    <row r="34" spans="1:15" x14ac:dyDescent="0.2">
      <c r="A34" s="37">
        <v>1320</v>
      </c>
      <c r="B34" s="55">
        <v>36</v>
      </c>
      <c r="C34" s="56" t="s">
        <v>23</v>
      </c>
      <c r="D34" s="57">
        <f>'Headloss Calcs'!$A$43</f>
        <v>23</v>
      </c>
      <c r="E34" s="53">
        <f t="shared" si="9"/>
        <v>35.588730441671615</v>
      </c>
      <c r="F34" s="38">
        <f>'Headloss Calcs'!$H$18</f>
        <v>100</v>
      </c>
      <c r="G34" s="53">
        <f t="shared" si="10"/>
        <v>7.0686</v>
      </c>
      <c r="H34" s="53">
        <f t="shared" si="11"/>
        <v>9.4247999999999994</v>
      </c>
      <c r="I34" s="53">
        <f t="shared" si="12"/>
        <v>0.75</v>
      </c>
      <c r="J34" s="53">
        <f t="shared" si="13"/>
        <v>5.0347636648942666</v>
      </c>
      <c r="K34" s="53">
        <f t="shared" si="14"/>
        <v>4.395495451225031</v>
      </c>
      <c r="L34" s="53"/>
      <c r="M34" s="58">
        <f t="shared" si="15"/>
        <v>0</v>
      </c>
      <c r="N34" s="58">
        <f t="shared" si="16"/>
        <v>4.395495451225031</v>
      </c>
      <c r="O34" s="59">
        <f t="shared" si="17"/>
        <v>27.278288605969458</v>
      </c>
    </row>
    <row r="35" spans="1:15" x14ac:dyDescent="0.2">
      <c r="A35" s="37"/>
      <c r="B35" s="55">
        <v>36</v>
      </c>
      <c r="C35" s="56" t="s">
        <v>45</v>
      </c>
      <c r="D35" s="57">
        <f>'Headloss Calcs'!$A$43</f>
        <v>23</v>
      </c>
      <c r="E35" s="53">
        <f t="shared" si="9"/>
        <v>35.588730441671615</v>
      </c>
      <c r="F35" s="38">
        <f>'Headloss Calcs'!$H$18</f>
        <v>100</v>
      </c>
      <c r="G35" s="53">
        <f t="shared" si="10"/>
        <v>7.0686</v>
      </c>
      <c r="H35" s="53">
        <f t="shared" si="11"/>
        <v>9.4247999999999994</v>
      </c>
      <c r="I35" s="53">
        <f t="shared" si="12"/>
        <v>0.75</v>
      </c>
      <c r="J35" s="53">
        <f t="shared" si="13"/>
        <v>5.0347636648942666</v>
      </c>
      <c r="K35" s="53">
        <f t="shared" si="14"/>
        <v>0</v>
      </c>
      <c r="L35" s="53">
        <v>0.2</v>
      </c>
      <c r="M35" s="58">
        <f t="shared" si="15"/>
        <v>7.8723121619066916E-2</v>
      </c>
      <c r="N35" s="58">
        <f t="shared" si="16"/>
        <v>7.8723121619066916E-2</v>
      </c>
      <c r="O35" s="59">
        <f t="shared" si="17"/>
        <v>27.357011727588525</v>
      </c>
    </row>
    <row r="36" spans="1:15" x14ac:dyDescent="0.2">
      <c r="A36" s="37">
        <v>1320</v>
      </c>
      <c r="B36" s="55">
        <v>36</v>
      </c>
      <c r="C36" s="56" t="s">
        <v>23</v>
      </c>
      <c r="D36" s="57">
        <f>'Headloss Calcs'!$A$43</f>
        <v>23</v>
      </c>
      <c r="E36" s="53">
        <f t="shared" si="9"/>
        <v>35.588730441671615</v>
      </c>
      <c r="F36" s="38">
        <f>'Headloss Calcs'!$H$18</f>
        <v>100</v>
      </c>
      <c r="G36" s="53">
        <f t="shared" si="10"/>
        <v>7.0686</v>
      </c>
      <c r="H36" s="53">
        <f t="shared" si="11"/>
        <v>9.4247999999999994</v>
      </c>
      <c r="I36" s="53">
        <f t="shared" si="12"/>
        <v>0.75</v>
      </c>
      <c r="J36" s="53">
        <f t="shared" si="13"/>
        <v>5.0347636648942666</v>
      </c>
      <c r="K36" s="53">
        <f t="shared" si="14"/>
        <v>4.395495451225031</v>
      </c>
      <c r="L36" s="53"/>
      <c r="M36" s="58">
        <f t="shared" si="15"/>
        <v>0</v>
      </c>
      <c r="N36" s="58">
        <f t="shared" si="16"/>
        <v>4.395495451225031</v>
      </c>
      <c r="O36" s="59">
        <f t="shared" si="17"/>
        <v>31.752507178813556</v>
      </c>
    </row>
    <row r="37" spans="1:15" ht="12" customHeight="1" x14ac:dyDescent="0.2">
      <c r="A37" s="37"/>
      <c r="B37" s="55">
        <v>36</v>
      </c>
      <c r="C37" s="56" t="s">
        <v>44</v>
      </c>
      <c r="D37" s="57">
        <f>'Headloss Calcs'!$A$43</f>
        <v>23</v>
      </c>
      <c r="E37" s="53">
        <f t="shared" si="9"/>
        <v>35.588730441671615</v>
      </c>
      <c r="F37" s="38">
        <f>'Headloss Calcs'!$H$18</f>
        <v>100</v>
      </c>
      <c r="G37" s="53">
        <f t="shared" si="10"/>
        <v>7.0686</v>
      </c>
      <c r="H37" s="53">
        <f t="shared" si="11"/>
        <v>9.4247999999999994</v>
      </c>
      <c r="I37" s="53">
        <f t="shared" si="12"/>
        <v>0.75</v>
      </c>
      <c r="J37" s="53">
        <f t="shared" si="13"/>
        <v>5.0347636648942666</v>
      </c>
      <c r="K37" s="53">
        <f t="shared" si="14"/>
        <v>0</v>
      </c>
      <c r="L37" s="53">
        <v>1</v>
      </c>
      <c r="M37" s="58">
        <f t="shared" si="15"/>
        <v>0.39361560809533452</v>
      </c>
      <c r="N37" s="58">
        <f t="shared" si="16"/>
        <v>0.39361560809533452</v>
      </c>
      <c r="O37" s="59">
        <f t="shared" si="17"/>
        <v>32.14612278690889</v>
      </c>
    </row>
    <row r="38" spans="1:15" ht="13.5" thickBot="1" x14ac:dyDescent="0.25">
      <c r="A38" s="39"/>
      <c r="B38" s="40"/>
      <c r="C38" s="41"/>
      <c r="D38" s="40"/>
      <c r="E38" s="42"/>
      <c r="F38" s="40"/>
      <c r="G38" s="54"/>
      <c r="H38" s="54"/>
      <c r="I38" s="54"/>
      <c r="J38" s="54"/>
      <c r="K38" s="54"/>
      <c r="L38" s="54"/>
      <c r="M38" s="60"/>
      <c r="N38" s="60" t="s">
        <v>40</v>
      </c>
      <c r="O38" s="61">
        <f>O37</f>
        <v>32.14612278690889</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50"/>
  <sheetViews>
    <sheetView topLeftCell="A12"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Calcs'!$A$44</f>
        <v>24</v>
      </c>
      <c r="E3" s="53">
        <f t="shared" ref="E3:E18" si="0">D3*1000000/(7.48*24*60*60)</f>
        <v>37.136066547831255</v>
      </c>
      <c r="F3" s="38">
        <f>'Headloss Calcs'!$E$18</f>
        <v>140</v>
      </c>
      <c r="G3" s="53">
        <f t="shared" ref="G3:G18" si="1">3.1416/4*(B3/12)^2</f>
        <v>7.0686</v>
      </c>
      <c r="H3" s="53">
        <f t="shared" ref="H3:H18" si="2">3.1416*(B3/12)</f>
        <v>9.4247999999999994</v>
      </c>
      <c r="I3" s="53">
        <f t="shared" ref="I3:I18" si="3">G3/H3</f>
        <v>0.75</v>
      </c>
      <c r="J3" s="53">
        <f t="shared" ref="J3:J18" si="4">E3/G3</f>
        <v>5.2536664329331488</v>
      </c>
      <c r="K3" s="53">
        <f t="shared" ref="K3:K18" si="5">(J3/(1.318*F3*I3^0.63))^1.85*A3</f>
        <v>0</v>
      </c>
      <c r="L3" s="53">
        <v>0.25</v>
      </c>
      <c r="M3" s="58">
        <f t="shared" ref="M3:M18" si="6">L3*(J3^2)/(2*32.2)</f>
        <v>0.10714678178776596</v>
      </c>
      <c r="N3" s="58">
        <f t="shared" ref="N3:N18" si="7">K3+M3</f>
        <v>0.10714678178776596</v>
      </c>
      <c r="O3" s="59">
        <f>N3</f>
        <v>0.10714678178776596</v>
      </c>
    </row>
    <row r="4" spans="1:15" x14ac:dyDescent="0.2">
      <c r="A4" s="37"/>
      <c r="B4" s="55">
        <v>36</v>
      </c>
      <c r="C4" s="56" t="s">
        <v>47</v>
      </c>
      <c r="D4" s="57">
        <f>'Headloss Calcs'!$A$44</f>
        <v>24</v>
      </c>
      <c r="E4" s="53">
        <f t="shared" si="0"/>
        <v>37.136066547831255</v>
      </c>
      <c r="F4" s="38">
        <f>'Headloss Calcs'!$E$18</f>
        <v>140</v>
      </c>
      <c r="G4" s="53">
        <f t="shared" si="1"/>
        <v>7.0686</v>
      </c>
      <c r="H4" s="53">
        <f t="shared" si="2"/>
        <v>9.4247999999999994</v>
      </c>
      <c r="I4" s="53">
        <f t="shared" si="3"/>
        <v>0.75</v>
      </c>
      <c r="J4" s="53">
        <f t="shared" si="4"/>
        <v>5.2536664329331488</v>
      </c>
      <c r="K4" s="53">
        <f t="shared" si="5"/>
        <v>0</v>
      </c>
      <c r="L4" s="53">
        <v>0.25</v>
      </c>
      <c r="M4" s="58">
        <f t="shared" si="6"/>
        <v>0.10714678178776596</v>
      </c>
      <c r="N4" s="58">
        <f t="shared" si="7"/>
        <v>0.10714678178776596</v>
      </c>
      <c r="O4" s="59">
        <f t="shared" ref="O4:O18" si="8">N4+O3</f>
        <v>0.21429356357553192</v>
      </c>
    </row>
    <row r="5" spans="1:15" x14ac:dyDescent="0.2">
      <c r="A5" s="37">
        <v>1320</v>
      </c>
      <c r="B5" s="55">
        <v>36</v>
      </c>
      <c r="C5" s="56" t="s">
        <v>23</v>
      </c>
      <c r="D5" s="57">
        <f>'Headloss Calcs'!$A$44</f>
        <v>24</v>
      </c>
      <c r="E5" s="53">
        <f t="shared" si="0"/>
        <v>37.136066547831255</v>
      </c>
      <c r="F5" s="38">
        <f>'Headloss Calcs'!$E$18</f>
        <v>140</v>
      </c>
      <c r="G5" s="53">
        <f t="shared" si="1"/>
        <v>7.0686</v>
      </c>
      <c r="H5" s="53">
        <f t="shared" si="2"/>
        <v>9.4247999999999994</v>
      </c>
      <c r="I5" s="53">
        <f t="shared" si="3"/>
        <v>0.75</v>
      </c>
      <c r="J5" s="53">
        <f t="shared" si="4"/>
        <v>5.2536664329331488</v>
      </c>
      <c r="K5" s="53">
        <f t="shared" si="5"/>
        <v>2.5519095048279903</v>
      </c>
      <c r="L5" s="53"/>
      <c r="M5" s="58">
        <f t="shared" si="6"/>
        <v>0</v>
      </c>
      <c r="N5" s="58">
        <f t="shared" si="7"/>
        <v>2.5519095048279903</v>
      </c>
      <c r="O5" s="59">
        <f t="shared" si="8"/>
        <v>2.7662030684035224</v>
      </c>
    </row>
    <row r="6" spans="1:15" x14ac:dyDescent="0.2">
      <c r="A6" s="37"/>
      <c r="B6" s="55">
        <v>36</v>
      </c>
      <c r="C6" s="56" t="s">
        <v>45</v>
      </c>
      <c r="D6" s="57">
        <f>'Headloss Calcs'!$A$44</f>
        <v>24</v>
      </c>
      <c r="E6" s="53">
        <f t="shared" si="0"/>
        <v>37.136066547831255</v>
      </c>
      <c r="F6" s="38">
        <f>'Headloss Calcs'!$E$18</f>
        <v>140</v>
      </c>
      <c r="G6" s="53">
        <f t="shared" si="1"/>
        <v>7.0686</v>
      </c>
      <c r="H6" s="53">
        <f t="shared" si="2"/>
        <v>9.4247999999999994</v>
      </c>
      <c r="I6" s="53">
        <f t="shared" si="3"/>
        <v>0.75</v>
      </c>
      <c r="J6" s="53">
        <f t="shared" si="4"/>
        <v>5.2536664329331488</v>
      </c>
      <c r="K6" s="53">
        <f t="shared" si="5"/>
        <v>0</v>
      </c>
      <c r="L6" s="53">
        <v>0.2</v>
      </c>
      <c r="M6" s="58">
        <f t="shared" si="6"/>
        <v>8.5717425430212782E-2</v>
      </c>
      <c r="N6" s="58">
        <f t="shared" si="7"/>
        <v>8.5717425430212782E-2</v>
      </c>
      <c r="O6" s="59">
        <f t="shared" si="8"/>
        <v>2.851920493833735</v>
      </c>
    </row>
    <row r="7" spans="1:15" x14ac:dyDescent="0.2">
      <c r="A7" s="37">
        <v>1320</v>
      </c>
      <c r="B7" s="55">
        <v>36</v>
      </c>
      <c r="C7" s="69" t="s">
        <v>23</v>
      </c>
      <c r="D7" s="57">
        <f>'Headloss Calcs'!$A$44</f>
        <v>24</v>
      </c>
      <c r="E7" s="53">
        <f t="shared" si="0"/>
        <v>37.136066547831255</v>
      </c>
      <c r="F7" s="38">
        <f>'Headloss Calcs'!$E$18</f>
        <v>140</v>
      </c>
      <c r="G7" s="53">
        <f t="shared" si="1"/>
        <v>7.0686</v>
      </c>
      <c r="H7" s="53">
        <f t="shared" si="2"/>
        <v>9.4247999999999994</v>
      </c>
      <c r="I7" s="53">
        <f t="shared" si="3"/>
        <v>0.75</v>
      </c>
      <c r="J7" s="53">
        <f t="shared" si="4"/>
        <v>5.2536664329331488</v>
      </c>
      <c r="K7" s="53">
        <f t="shared" si="5"/>
        <v>2.5519095048279903</v>
      </c>
      <c r="L7" s="53"/>
      <c r="M7" s="58">
        <f t="shared" si="6"/>
        <v>0</v>
      </c>
      <c r="N7" s="58">
        <f t="shared" si="7"/>
        <v>2.5519095048279903</v>
      </c>
      <c r="O7" s="59">
        <f t="shared" si="8"/>
        <v>5.4038299986617258</v>
      </c>
    </row>
    <row r="8" spans="1:15" x14ac:dyDescent="0.2">
      <c r="A8" s="37"/>
      <c r="B8" s="55">
        <v>36</v>
      </c>
      <c r="C8" s="56" t="s">
        <v>39</v>
      </c>
      <c r="D8" s="57">
        <f>'Headloss Calcs'!$A$44</f>
        <v>24</v>
      </c>
      <c r="E8" s="53">
        <f t="shared" si="0"/>
        <v>37.136066547831255</v>
      </c>
      <c r="F8" s="38">
        <f>'Headloss Calcs'!$E$18</f>
        <v>140</v>
      </c>
      <c r="G8" s="53">
        <f t="shared" si="1"/>
        <v>7.0686</v>
      </c>
      <c r="H8" s="53">
        <f t="shared" si="2"/>
        <v>9.4247999999999994</v>
      </c>
      <c r="I8" s="53">
        <f t="shared" si="3"/>
        <v>0.75</v>
      </c>
      <c r="J8" s="53">
        <f t="shared" si="4"/>
        <v>5.2536664329331488</v>
      </c>
      <c r="K8" s="53">
        <f t="shared" si="5"/>
        <v>0</v>
      </c>
      <c r="L8" s="53">
        <v>0.4</v>
      </c>
      <c r="M8" s="58">
        <f t="shared" si="6"/>
        <v>0.17143485086042556</v>
      </c>
      <c r="N8" s="58">
        <f t="shared" si="7"/>
        <v>0.17143485086042556</v>
      </c>
      <c r="O8" s="59">
        <f t="shared" si="8"/>
        <v>5.5752648495221511</v>
      </c>
    </row>
    <row r="9" spans="1:15" x14ac:dyDescent="0.2">
      <c r="A9" s="37">
        <v>1320</v>
      </c>
      <c r="B9" s="55">
        <v>36</v>
      </c>
      <c r="C9" s="56" t="s">
        <v>23</v>
      </c>
      <c r="D9" s="57">
        <f>'Headloss Calcs'!$A$44</f>
        <v>24</v>
      </c>
      <c r="E9" s="53">
        <f t="shared" si="0"/>
        <v>37.136066547831255</v>
      </c>
      <c r="F9" s="38">
        <f>'Headloss Calcs'!$E$18</f>
        <v>140</v>
      </c>
      <c r="G9" s="53">
        <f t="shared" si="1"/>
        <v>7.0686</v>
      </c>
      <c r="H9" s="53">
        <f t="shared" si="2"/>
        <v>9.4247999999999994</v>
      </c>
      <c r="I9" s="53">
        <f t="shared" si="3"/>
        <v>0.75</v>
      </c>
      <c r="J9" s="53">
        <f t="shared" si="4"/>
        <v>5.2536664329331488</v>
      </c>
      <c r="K9" s="53">
        <f t="shared" si="5"/>
        <v>2.5519095048279903</v>
      </c>
      <c r="L9" s="53"/>
      <c r="M9" s="58">
        <f t="shared" si="6"/>
        <v>0</v>
      </c>
      <c r="N9" s="58">
        <f t="shared" si="7"/>
        <v>2.5519095048279903</v>
      </c>
      <c r="O9" s="59">
        <f t="shared" si="8"/>
        <v>8.1271743543501422</v>
      </c>
    </row>
    <row r="10" spans="1:15" x14ac:dyDescent="0.2">
      <c r="A10" s="37"/>
      <c r="B10" s="55">
        <v>36</v>
      </c>
      <c r="C10" s="56" t="s">
        <v>39</v>
      </c>
      <c r="D10" s="57">
        <f>'Headloss Calcs'!$A$44</f>
        <v>24</v>
      </c>
      <c r="E10" s="53">
        <f t="shared" si="0"/>
        <v>37.136066547831255</v>
      </c>
      <c r="F10" s="38">
        <f>'Headloss Calcs'!$E$18</f>
        <v>140</v>
      </c>
      <c r="G10" s="53">
        <f t="shared" si="1"/>
        <v>7.0686</v>
      </c>
      <c r="H10" s="53">
        <f t="shared" si="2"/>
        <v>9.4247999999999994</v>
      </c>
      <c r="I10" s="53">
        <f t="shared" si="3"/>
        <v>0.75</v>
      </c>
      <c r="J10" s="53">
        <f t="shared" si="4"/>
        <v>5.2536664329331488</v>
      </c>
      <c r="K10" s="53">
        <f t="shared" si="5"/>
        <v>0</v>
      </c>
      <c r="L10" s="53">
        <v>0.4</v>
      </c>
      <c r="M10" s="58">
        <f t="shared" si="6"/>
        <v>0.17143485086042556</v>
      </c>
      <c r="N10" s="58">
        <f t="shared" si="7"/>
        <v>0.17143485086042556</v>
      </c>
      <c r="O10" s="59">
        <f t="shared" si="8"/>
        <v>8.2986092052105676</v>
      </c>
    </row>
    <row r="11" spans="1:15" x14ac:dyDescent="0.2">
      <c r="A11" s="37">
        <v>1320</v>
      </c>
      <c r="B11" s="55">
        <v>36</v>
      </c>
      <c r="C11" s="56" t="s">
        <v>23</v>
      </c>
      <c r="D11" s="57">
        <f>'Headloss Calcs'!$A$44</f>
        <v>24</v>
      </c>
      <c r="E11" s="53">
        <f t="shared" si="0"/>
        <v>37.136066547831255</v>
      </c>
      <c r="F11" s="38">
        <f>'Headloss Calcs'!$E$18</f>
        <v>140</v>
      </c>
      <c r="G11" s="53">
        <f t="shared" si="1"/>
        <v>7.0686</v>
      </c>
      <c r="H11" s="53">
        <f t="shared" si="2"/>
        <v>9.4247999999999994</v>
      </c>
      <c r="I11" s="53">
        <f t="shared" si="3"/>
        <v>0.75</v>
      </c>
      <c r="J11" s="53">
        <f t="shared" si="4"/>
        <v>5.2536664329331488</v>
      </c>
      <c r="K11" s="53">
        <f t="shared" si="5"/>
        <v>2.5519095048279903</v>
      </c>
      <c r="L11" s="53"/>
      <c r="M11" s="58">
        <f t="shared" si="6"/>
        <v>0</v>
      </c>
      <c r="N11" s="58">
        <f t="shared" si="7"/>
        <v>2.5519095048279903</v>
      </c>
      <c r="O11" s="59">
        <f t="shared" si="8"/>
        <v>10.850518710038557</v>
      </c>
    </row>
    <row r="12" spans="1:15" x14ac:dyDescent="0.2">
      <c r="A12" s="37"/>
      <c r="B12" s="55">
        <v>36</v>
      </c>
      <c r="C12" s="56" t="s">
        <v>48</v>
      </c>
      <c r="D12" s="57">
        <f>'Headloss Calcs'!$A$44</f>
        <v>24</v>
      </c>
      <c r="E12" s="53">
        <f t="shared" si="0"/>
        <v>37.136066547831255</v>
      </c>
      <c r="F12" s="38">
        <f>'Headloss Calcs'!$E$18</f>
        <v>140</v>
      </c>
      <c r="G12" s="53">
        <f t="shared" si="1"/>
        <v>7.0686</v>
      </c>
      <c r="H12" s="53">
        <f t="shared" si="2"/>
        <v>9.4247999999999994</v>
      </c>
      <c r="I12" s="53">
        <f t="shared" si="3"/>
        <v>0.75</v>
      </c>
      <c r="J12" s="53">
        <f t="shared" si="4"/>
        <v>5.2536664329331488</v>
      </c>
      <c r="K12" s="53">
        <f t="shared" si="5"/>
        <v>0</v>
      </c>
      <c r="L12" s="53">
        <v>0.4</v>
      </c>
      <c r="M12" s="58">
        <f t="shared" si="6"/>
        <v>0.17143485086042556</v>
      </c>
      <c r="N12" s="58">
        <f t="shared" si="7"/>
        <v>0.17143485086042556</v>
      </c>
      <c r="O12" s="59">
        <f t="shared" si="8"/>
        <v>11.021953560898982</v>
      </c>
    </row>
    <row r="13" spans="1:15" x14ac:dyDescent="0.2">
      <c r="A13" s="37">
        <v>1320</v>
      </c>
      <c r="B13" s="55">
        <v>36</v>
      </c>
      <c r="C13" s="56" t="s">
        <v>23</v>
      </c>
      <c r="D13" s="57">
        <f>'Headloss Calcs'!$A$44</f>
        <v>24</v>
      </c>
      <c r="E13" s="53">
        <f t="shared" si="0"/>
        <v>37.136066547831255</v>
      </c>
      <c r="F13" s="38">
        <f>'Headloss Calcs'!$E$18</f>
        <v>140</v>
      </c>
      <c r="G13" s="53">
        <f t="shared" si="1"/>
        <v>7.0686</v>
      </c>
      <c r="H13" s="53">
        <f t="shared" si="2"/>
        <v>9.4247999999999994</v>
      </c>
      <c r="I13" s="53">
        <f t="shared" si="3"/>
        <v>0.75</v>
      </c>
      <c r="J13" s="53">
        <f t="shared" si="4"/>
        <v>5.2536664329331488</v>
      </c>
      <c r="K13" s="53">
        <f t="shared" si="5"/>
        <v>2.5519095048279903</v>
      </c>
      <c r="L13" s="53"/>
      <c r="M13" s="58">
        <f t="shared" si="6"/>
        <v>0</v>
      </c>
      <c r="N13" s="58">
        <f t="shared" si="7"/>
        <v>2.5519095048279903</v>
      </c>
      <c r="O13" s="59">
        <f t="shared" si="8"/>
        <v>13.573863065726972</v>
      </c>
    </row>
    <row r="14" spans="1:15" x14ac:dyDescent="0.2">
      <c r="A14" s="37"/>
      <c r="B14" s="55">
        <v>36</v>
      </c>
      <c r="C14" s="56" t="s">
        <v>39</v>
      </c>
      <c r="D14" s="57">
        <f>'Headloss Calcs'!$A$44</f>
        <v>24</v>
      </c>
      <c r="E14" s="53">
        <f t="shared" si="0"/>
        <v>37.136066547831255</v>
      </c>
      <c r="F14" s="38">
        <f>'Headloss Calcs'!$E$18</f>
        <v>140</v>
      </c>
      <c r="G14" s="53">
        <f t="shared" si="1"/>
        <v>7.0686</v>
      </c>
      <c r="H14" s="53">
        <f t="shared" si="2"/>
        <v>9.4247999999999994</v>
      </c>
      <c r="I14" s="53">
        <f t="shared" si="3"/>
        <v>0.75</v>
      </c>
      <c r="J14" s="53">
        <f t="shared" si="4"/>
        <v>5.2536664329331488</v>
      </c>
      <c r="K14" s="53">
        <f t="shared" si="5"/>
        <v>0</v>
      </c>
      <c r="L14" s="53">
        <v>0.4</v>
      </c>
      <c r="M14" s="58">
        <f t="shared" si="6"/>
        <v>0.17143485086042556</v>
      </c>
      <c r="N14" s="58">
        <f t="shared" si="7"/>
        <v>0.17143485086042556</v>
      </c>
      <c r="O14" s="59">
        <f t="shared" si="8"/>
        <v>13.745297916587397</v>
      </c>
    </row>
    <row r="15" spans="1:15" x14ac:dyDescent="0.2">
      <c r="A15" s="37">
        <v>1320</v>
      </c>
      <c r="B15" s="55">
        <v>36</v>
      </c>
      <c r="C15" s="56" t="s">
        <v>23</v>
      </c>
      <c r="D15" s="57">
        <f>'Headloss Calcs'!$A$44</f>
        <v>24</v>
      </c>
      <c r="E15" s="53">
        <f t="shared" si="0"/>
        <v>37.136066547831255</v>
      </c>
      <c r="F15" s="38">
        <f>'Headloss Calcs'!$E$18</f>
        <v>140</v>
      </c>
      <c r="G15" s="53">
        <f t="shared" si="1"/>
        <v>7.0686</v>
      </c>
      <c r="H15" s="53">
        <f t="shared" si="2"/>
        <v>9.4247999999999994</v>
      </c>
      <c r="I15" s="53">
        <f t="shared" si="3"/>
        <v>0.75</v>
      </c>
      <c r="J15" s="53">
        <f t="shared" si="4"/>
        <v>5.2536664329331488</v>
      </c>
      <c r="K15" s="53">
        <f t="shared" si="5"/>
        <v>2.5519095048279903</v>
      </c>
      <c r="L15" s="53"/>
      <c r="M15" s="58">
        <f t="shared" si="6"/>
        <v>0</v>
      </c>
      <c r="N15" s="58">
        <f t="shared" si="7"/>
        <v>2.5519095048279903</v>
      </c>
      <c r="O15" s="59">
        <f t="shared" si="8"/>
        <v>16.297207421415386</v>
      </c>
    </row>
    <row r="16" spans="1:15" x14ac:dyDescent="0.2">
      <c r="A16" s="37"/>
      <c r="B16" s="55">
        <v>36</v>
      </c>
      <c r="C16" s="56" t="s">
        <v>45</v>
      </c>
      <c r="D16" s="57">
        <f>'Headloss Calcs'!$A$44</f>
        <v>24</v>
      </c>
      <c r="E16" s="53">
        <f t="shared" si="0"/>
        <v>37.136066547831255</v>
      </c>
      <c r="F16" s="38">
        <f>'Headloss Calcs'!$E$18</f>
        <v>140</v>
      </c>
      <c r="G16" s="53">
        <f t="shared" si="1"/>
        <v>7.0686</v>
      </c>
      <c r="H16" s="53">
        <f t="shared" si="2"/>
        <v>9.4247999999999994</v>
      </c>
      <c r="I16" s="53">
        <f t="shared" si="3"/>
        <v>0.75</v>
      </c>
      <c r="J16" s="53">
        <f t="shared" si="4"/>
        <v>5.2536664329331488</v>
      </c>
      <c r="K16" s="53">
        <f t="shared" si="5"/>
        <v>0</v>
      </c>
      <c r="L16" s="53">
        <v>0.2</v>
      </c>
      <c r="M16" s="58">
        <f t="shared" si="6"/>
        <v>8.5717425430212782E-2</v>
      </c>
      <c r="N16" s="58">
        <f t="shared" si="7"/>
        <v>8.5717425430212782E-2</v>
      </c>
      <c r="O16" s="59">
        <f t="shared" si="8"/>
        <v>16.382924846845601</v>
      </c>
    </row>
    <row r="17" spans="1:15" x14ac:dyDescent="0.2">
      <c r="A17" s="37">
        <v>1320</v>
      </c>
      <c r="B17" s="55">
        <v>36</v>
      </c>
      <c r="C17" s="56" t="s">
        <v>23</v>
      </c>
      <c r="D17" s="57">
        <f>'Headloss Calcs'!$A$44</f>
        <v>24</v>
      </c>
      <c r="E17" s="53">
        <f t="shared" si="0"/>
        <v>37.136066547831255</v>
      </c>
      <c r="F17" s="38">
        <f>'Headloss Calcs'!$E$18</f>
        <v>140</v>
      </c>
      <c r="G17" s="53">
        <f t="shared" si="1"/>
        <v>7.0686</v>
      </c>
      <c r="H17" s="53">
        <f t="shared" si="2"/>
        <v>9.4247999999999994</v>
      </c>
      <c r="I17" s="53">
        <f t="shared" si="3"/>
        <v>0.75</v>
      </c>
      <c r="J17" s="53">
        <f t="shared" si="4"/>
        <v>5.2536664329331488</v>
      </c>
      <c r="K17" s="53">
        <f t="shared" si="5"/>
        <v>2.5519095048279903</v>
      </c>
      <c r="L17" s="53"/>
      <c r="M17" s="58">
        <f t="shared" si="6"/>
        <v>0</v>
      </c>
      <c r="N17" s="58">
        <f t="shared" si="7"/>
        <v>2.5519095048279903</v>
      </c>
      <c r="O17" s="59">
        <f t="shared" si="8"/>
        <v>18.93483435167359</v>
      </c>
    </row>
    <row r="18" spans="1:15" ht="12" customHeight="1" x14ac:dyDescent="0.2">
      <c r="A18" s="37"/>
      <c r="B18" s="55">
        <v>36</v>
      </c>
      <c r="C18" s="56" t="s">
        <v>44</v>
      </c>
      <c r="D18" s="57">
        <f>'Headloss Calcs'!$A$44</f>
        <v>24</v>
      </c>
      <c r="E18" s="53">
        <f t="shared" si="0"/>
        <v>37.136066547831255</v>
      </c>
      <c r="F18" s="38">
        <f>'Headloss Calcs'!$E$18</f>
        <v>140</v>
      </c>
      <c r="G18" s="53">
        <f t="shared" si="1"/>
        <v>7.0686</v>
      </c>
      <c r="H18" s="53">
        <f t="shared" si="2"/>
        <v>9.4247999999999994</v>
      </c>
      <c r="I18" s="53">
        <f t="shared" si="3"/>
        <v>0.75</v>
      </c>
      <c r="J18" s="53">
        <f t="shared" si="4"/>
        <v>5.2536664329331488</v>
      </c>
      <c r="K18" s="53">
        <f t="shared" si="5"/>
        <v>0</v>
      </c>
      <c r="L18" s="53">
        <v>1</v>
      </c>
      <c r="M18" s="58">
        <f t="shared" si="6"/>
        <v>0.42858712715106384</v>
      </c>
      <c r="N18" s="58">
        <f t="shared" si="7"/>
        <v>0.42858712715106384</v>
      </c>
      <c r="O18" s="59">
        <f t="shared" si="8"/>
        <v>19.363421478824655</v>
      </c>
    </row>
    <row r="19" spans="1:15" ht="13.5" thickBot="1" x14ac:dyDescent="0.25">
      <c r="A19" s="39"/>
      <c r="B19" s="40"/>
      <c r="C19" s="41"/>
      <c r="D19" s="40"/>
      <c r="E19" s="42"/>
      <c r="F19" s="40"/>
      <c r="G19" s="54"/>
      <c r="H19" s="54"/>
      <c r="I19" s="54"/>
      <c r="J19" s="54"/>
      <c r="K19" s="54"/>
      <c r="L19" s="54"/>
      <c r="M19" s="60"/>
      <c r="N19" s="60" t="s">
        <v>40</v>
      </c>
      <c r="O19" s="61">
        <f>O18</f>
        <v>19.363421478824655</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Calcs'!$A$44</f>
        <v>24</v>
      </c>
      <c r="E22" s="53">
        <f t="shared" ref="E22:E37" si="9">D22*1000000/(7.48*24*60*60)</f>
        <v>37.136066547831255</v>
      </c>
      <c r="F22" s="38">
        <f>'Headloss Calcs'!$H$18</f>
        <v>100</v>
      </c>
      <c r="G22" s="53">
        <f t="shared" ref="G22:G37" si="10">3.1416/4*(B22/12)^2</f>
        <v>7.0686</v>
      </c>
      <c r="H22" s="53">
        <f t="shared" ref="H22:H37" si="11">3.1416*(B22/12)</f>
        <v>9.4247999999999994</v>
      </c>
      <c r="I22" s="53">
        <f t="shared" ref="I22:I37" si="12">G22/H22</f>
        <v>0.75</v>
      </c>
      <c r="J22" s="53">
        <f t="shared" ref="J22:J37" si="13">E22/G22</f>
        <v>5.2536664329331488</v>
      </c>
      <c r="K22" s="53">
        <f t="shared" ref="K22:K37" si="14">(J22/(1.318*F22*I22^0.63))^1.85*A22</f>
        <v>0</v>
      </c>
      <c r="L22" s="53">
        <v>0.25</v>
      </c>
      <c r="M22" s="58">
        <f t="shared" ref="M22:M37" si="15">L22*(J22^2)/(2*32.2)</f>
        <v>0.10714678178776596</v>
      </c>
      <c r="N22" s="58">
        <f t="shared" ref="N22:N37" si="16">K22+M22</f>
        <v>0.10714678178776596</v>
      </c>
      <c r="O22" s="59">
        <f>N22</f>
        <v>0.10714678178776596</v>
      </c>
    </row>
    <row r="23" spans="1:15" x14ac:dyDescent="0.2">
      <c r="A23" s="37"/>
      <c r="B23" s="55">
        <v>36</v>
      </c>
      <c r="C23" s="56" t="s">
        <v>47</v>
      </c>
      <c r="D23" s="57">
        <f>'Headloss Calcs'!$A$44</f>
        <v>24</v>
      </c>
      <c r="E23" s="53">
        <f t="shared" si="9"/>
        <v>37.136066547831255</v>
      </c>
      <c r="F23" s="38">
        <f>'Headloss Calcs'!$H$18</f>
        <v>100</v>
      </c>
      <c r="G23" s="53">
        <f t="shared" si="10"/>
        <v>7.0686</v>
      </c>
      <c r="H23" s="53">
        <f t="shared" si="11"/>
        <v>9.4247999999999994</v>
      </c>
      <c r="I23" s="53">
        <f t="shared" si="12"/>
        <v>0.75</v>
      </c>
      <c r="J23" s="53">
        <f t="shared" si="13"/>
        <v>5.2536664329331488</v>
      </c>
      <c r="K23" s="53">
        <f t="shared" si="14"/>
        <v>0</v>
      </c>
      <c r="L23" s="53">
        <v>0.25</v>
      </c>
      <c r="M23" s="58">
        <f t="shared" si="15"/>
        <v>0.10714678178776596</v>
      </c>
      <c r="N23" s="58">
        <f t="shared" si="16"/>
        <v>0.10714678178776596</v>
      </c>
      <c r="O23" s="59">
        <f t="shared" ref="O23:O37" si="17">N23+O22</f>
        <v>0.21429356357553192</v>
      </c>
    </row>
    <row r="24" spans="1:15" x14ac:dyDescent="0.2">
      <c r="A24" s="37">
        <v>1320</v>
      </c>
      <c r="B24" s="55">
        <v>36</v>
      </c>
      <c r="C24" s="56" t="s">
        <v>23</v>
      </c>
      <c r="D24" s="57">
        <f>'Headloss Calcs'!$A$44</f>
        <v>24</v>
      </c>
      <c r="E24" s="53">
        <f t="shared" si="9"/>
        <v>37.136066547831255</v>
      </c>
      <c r="F24" s="38">
        <f>'Headloss Calcs'!$H$18</f>
        <v>100</v>
      </c>
      <c r="G24" s="53">
        <f t="shared" si="10"/>
        <v>7.0686</v>
      </c>
      <c r="H24" s="53">
        <f t="shared" si="11"/>
        <v>9.4247999999999994</v>
      </c>
      <c r="I24" s="53">
        <f t="shared" si="12"/>
        <v>0.75</v>
      </c>
      <c r="J24" s="53">
        <f t="shared" si="13"/>
        <v>5.2536664329331488</v>
      </c>
      <c r="K24" s="53">
        <f t="shared" si="14"/>
        <v>4.7555651468593716</v>
      </c>
      <c r="L24" s="53"/>
      <c r="M24" s="58">
        <f t="shared" si="15"/>
        <v>0</v>
      </c>
      <c r="N24" s="58">
        <f t="shared" si="16"/>
        <v>4.7555651468593716</v>
      </c>
      <c r="O24" s="59">
        <f t="shared" si="17"/>
        <v>4.9698587104349032</v>
      </c>
    </row>
    <row r="25" spans="1:15" x14ac:dyDescent="0.2">
      <c r="A25" s="37"/>
      <c r="B25" s="55">
        <v>36</v>
      </c>
      <c r="C25" s="56" t="s">
        <v>45</v>
      </c>
      <c r="D25" s="57">
        <f>'Headloss Calcs'!$A$44</f>
        <v>24</v>
      </c>
      <c r="E25" s="53">
        <f t="shared" si="9"/>
        <v>37.136066547831255</v>
      </c>
      <c r="F25" s="38">
        <f>'Headloss Calcs'!$H$18</f>
        <v>100</v>
      </c>
      <c r="G25" s="53">
        <f t="shared" si="10"/>
        <v>7.0686</v>
      </c>
      <c r="H25" s="53">
        <f t="shared" si="11"/>
        <v>9.4247999999999994</v>
      </c>
      <c r="I25" s="53">
        <f t="shared" si="12"/>
        <v>0.75</v>
      </c>
      <c r="J25" s="53">
        <f t="shared" si="13"/>
        <v>5.2536664329331488</v>
      </c>
      <c r="K25" s="53">
        <f t="shared" si="14"/>
        <v>0</v>
      </c>
      <c r="L25" s="53">
        <v>0.2</v>
      </c>
      <c r="M25" s="58">
        <f t="shared" si="15"/>
        <v>8.5717425430212782E-2</v>
      </c>
      <c r="N25" s="58">
        <f t="shared" si="16"/>
        <v>8.5717425430212782E-2</v>
      </c>
      <c r="O25" s="59">
        <f t="shared" si="17"/>
        <v>5.0555761358651159</v>
      </c>
    </row>
    <row r="26" spans="1:15" x14ac:dyDescent="0.2">
      <c r="A26" s="37">
        <v>1320</v>
      </c>
      <c r="B26" s="55">
        <v>36</v>
      </c>
      <c r="C26" s="69" t="s">
        <v>23</v>
      </c>
      <c r="D26" s="57">
        <f>'Headloss Calcs'!$A$44</f>
        <v>24</v>
      </c>
      <c r="E26" s="53">
        <f t="shared" si="9"/>
        <v>37.136066547831255</v>
      </c>
      <c r="F26" s="38">
        <f>'Headloss Calcs'!$H$18</f>
        <v>100</v>
      </c>
      <c r="G26" s="53">
        <f t="shared" si="10"/>
        <v>7.0686</v>
      </c>
      <c r="H26" s="53">
        <f t="shared" si="11"/>
        <v>9.4247999999999994</v>
      </c>
      <c r="I26" s="53">
        <f t="shared" si="12"/>
        <v>0.75</v>
      </c>
      <c r="J26" s="53">
        <f t="shared" si="13"/>
        <v>5.2536664329331488</v>
      </c>
      <c r="K26" s="53">
        <f t="shared" si="14"/>
        <v>4.7555651468593716</v>
      </c>
      <c r="L26" s="53"/>
      <c r="M26" s="58">
        <f t="shared" si="15"/>
        <v>0</v>
      </c>
      <c r="N26" s="58">
        <f t="shared" si="16"/>
        <v>4.7555651468593716</v>
      </c>
      <c r="O26" s="59">
        <f t="shared" si="17"/>
        <v>9.8111412827244884</v>
      </c>
    </row>
    <row r="27" spans="1:15" x14ac:dyDescent="0.2">
      <c r="A27" s="37"/>
      <c r="B27" s="55">
        <v>36</v>
      </c>
      <c r="C27" s="56" t="s">
        <v>39</v>
      </c>
      <c r="D27" s="57">
        <f>'Headloss Calcs'!$A$44</f>
        <v>24</v>
      </c>
      <c r="E27" s="53">
        <f t="shared" si="9"/>
        <v>37.136066547831255</v>
      </c>
      <c r="F27" s="38">
        <f>'Headloss Calcs'!$H$18</f>
        <v>100</v>
      </c>
      <c r="G27" s="53">
        <f t="shared" si="10"/>
        <v>7.0686</v>
      </c>
      <c r="H27" s="53">
        <f t="shared" si="11"/>
        <v>9.4247999999999994</v>
      </c>
      <c r="I27" s="53">
        <f t="shared" si="12"/>
        <v>0.75</v>
      </c>
      <c r="J27" s="53">
        <f t="shared" si="13"/>
        <v>5.2536664329331488</v>
      </c>
      <c r="K27" s="53">
        <f t="shared" si="14"/>
        <v>0</v>
      </c>
      <c r="L27" s="53">
        <v>0.4</v>
      </c>
      <c r="M27" s="58">
        <f t="shared" si="15"/>
        <v>0.17143485086042556</v>
      </c>
      <c r="N27" s="58">
        <f t="shared" si="16"/>
        <v>0.17143485086042556</v>
      </c>
      <c r="O27" s="59">
        <f t="shared" si="17"/>
        <v>9.9825761335849137</v>
      </c>
    </row>
    <row r="28" spans="1:15" x14ac:dyDescent="0.2">
      <c r="A28" s="37">
        <v>1320</v>
      </c>
      <c r="B28" s="55">
        <v>36</v>
      </c>
      <c r="C28" s="56" t="s">
        <v>23</v>
      </c>
      <c r="D28" s="57">
        <f>'Headloss Calcs'!$A$44</f>
        <v>24</v>
      </c>
      <c r="E28" s="53">
        <f t="shared" si="9"/>
        <v>37.136066547831255</v>
      </c>
      <c r="F28" s="38">
        <f>'Headloss Calcs'!$H$18</f>
        <v>100</v>
      </c>
      <c r="G28" s="53">
        <f t="shared" si="10"/>
        <v>7.0686</v>
      </c>
      <c r="H28" s="53">
        <f t="shared" si="11"/>
        <v>9.4247999999999994</v>
      </c>
      <c r="I28" s="53">
        <f t="shared" si="12"/>
        <v>0.75</v>
      </c>
      <c r="J28" s="53">
        <f t="shared" si="13"/>
        <v>5.2536664329331488</v>
      </c>
      <c r="K28" s="53">
        <f t="shared" si="14"/>
        <v>4.7555651468593716</v>
      </c>
      <c r="L28" s="53"/>
      <c r="M28" s="58">
        <f t="shared" si="15"/>
        <v>0</v>
      </c>
      <c r="N28" s="58">
        <f t="shared" si="16"/>
        <v>4.7555651468593716</v>
      </c>
      <c r="O28" s="59">
        <f t="shared" si="17"/>
        <v>14.738141280444285</v>
      </c>
    </row>
    <row r="29" spans="1:15" x14ac:dyDescent="0.2">
      <c r="A29" s="37"/>
      <c r="B29" s="55">
        <v>36</v>
      </c>
      <c r="C29" s="56" t="s">
        <v>39</v>
      </c>
      <c r="D29" s="57">
        <f>'Headloss Calcs'!$A$44</f>
        <v>24</v>
      </c>
      <c r="E29" s="53">
        <f t="shared" si="9"/>
        <v>37.136066547831255</v>
      </c>
      <c r="F29" s="38">
        <f>'Headloss Calcs'!$H$18</f>
        <v>100</v>
      </c>
      <c r="G29" s="53">
        <f t="shared" si="10"/>
        <v>7.0686</v>
      </c>
      <c r="H29" s="53">
        <f t="shared" si="11"/>
        <v>9.4247999999999994</v>
      </c>
      <c r="I29" s="53">
        <f t="shared" si="12"/>
        <v>0.75</v>
      </c>
      <c r="J29" s="53">
        <f t="shared" si="13"/>
        <v>5.2536664329331488</v>
      </c>
      <c r="K29" s="53">
        <f t="shared" si="14"/>
        <v>0</v>
      </c>
      <c r="L29" s="53">
        <v>0.4</v>
      </c>
      <c r="M29" s="58">
        <f t="shared" si="15"/>
        <v>0.17143485086042556</v>
      </c>
      <c r="N29" s="58">
        <f t="shared" si="16"/>
        <v>0.17143485086042556</v>
      </c>
      <c r="O29" s="59">
        <f t="shared" si="17"/>
        <v>14.909576131304711</v>
      </c>
    </row>
    <row r="30" spans="1:15" x14ac:dyDescent="0.2">
      <c r="A30" s="37">
        <v>1320</v>
      </c>
      <c r="B30" s="55">
        <v>36</v>
      </c>
      <c r="C30" s="56" t="s">
        <v>23</v>
      </c>
      <c r="D30" s="57">
        <f>'Headloss Calcs'!$A$44</f>
        <v>24</v>
      </c>
      <c r="E30" s="53">
        <f t="shared" si="9"/>
        <v>37.136066547831255</v>
      </c>
      <c r="F30" s="38">
        <f>'Headloss Calcs'!$H$18</f>
        <v>100</v>
      </c>
      <c r="G30" s="53">
        <f t="shared" si="10"/>
        <v>7.0686</v>
      </c>
      <c r="H30" s="53">
        <f t="shared" si="11"/>
        <v>9.4247999999999994</v>
      </c>
      <c r="I30" s="53">
        <f t="shared" si="12"/>
        <v>0.75</v>
      </c>
      <c r="J30" s="53">
        <f t="shared" si="13"/>
        <v>5.2536664329331488</v>
      </c>
      <c r="K30" s="53">
        <f t="shared" si="14"/>
        <v>4.7555651468593716</v>
      </c>
      <c r="L30" s="53"/>
      <c r="M30" s="58">
        <f t="shared" si="15"/>
        <v>0</v>
      </c>
      <c r="N30" s="58">
        <f t="shared" si="16"/>
        <v>4.7555651468593716</v>
      </c>
      <c r="O30" s="59">
        <f t="shared" si="17"/>
        <v>19.665141278164082</v>
      </c>
    </row>
    <row r="31" spans="1:15" x14ac:dyDescent="0.2">
      <c r="A31" s="37"/>
      <c r="B31" s="55">
        <v>36</v>
      </c>
      <c r="C31" s="56" t="s">
        <v>48</v>
      </c>
      <c r="D31" s="57">
        <f>'Headloss Calcs'!$A$44</f>
        <v>24</v>
      </c>
      <c r="E31" s="53">
        <f t="shared" si="9"/>
        <v>37.136066547831255</v>
      </c>
      <c r="F31" s="38">
        <f>'Headloss Calcs'!$H$18</f>
        <v>100</v>
      </c>
      <c r="G31" s="53">
        <f t="shared" si="10"/>
        <v>7.0686</v>
      </c>
      <c r="H31" s="53">
        <f t="shared" si="11"/>
        <v>9.4247999999999994</v>
      </c>
      <c r="I31" s="53">
        <f t="shared" si="12"/>
        <v>0.75</v>
      </c>
      <c r="J31" s="53">
        <f t="shared" si="13"/>
        <v>5.2536664329331488</v>
      </c>
      <c r="K31" s="53">
        <f t="shared" si="14"/>
        <v>0</v>
      </c>
      <c r="L31" s="53">
        <v>0.4</v>
      </c>
      <c r="M31" s="58">
        <f t="shared" si="15"/>
        <v>0.17143485086042556</v>
      </c>
      <c r="N31" s="58">
        <f t="shared" si="16"/>
        <v>0.17143485086042556</v>
      </c>
      <c r="O31" s="59">
        <f t="shared" si="17"/>
        <v>19.836576129024508</v>
      </c>
    </row>
    <row r="32" spans="1:15" x14ac:dyDescent="0.2">
      <c r="A32" s="37">
        <v>1320</v>
      </c>
      <c r="B32" s="55">
        <v>36</v>
      </c>
      <c r="C32" s="56" t="s">
        <v>23</v>
      </c>
      <c r="D32" s="57">
        <f>'Headloss Calcs'!$A$44</f>
        <v>24</v>
      </c>
      <c r="E32" s="53">
        <f t="shared" si="9"/>
        <v>37.136066547831255</v>
      </c>
      <c r="F32" s="38">
        <f>'Headloss Calcs'!$H$18</f>
        <v>100</v>
      </c>
      <c r="G32" s="53">
        <f t="shared" si="10"/>
        <v>7.0686</v>
      </c>
      <c r="H32" s="53">
        <f t="shared" si="11"/>
        <v>9.4247999999999994</v>
      </c>
      <c r="I32" s="53">
        <f t="shared" si="12"/>
        <v>0.75</v>
      </c>
      <c r="J32" s="53">
        <f t="shared" si="13"/>
        <v>5.2536664329331488</v>
      </c>
      <c r="K32" s="53">
        <f t="shared" si="14"/>
        <v>4.7555651468593716</v>
      </c>
      <c r="L32" s="53"/>
      <c r="M32" s="58">
        <f t="shared" si="15"/>
        <v>0</v>
      </c>
      <c r="N32" s="58">
        <f t="shared" si="16"/>
        <v>4.7555651468593716</v>
      </c>
      <c r="O32" s="59">
        <f t="shared" si="17"/>
        <v>24.592141275883879</v>
      </c>
    </row>
    <row r="33" spans="1:15" x14ac:dyDescent="0.2">
      <c r="A33" s="37"/>
      <c r="B33" s="55">
        <v>36</v>
      </c>
      <c r="C33" s="56" t="s">
        <v>39</v>
      </c>
      <c r="D33" s="57">
        <f>'Headloss Calcs'!$A$44</f>
        <v>24</v>
      </c>
      <c r="E33" s="53">
        <f t="shared" si="9"/>
        <v>37.136066547831255</v>
      </c>
      <c r="F33" s="38">
        <f>'Headloss Calcs'!$H$18</f>
        <v>100</v>
      </c>
      <c r="G33" s="53">
        <f t="shared" si="10"/>
        <v>7.0686</v>
      </c>
      <c r="H33" s="53">
        <f t="shared" si="11"/>
        <v>9.4247999999999994</v>
      </c>
      <c r="I33" s="53">
        <f t="shared" si="12"/>
        <v>0.75</v>
      </c>
      <c r="J33" s="53">
        <f t="shared" si="13"/>
        <v>5.2536664329331488</v>
      </c>
      <c r="K33" s="53">
        <f t="shared" si="14"/>
        <v>0</v>
      </c>
      <c r="L33" s="53">
        <v>0.4</v>
      </c>
      <c r="M33" s="58">
        <f t="shared" si="15"/>
        <v>0.17143485086042556</v>
      </c>
      <c r="N33" s="58">
        <f t="shared" si="16"/>
        <v>0.17143485086042556</v>
      </c>
      <c r="O33" s="59">
        <f t="shared" si="17"/>
        <v>24.763576126744304</v>
      </c>
    </row>
    <row r="34" spans="1:15" x14ac:dyDescent="0.2">
      <c r="A34" s="37">
        <v>1320</v>
      </c>
      <c r="B34" s="55">
        <v>36</v>
      </c>
      <c r="C34" s="56" t="s">
        <v>23</v>
      </c>
      <c r="D34" s="57">
        <f>'Headloss Calcs'!$A$44</f>
        <v>24</v>
      </c>
      <c r="E34" s="53">
        <f t="shared" si="9"/>
        <v>37.136066547831255</v>
      </c>
      <c r="F34" s="38">
        <f>'Headloss Calcs'!$H$18</f>
        <v>100</v>
      </c>
      <c r="G34" s="53">
        <f t="shared" si="10"/>
        <v>7.0686</v>
      </c>
      <c r="H34" s="53">
        <f t="shared" si="11"/>
        <v>9.4247999999999994</v>
      </c>
      <c r="I34" s="53">
        <f t="shared" si="12"/>
        <v>0.75</v>
      </c>
      <c r="J34" s="53">
        <f t="shared" si="13"/>
        <v>5.2536664329331488</v>
      </c>
      <c r="K34" s="53">
        <f t="shared" si="14"/>
        <v>4.7555651468593716</v>
      </c>
      <c r="L34" s="53"/>
      <c r="M34" s="58">
        <f t="shared" si="15"/>
        <v>0</v>
      </c>
      <c r="N34" s="58">
        <f t="shared" si="16"/>
        <v>4.7555651468593716</v>
      </c>
      <c r="O34" s="59">
        <f t="shared" si="17"/>
        <v>29.519141273603676</v>
      </c>
    </row>
    <row r="35" spans="1:15" x14ac:dyDescent="0.2">
      <c r="A35" s="37"/>
      <c r="B35" s="55">
        <v>36</v>
      </c>
      <c r="C35" s="56" t="s">
        <v>45</v>
      </c>
      <c r="D35" s="57">
        <f>'Headloss Calcs'!$A$44</f>
        <v>24</v>
      </c>
      <c r="E35" s="53">
        <f t="shared" si="9"/>
        <v>37.136066547831255</v>
      </c>
      <c r="F35" s="38">
        <f>'Headloss Calcs'!$H$18</f>
        <v>100</v>
      </c>
      <c r="G35" s="53">
        <f t="shared" si="10"/>
        <v>7.0686</v>
      </c>
      <c r="H35" s="53">
        <f t="shared" si="11"/>
        <v>9.4247999999999994</v>
      </c>
      <c r="I35" s="53">
        <f t="shared" si="12"/>
        <v>0.75</v>
      </c>
      <c r="J35" s="53">
        <f t="shared" si="13"/>
        <v>5.2536664329331488</v>
      </c>
      <c r="K35" s="53">
        <f t="shared" si="14"/>
        <v>0</v>
      </c>
      <c r="L35" s="53">
        <v>0.2</v>
      </c>
      <c r="M35" s="58">
        <f t="shared" si="15"/>
        <v>8.5717425430212782E-2</v>
      </c>
      <c r="N35" s="58">
        <f t="shared" si="16"/>
        <v>8.5717425430212782E-2</v>
      </c>
      <c r="O35" s="59">
        <f t="shared" si="17"/>
        <v>29.60485869903389</v>
      </c>
    </row>
    <row r="36" spans="1:15" x14ac:dyDescent="0.2">
      <c r="A36" s="37">
        <v>1320</v>
      </c>
      <c r="B36" s="55">
        <v>36</v>
      </c>
      <c r="C36" s="56" t="s">
        <v>23</v>
      </c>
      <c r="D36" s="57">
        <f>'Headloss Calcs'!$A$44</f>
        <v>24</v>
      </c>
      <c r="E36" s="53">
        <f t="shared" si="9"/>
        <v>37.136066547831255</v>
      </c>
      <c r="F36" s="38">
        <f>'Headloss Calcs'!$H$18</f>
        <v>100</v>
      </c>
      <c r="G36" s="53">
        <f t="shared" si="10"/>
        <v>7.0686</v>
      </c>
      <c r="H36" s="53">
        <f t="shared" si="11"/>
        <v>9.4247999999999994</v>
      </c>
      <c r="I36" s="53">
        <f t="shared" si="12"/>
        <v>0.75</v>
      </c>
      <c r="J36" s="53">
        <f t="shared" si="13"/>
        <v>5.2536664329331488</v>
      </c>
      <c r="K36" s="53">
        <f t="shared" si="14"/>
        <v>4.7555651468593716</v>
      </c>
      <c r="L36" s="53"/>
      <c r="M36" s="58">
        <f t="shared" si="15"/>
        <v>0</v>
      </c>
      <c r="N36" s="58">
        <f t="shared" si="16"/>
        <v>4.7555651468593716</v>
      </c>
      <c r="O36" s="59">
        <f t="shared" si="17"/>
        <v>34.360423845893266</v>
      </c>
    </row>
    <row r="37" spans="1:15" ht="12" customHeight="1" x14ac:dyDescent="0.2">
      <c r="A37" s="37"/>
      <c r="B37" s="55">
        <v>36</v>
      </c>
      <c r="C37" s="56" t="s">
        <v>44</v>
      </c>
      <c r="D37" s="57">
        <f>'Headloss Calcs'!$A$44</f>
        <v>24</v>
      </c>
      <c r="E37" s="53">
        <f t="shared" si="9"/>
        <v>37.136066547831255</v>
      </c>
      <c r="F37" s="38">
        <f>'Headloss Calcs'!$H$18</f>
        <v>100</v>
      </c>
      <c r="G37" s="53">
        <f t="shared" si="10"/>
        <v>7.0686</v>
      </c>
      <c r="H37" s="53">
        <f t="shared" si="11"/>
        <v>9.4247999999999994</v>
      </c>
      <c r="I37" s="53">
        <f t="shared" si="12"/>
        <v>0.75</v>
      </c>
      <c r="J37" s="53">
        <f t="shared" si="13"/>
        <v>5.2536664329331488</v>
      </c>
      <c r="K37" s="53">
        <f t="shared" si="14"/>
        <v>0</v>
      </c>
      <c r="L37" s="53">
        <v>1</v>
      </c>
      <c r="M37" s="58">
        <f t="shared" si="15"/>
        <v>0.42858712715106384</v>
      </c>
      <c r="N37" s="58">
        <f t="shared" si="16"/>
        <v>0.42858712715106384</v>
      </c>
      <c r="O37" s="59">
        <f t="shared" si="17"/>
        <v>34.789010973044327</v>
      </c>
    </row>
    <row r="38" spans="1:15" ht="13.5" thickBot="1" x14ac:dyDescent="0.25">
      <c r="A38" s="39"/>
      <c r="B38" s="40"/>
      <c r="C38" s="41"/>
      <c r="D38" s="40"/>
      <c r="E38" s="42"/>
      <c r="F38" s="40"/>
      <c r="G38" s="54"/>
      <c r="H38" s="54"/>
      <c r="I38" s="54"/>
      <c r="J38" s="54"/>
      <c r="K38" s="54"/>
      <c r="L38" s="54"/>
      <c r="M38" s="60"/>
      <c r="N38" s="60" t="s">
        <v>40</v>
      </c>
      <c r="O38" s="61">
        <f>O37</f>
        <v>34.789010973044327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50"/>
  <sheetViews>
    <sheetView topLeftCell="A14"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Calcs'!$A$45</f>
        <v>25</v>
      </c>
      <c r="E3" s="53">
        <f t="shared" ref="E3:E18" si="0">D3*1000000/(7.48*24*60*60)</f>
        <v>38.683402653990889</v>
      </c>
      <c r="F3" s="38">
        <f>'Headloss Calcs'!$E$18</f>
        <v>140</v>
      </c>
      <c r="G3" s="53">
        <f t="shared" ref="G3:G18" si="1">3.1416/4*(B3/12)^2</f>
        <v>7.0686</v>
      </c>
      <c r="H3" s="53">
        <f t="shared" ref="H3:H18" si="2">3.1416*(B3/12)</f>
        <v>9.4247999999999994</v>
      </c>
      <c r="I3" s="53">
        <f t="shared" ref="I3:I18" si="3">G3/H3</f>
        <v>0.75</v>
      </c>
      <c r="J3" s="53">
        <f t="shared" ref="J3:J18" si="4">E3/G3</f>
        <v>5.4725692009720293</v>
      </c>
      <c r="K3" s="53">
        <f t="shared" ref="K3:K18" si="5">(J3/(1.318*F3*I3^0.63))^1.85*A3</f>
        <v>0</v>
      </c>
      <c r="L3" s="53">
        <v>0.25</v>
      </c>
      <c r="M3" s="58">
        <f t="shared" ref="M3:M18" si="6">L3*(J3^2)/(2*32.2)</f>
        <v>0.11626169898846131</v>
      </c>
      <c r="N3" s="58">
        <f t="shared" ref="N3:N18" si="7">K3+M3</f>
        <v>0.11626169898846131</v>
      </c>
      <c r="O3" s="59">
        <f>N3</f>
        <v>0.11626169898846131</v>
      </c>
    </row>
    <row r="4" spans="1:15" x14ac:dyDescent="0.2">
      <c r="A4" s="37"/>
      <c r="B4" s="55">
        <v>36</v>
      </c>
      <c r="C4" s="56" t="s">
        <v>47</v>
      </c>
      <c r="D4" s="57">
        <f>'Headloss Calcs'!$A$45</f>
        <v>25</v>
      </c>
      <c r="E4" s="53">
        <f t="shared" si="0"/>
        <v>38.683402653990889</v>
      </c>
      <c r="F4" s="38">
        <f>'Headloss Calcs'!$E$18</f>
        <v>140</v>
      </c>
      <c r="G4" s="53">
        <f t="shared" si="1"/>
        <v>7.0686</v>
      </c>
      <c r="H4" s="53">
        <f t="shared" si="2"/>
        <v>9.4247999999999994</v>
      </c>
      <c r="I4" s="53">
        <f t="shared" si="3"/>
        <v>0.75</v>
      </c>
      <c r="J4" s="53">
        <f t="shared" si="4"/>
        <v>5.4725692009720293</v>
      </c>
      <c r="K4" s="53">
        <f t="shared" si="5"/>
        <v>0</v>
      </c>
      <c r="L4" s="53">
        <v>0.25</v>
      </c>
      <c r="M4" s="58">
        <f t="shared" si="6"/>
        <v>0.11626169898846131</v>
      </c>
      <c r="N4" s="58">
        <f t="shared" si="7"/>
        <v>0.11626169898846131</v>
      </c>
      <c r="O4" s="59">
        <f t="shared" ref="O4:O18" si="8">N4+O3</f>
        <v>0.23252339797692262</v>
      </c>
    </row>
    <row r="5" spans="1:15" x14ac:dyDescent="0.2">
      <c r="A5" s="37">
        <v>1320</v>
      </c>
      <c r="B5" s="55">
        <v>36</v>
      </c>
      <c r="C5" s="56" t="s">
        <v>23</v>
      </c>
      <c r="D5" s="57">
        <f>'Headloss Calcs'!$A$45</f>
        <v>25</v>
      </c>
      <c r="E5" s="53">
        <f t="shared" si="0"/>
        <v>38.683402653990889</v>
      </c>
      <c r="F5" s="38">
        <f>'Headloss Calcs'!$E$18</f>
        <v>140</v>
      </c>
      <c r="G5" s="53">
        <f t="shared" si="1"/>
        <v>7.0686</v>
      </c>
      <c r="H5" s="53">
        <f t="shared" si="2"/>
        <v>9.4247999999999994</v>
      </c>
      <c r="I5" s="53">
        <f t="shared" si="3"/>
        <v>0.75</v>
      </c>
      <c r="J5" s="53">
        <f t="shared" si="4"/>
        <v>5.4725692009720293</v>
      </c>
      <c r="K5" s="53">
        <f t="shared" si="5"/>
        <v>2.7520954249277865</v>
      </c>
      <c r="L5" s="53"/>
      <c r="M5" s="58">
        <f t="shared" si="6"/>
        <v>0</v>
      </c>
      <c r="N5" s="58">
        <f t="shared" si="7"/>
        <v>2.7520954249277865</v>
      </c>
      <c r="O5" s="59">
        <f t="shared" si="8"/>
        <v>2.984618822904709</v>
      </c>
    </row>
    <row r="6" spans="1:15" x14ac:dyDescent="0.2">
      <c r="A6" s="37"/>
      <c r="B6" s="55">
        <v>36</v>
      </c>
      <c r="C6" s="56" t="s">
        <v>45</v>
      </c>
      <c r="D6" s="57">
        <f>'Headloss Calcs'!$A$45</f>
        <v>25</v>
      </c>
      <c r="E6" s="53">
        <f t="shared" si="0"/>
        <v>38.683402653990889</v>
      </c>
      <c r="F6" s="38">
        <f>'Headloss Calcs'!$E$18</f>
        <v>140</v>
      </c>
      <c r="G6" s="53">
        <f t="shared" si="1"/>
        <v>7.0686</v>
      </c>
      <c r="H6" s="53">
        <f t="shared" si="2"/>
        <v>9.4247999999999994</v>
      </c>
      <c r="I6" s="53">
        <f t="shared" si="3"/>
        <v>0.75</v>
      </c>
      <c r="J6" s="53">
        <f t="shared" si="4"/>
        <v>5.4725692009720293</v>
      </c>
      <c r="K6" s="53">
        <f t="shared" si="5"/>
        <v>0</v>
      </c>
      <c r="L6" s="53">
        <v>0.2</v>
      </c>
      <c r="M6" s="58">
        <f t="shared" si="6"/>
        <v>9.3009359190769053E-2</v>
      </c>
      <c r="N6" s="58">
        <f t="shared" si="7"/>
        <v>9.3009359190769053E-2</v>
      </c>
      <c r="O6" s="59">
        <f t="shared" si="8"/>
        <v>3.0776281820954781</v>
      </c>
    </row>
    <row r="7" spans="1:15" x14ac:dyDescent="0.2">
      <c r="A7" s="37">
        <v>1320</v>
      </c>
      <c r="B7" s="55">
        <v>36</v>
      </c>
      <c r="C7" s="69" t="s">
        <v>23</v>
      </c>
      <c r="D7" s="57">
        <f>'Headloss Calcs'!$A$45</f>
        <v>25</v>
      </c>
      <c r="E7" s="53">
        <f t="shared" si="0"/>
        <v>38.683402653990889</v>
      </c>
      <c r="F7" s="38">
        <f>'Headloss Calcs'!$E$18</f>
        <v>140</v>
      </c>
      <c r="G7" s="53">
        <f t="shared" si="1"/>
        <v>7.0686</v>
      </c>
      <c r="H7" s="53">
        <f t="shared" si="2"/>
        <v>9.4247999999999994</v>
      </c>
      <c r="I7" s="53">
        <f t="shared" si="3"/>
        <v>0.75</v>
      </c>
      <c r="J7" s="53">
        <f t="shared" si="4"/>
        <v>5.4725692009720293</v>
      </c>
      <c r="K7" s="53">
        <f t="shared" si="5"/>
        <v>2.7520954249277865</v>
      </c>
      <c r="L7" s="53"/>
      <c r="M7" s="58">
        <f t="shared" si="6"/>
        <v>0</v>
      </c>
      <c r="N7" s="58">
        <f t="shared" si="7"/>
        <v>2.7520954249277865</v>
      </c>
      <c r="O7" s="59">
        <f t="shared" si="8"/>
        <v>5.829723607023265</v>
      </c>
    </row>
    <row r="8" spans="1:15" x14ac:dyDescent="0.2">
      <c r="A8" s="37"/>
      <c r="B8" s="55">
        <v>36</v>
      </c>
      <c r="C8" s="56" t="s">
        <v>39</v>
      </c>
      <c r="D8" s="57">
        <f>'Headloss Calcs'!$A$45</f>
        <v>25</v>
      </c>
      <c r="E8" s="53">
        <f t="shared" si="0"/>
        <v>38.683402653990889</v>
      </c>
      <c r="F8" s="38">
        <f>'Headloss Calcs'!$E$18</f>
        <v>140</v>
      </c>
      <c r="G8" s="53">
        <f t="shared" si="1"/>
        <v>7.0686</v>
      </c>
      <c r="H8" s="53">
        <f t="shared" si="2"/>
        <v>9.4247999999999994</v>
      </c>
      <c r="I8" s="53">
        <f t="shared" si="3"/>
        <v>0.75</v>
      </c>
      <c r="J8" s="53">
        <f t="shared" si="4"/>
        <v>5.4725692009720293</v>
      </c>
      <c r="K8" s="53">
        <f t="shared" si="5"/>
        <v>0</v>
      </c>
      <c r="L8" s="53">
        <v>0.4</v>
      </c>
      <c r="M8" s="58">
        <f t="shared" si="6"/>
        <v>0.18601871838153811</v>
      </c>
      <c r="N8" s="58">
        <f t="shared" si="7"/>
        <v>0.18601871838153811</v>
      </c>
      <c r="O8" s="59">
        <f t="shared" si="8"/>
        <v>6.015742325404803</v>
      </c>
    </row>
    <row r="9" spans="1:15" x14ac:dyDescent="0.2">
      <c r="A9" s="37">
        <v>1320</v>
      </c>
      <c r="B9" s="55">
        <v>36</v>
      </c>
      <c r="C9" s="56" t="s">
        <v>23</v>
      </c>
      <c r="D9" s="57">
        <f>'Headloss Calcs'!$A$45</f>
        <v>25</v>
      </c>
      <c r="E9" s="53">
        <f t="shared" si="0"/>
        <v>38.683402653990889</v>
      </c>
      <c r="F9" s="38">
        <f>'Headloss Calcs'!$E$18</f>
        <v>140</v>
      </c>
      <c r="G9" s="53">
        <f t="shared" si="1"/>
        <v>7.0686</v>
      </c>
      <c r="H9" s="53">
        <f t="shared" si="2"/>
        <v>9.4247999999999994</v>
      </c>
      <c r="I9" s="53">
        <f t="shared" si="3"/>
        <v>0.75</v>
      </c>
      <c r="J9" s="53">
        <f t="shared" si="4"/>
        <v>5.4725692009720293</v>
      </c>
      <c r="K9" s="53">
        <f t="shared" si="5"/>
        <v>2.7520954249277865</v>
      </c>
      <c r="L9" s="53"/>
      <c r="M9" s="58">
        <f t="shared" si="6"/>
        <v>0</v>
      </c>
      <c r="N9" s="58">
        <f t="shared" si="7"/>
        <v>2.7520954249277865</v>
      </c>
      <c r="O9" s="59">
        <f t="shared" si="8"/>
        <v>8.7678377503325891</v>
      </c>
    </row>
    <row r="10" spans="1:15" x14ac:dyDescent="0.2">
      <c r="A10" s="37"/>
      <c r="B10" s="55">
        <v>36</v>
      </c>
      <c r="C10" s="56" t="s">
        <v>39</v>
      </c>
      <c r="D10" s="57">
        <f>'Headloss Calcs'!$A$45</f>
        <v>25</v>
      </c>
      <c r="E10" s="53">
        <f t="shared" si="0"/>
        <v>38.683402653990889</v>
      </c>
      <c r="F10" s="38">
        <f>'Headloss Calcs'!$E$18</f>
        <v>140</v>
      </c>
      <c r="G10" s="53">
        <f t="shared" si="1"/>
        <v>7.0686</v>
      </c>
      <c r="H10" s="53">
        <f t="shared" si="2"/>
        <v>9.4247999999999994</v>
      </c>
      <c r="I10" s="53">
        <f t="shared" si="3"/>
        <v>0.75</v>
      </c>
      <c r="J10" s="53">
        <f t="shared" si="4"/>
        <v>5.4725692009720293</v>
      </c>
      <c r="K10" s="53">
        <f t="shared" si="5"/>
        <v>0</v>
      </c>
      <c r="L10" s="53">
        <v>0.4</v>
      </c>
      <c r="M10" s="58">
        <f t="shared" si="6"/>
        <v>0.18601871838153811</v>
      </c>
      <c r="N10" s="58">
        <f t="shared" si="7"/>
        <v>0.18601871838153811</v>
      </c>
      <c r="O10" s="59">
        <f t="shared" si="8"/>
        <v>8.9538564687141271</v>
      </c>
    </row>
    <row r="11" spans="1:15" x14ac:dyDescent="0.2">
      <c r="A11" s="37">
        <v>1320</v>
      </c>
      <c r="B11" s="55">
        <v>36</v>
      </c>
      <c r="C11" s="56" t="s">
        <v>23</v>
      </c>
      <c r="D11" s="57">
        <f>'Headloss Calcs'!$A$45</f>
        <v>25</v>
      </c>
      <c r="E11" s="53">
        <f t="shared" si="0"/>
        <v>38.683402653990889</v>
      </c>
      <c r="F11" s="38">
        <f>'Headloss Calcs'!$E$18</f>
        <v>140</v>
      </c>
      <c r="G11" s="53">
        <f t="shared" si="1"/>
        <v>7.0686</v>
      </c>
      <c r="H11" s="53">
        <f t="shared" si="2"/>
        <v>9.4247999999999994</v>
      </c>
      <c r="I11" s="53">
        <f t="shared" si="3"/>
        <v>0.75</v>
      </c>
      <c r="J11" s="53">
        <f t="shared" si="4"/>
        <v>5.4725692009720293</v>
      </c>
      <c r="K11" s="53">
        <f t="shared" si="5"/>
        <v>2.7520954249277865</v>
      </c>
      <c r="L11" s="53"/>
      <c r="M11" s="58">
        <f t="shared" si="6"/>
        <v>0</v>
      </c>
      <c r="N11" s="58">
        <f t="shared" si="7"/>
        <v>2.7520954249277865</v>
      </c>
      <c r="O11" s="59">
        <f t="shared" si="8"/>
        <v>11.705951893641913</v>
      </c>
    </row>
    <row r="12" spans="1:15" x14ac:dyDescent="0.2">
      <c r="A12" s="37"/>
      <c r="B12" s="55">
        <v>36</v>
      </c>
      <c r="C12" s="56" t="s">
        <v>48</v>
      </c>
      <c r="D12" s="57">
        <f>'Headloss Calcs'!$A$45</f>
        <v>25</v>
      </c>
      <c r="E12" s="53">
        <f t="shared" si="0"/>
        <v>38.683402653990889</v>
      </c>
      <c r="F12" s="38">
        <f>'Headloss Calcs'!$E$18</f>
        <v>140</v>
      </c>
      <c r="G12" s="53">
        <f t="shared" si="1"/>
        <v>7.0686</v>
      </c>
      <c r="H12" s="53">
        <f t="shared" si="2"/>
        <v>9.4247999999999994</v>
      </c>
      <c r="I12" s="53">
        <f t="shared" si="3"/>
        <v>0.75</v>
      </c>
      <c r="J12" s="53">
        <f t="shared" si="4"/>
        <v>5.4725692009720293</v>
      </c>
      <c r="K12" s="53">
        <f t="shared" si="5"/>
        <v>0</v>
      </c>
      <c r="L12" s="53">
        <v>0.4</v>
      </c>
      <c r="M12" s="58">
        <f t="shared" si="6"/>
        <v>0.18601871838153811</v>
      </c>
      <c r="N12" s="58">
        <f t="shared" si="7"/>
        <v>0.18601871838153811</v>
      </c>
      <c r="O12" s="59">
        <f t="shared" si="8"/>
        <v>11.891970612023451</v>
      </c>
    </row>
    <row r="13" spans="1:15" x14ac:dyDescent="0.2">
      <c r="A13" s="37">
        <v>1320</v>
      </c>
      <c r="B13" s="55">
        <v>36</v>
      </c>
      <c r="C13" s="56" t="s">
        <v>23</v>
      </c>
      <c r="D13" s="57">
        <f>'Headloss Calcs'!$A$45</f>
        <v>25</v>
      </c>
      <c r="E13" s="53">
        <f t="shared" si="0"/>
        <v>38.683402653990889</v>
      </c>
      <c r="F13" s="38">
        <f>'Headloss Calcs'!$E$18</f>
        <v>140</v>
      </c>
      <c r="G13" s="53">
        <f t="shared" si="1"/>
        <v>7.0686</v>
      </c>
      <c r="H13" s="53">
        <f t="shared" si="2"/>
        <v>9.4247999999999994</v>
      </c>
      <c r="I13" s="53">
        <f t="shared" si="3"/>
        <v>0.75</v>
      </c>
      <c r="J13" s="53">
        <f t="shared" si="4"/>
        <v>5.4725692009720293</v>
      </c>
      <c r="K13" s="53">
        <f t="shared" si="5"/>
        <v>2.7520954249277865</v>
      </c>
      <c r="L13" s="53"/>
      <c r="M13" s="58">
        <f t="shared" si="6"/>
        <v>0</v>
      </c>
      <c r="N13" s="58">
        <f t="shared" si="7"/>
        <v>2.7520954249277865</v>
      </c>
      <c r="O13" s="59">
        <f t="shared" si="8"/>
        <v>14.644066036951237</v>
      </c>
    </row>
    <row r="14" spans="1:15" x14ac:dyDescent="0.2">
      <c r="A14" s="37"/>
      <c r="B14" s="55">
        <v>36</v>
      </c>
      <c r="C14" s="56" t="s">
        <v>39</v>
      </c>
      <c r="D14" s="57">
        <f>'Headloss Calcs'!$A$45</f>
        <v>25</v>
      </c>
      <c r="E14" s="53">
        <f t="shared" si="0"/>
        <v>38.683402653990889</v>
      </c>
      <c r="F14" s="38">
        <f>'Headloss Calcs'!$E$18</f>
        <v>140</v>
      </c>
      <c r="G14" s="53">
        <f t="shared" si="1"/>
        <v>7.0686</v>
      </c>
      <c r="H14" s="53">
        <f t="shared" si="2"/>
        <v>9.4247999999999994</v>
      </c>
      <c r="I14" s="53">
        <f t="shared" si="3"/>
        <v>0.75</v>
      </c>
      <c r="J14" s="53">
        <f t="shared" si="4"/>
        <v>5.4725692009720293</v>
      </c>
      <c r="K14" s="53">
        <f t="shared" si="5"/>
        <v>0</v>
      </c>
      <c r="L14" s="53">
        <v>0.4</v>
      </c>
      <c r="M14" s="58">
        <f t="shared" si="6"/>
        <v>0.18601871838153811</v>
      </c>
      <c r="N14" s="58">
        <f t="shared" si="7"/>
        <v>0.18601871838153811</v>
      </c>
      <c r="O14" s="59">
        <f t="shared" si="8"/>
        <v>14.830084755332775</v>
      </c>
    </row>
    <row r="15" spans="1:15" x14ac:dyDescent="0.2">
      <c r="A15" s="37">
        <v>1320</v>
      </c>
      <c r="B15" s="55">
        <v>36</v>
      </c>
      <c r="C15" s="56" t="s">
        <v>23</v>
      </c>
      <c r="D15" s="57">
        <f>'Headloss Calcs'!$A$45</f>
        <v>25</v>
      </c>
      <c r="E15" s="53">
        <f t="shared" si="0"/>
        <v>38.683402653990889</v>
      </c>
      <c r="F15" s="38">
        <f>'Headloss Calcs'!$E$18</f>
        <v>140</v>
      </c>
      <c r="G15" s="53">
        <f t="shared" si="1"/>
        <v>7.0686</v>
      </c>
      <c r="H15" s="53">
        <f t="shared" si="2"/>
        <v>9.4247999999999994</v>
      </c>
      <c r="I15" s="53">
        <f t="shared" si="3"/>
        <v>0.75</v>
      </c>
      <c r="J15" s="53">
        <f t="shared" si="4"/>
        <v>5.4725692009720293</v>
      </c>
      <c r="K15" s="53">
        <f t="shared" si="5"/>
        <v>2.7520954249277865</v>
      </c>
      <c r="L15" s="53"/>
      <c r="M15" s="58">
        <f t="shared" si="6"/>
        <v>0</v>
      </c>
      <c r="N15" s="58">
        <f t="shared" si="7"/>
        <v>2.7520954249277865</v>
      </c>
      <c r="O15" s="59">
        <f t="shared" si="8"/>
        <v>17.582180180260561</v>
      </c>
    </row>
    <row r="16" spans="1:15" x14ac:dyDescent="0.2">
      <c r="A16" s="37"/>
      <c r="B16" s="55">
        <v>36</v>
      </c>
      <c r="C16" s="56" t="s">
        <v>45</v>
      </c>
      <c r="D16" s="57">
        <f>'Headloss Calcs'!$A$45</f>
        <v>25</v>
      </c>
      <c r="E16" s="53">
        <f t="shared" si="0"/>
        <v>38.683402653990889</v>
      </c>
      <c r="F16" s="38">
        <f>'Headloss Calcs'!$E$18</f>
        <v>140</v>
      </c>
      <c r="G16" s="53">
        <f t="shared" si="1"/>
        <v>7.0686</v>
      </c>
      <c r="H16" s="53">
        <f t="shared" si="2"/>
        <v>9.4247999999999994</v>
      </c>
      <c r="I16" s="53">
        <f t="shared" si="3"/>
        <v>0.75</v>
      </c>
      <c r="J16" s="53">
        <f t="shared" si="4"/>
        <v>5.4725692009720293</v>
      </c>
      <c r="K16" s="53">
        <f t="shared" si="5"/>
        <v>0</v>
      </c>
      <c r="L16" s="53">
        <v>0.2</v>
      </c>
      <c r="M16" s="58">
        <f t="shared" si="6"/>
        <v>9.3009359190769053E-2</v>
      </c>
      <c r="N16" s="58">
        <f t="shared" si="7"/>
        <v>9.3009359190769053E-2</v>
      </c>
      <c r="O16" s="59">
        <f t="shared" si="8"/>
        <v>17.675189539451331</v>
      </c>
    </row>
    <row r="17" spans="1:15" x14ac:dyDescent="0.2">
      <c r="A17" s="37">
        <v>1320</v>
      </c>
      <c r="B17" s="55">
        <v>36</v>
      </c>
      <c r="C17" s="56" t="s">
        <v>23</v>
      </c>
      <c r="D17" s="57">
        <f>'Headloss Calcs'!$A$45</f>
        <v>25</v>
      </c>
      <c r="E17" s="53">
        <f t="shared" si="0"/>
        <v>38.683402653990889</v>
      </c>
      <c r="F17" s="38">
        <f>'Headloss Calcs'!$E$18</f>
        <v>140</v>
      </c>
      <c r="G17" s="53">
        <f t="shared" si="1"/>
        <v>7.0686</v>
      </c>
      <c r="H17" s="53">
        <f t="shared" si="2"/>
        <v>9.4247999999999994</v>
      </c>
      <c r="I17" s="53">
        <f t="shared" si="3"/>
        <v>0.75</v>
      </c>
      <c r="J17" s="53">
        <f t="shared" si="4"/>
        <v>5.4725692009720293</v>
      </c>
      <c r="K17" s="53">
        <f t="shared" si="5"/>
        <v>2.7520954249277865</v>
      </c>
      <c r="L17" s="53"/>
      <c r="M17" s="58">
        <f t="shared" si="6"/>
        <v>0</v>
      </c>
      <c r="N17" s="58">
        <f t="shared" si="7"/>
        <v>2.7520954249277865</v>
      </c>
      <c r="O17" s="59">
        <f t="shared" si="8"/>
        <v>20.427284964379119</v>
      </c>
    </row>
    <row r="18" spans="1:15" ht="12" customHeight="1" x14ac:dyDescent="0.2">
      <c r="A18" s="37"/>
      <c r="B18" s="55">
        <v>36</v>
      </c>
      <c r="C18" s="56" t="s">
        <v>44</v>
      </c>
      <c r="D18" s="57">
        <f>'Headloss Calcs'!$A$45</f>
        <v>25</v>
      </c>
      <c r="E18" s="53">
        <f t="shared" si="0"/>
        <v>38.683402653990889</v>
      </c>
      <c r="F18" s="38">
        <f>'Headloss Calcs'!$E$18</f>
        <v>140</v>
      </c>
      <c r="G18" s="53">
        <f t="shared" si="1"/>
        <v>7.0686</v>
      </c>
      <c r="H18" s="53">
        <f t="shared" si="2"/>
        <v>9.4247999999999994</v>
      </c>
      <c r="I18" s="53">
        <f t="shared" si="3"/>
        <v>0.75</v>
      </c>
      <c r="J18" s="53">
        <f t="shared" si="4"/>
        <v>5.4725692009720293</v>
      </c>
      <c r="K18" s="53">
        <f t="shared" si="5"/>
        <v>0</v>
      </c>
      <c r="L18" s="53">
        <v>1</v>
      </c>
      <c r="M18" s="58">
        <f t="shared" si="6"/>
        <v>0.46504679595384524</v>
      </c>
      <c r="N18" s="58">
        <f t="shared" si="7"/>
        <v>0.46504679595384524</v>
      </c>
      <c r="O18" s="59">
        <f t="shared" si="8"/>
        <v>20.892331760332965</v>
      </c>
    </row>
    <row r="19" spans="1:15" ht="13.5" thickBot="1" x14ac:dyDescent="0.25">
      <c r="A19" s="39"/>
      <c r="B19" s="40"/>
      <c r="C19" s="41"/>
      <c r="D19" s="40"/>
      <c r="E19" s="42"/>
      <c r="F19" s="40"/>
      <c r="G19" s="54"/>
      <c r="H19" s="54"/>
      <c r="I19" s="54"/>
      <c r="J19" s="54"/>
      <c r="K19" s="54"/>
      <c r="L19" s="54"/>
      <c r="M19" s="60"/>
      <c r="N19" s="60" t="s">
        <v>40</v>
      </c>
      <c r="O19" s="61">
        <f>O18</f>
        <v>20.892331760332965</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Calcs'!$A$45</f>
        <v>25</v>
      </c>
      <c r="E22" s="53">
        <f t="shared" ref="E22:E37" si="9">D22*1000000/(7.48*24*60*60)</f>
        <v>38.683402653990889</v>
      </c>
      <c r="F22" s="38">
        <f>'Headloss Calcs'!$H$18</f>
        <v>100</v>
      </c>
      <c r="G22" s="53">
        <f t="shared" ref="G22:G37" si="10">3.1416/4*(B22/12)^2</f>
        <v>7.0686</v>
      </c>
      <c r="H22" s="53">
        <f t="shared" ref="H22:H37" si="11">3.1416*(B22/12)</f>
        <v>9.4247999999999994</v>
      </c>
      <c r="I22" s="53">
        <f t="shared" ref="I22:I37" si="12">G22/H22</f>
        <v>0.75</v>
      </c>
      <c r="J22" s="53">
        <f t="shared" ref="J22:J37" si="13">E22/G22</f>
        <v>5.4725692009720293</v>
      </c>
      <c r="K22" s="53">
        <f t="shared" ref="K22:K37" si="14">(J22/(1.318*F22*I22^0.63))^1.85*A22</f>
        <v>0</v>
      </c>
      <c r="L22" s="53">
        <v>0.25</v>
      </c>
      <c r="M22" s="58">
        <f t="shared" ref="M22:M37" si="15">L22*(J22^2)/(2*32.2)</f>
        <v>0.11626169898846131</v>
      </c>
      <c r="N22" s="58">
        <f t="shared" ref="N22:N37" si="16">K22+M22</f>
        <v>0.11626169898846131</v>
      </c>
      <c r="O22" s="59">
        <f>N22</f>
        <v>0.11626169898846131</v>
      </c>
    </row>
    <row r="23" spans="1:15" x14ac:dyDescent="0.2">
      <c r="A23" s="37"/>
      <c r="B23" s="55">
        <v>36</v>
      </c>
      <c r="C23" s="56" t="s">
        <v>47</v>
      </c>
      <c r="D23" s="57">
        <f>'Headloss Calcs'!$A$45</f>
        <v>25</v>
      </c>
      <c r="E23" s="53">
        <f t="shared" si="9"/>
        <v>38.683402653990889</v>
      </c>
      <c r="F23" s="38">
        <f>'Headloss Calcs'!$H$18</f>
        <v>100</v>
      </c>
      <c r="G23" s="53">
        <f t="shared" si="10"/>
        <v>7.0686</v>
      </c>
      <c r="H23" s="53">
        <f t="shared" si="11"/>
        <v>9.4247999999999994</v>
      </c>
      <c r="I23" s="53">
        <f t="shared" si="12"/>
        <v>0.75</v>
      </c>
      <c r="J23" s="53">
        <f t="shared" si="13"/>
        <v>5.4725692009720293</v>
      </c>
      <c r="K23" s="53">
        <f t="shared" si="14"/>
        <v>0</v>
      </c>
      <c r="L23" s="53">
        <v>0.25</v>
      </c>
      <c r="M23" s="58">
        <f t="shared" si="15"/>
        <v>0.11626169898846131</v>
      </c>
      <c r="N23" s="58">
        <f t="shared" si="16"/>
        <v>0.11626169898846131</v>
      </c>
      <c r="O23" s="59">
        <f t="shared" ref="O23:O37" si="17">N23+O22</f>
        <v>0.23252339797692262</v>
      </c>
    </row>
    <row r="24" spans="1:15" x14ac:dyDescent="0.2">
      <c r="A24" s="37">
        <v>1320</v>
      </c>
      <c r="B24" s="55">
        <v>36</v>
      </c>
      <c r="C24" s="56" t="s">
        <v>23</v>
      </c>
      <c r="D24" s="57">
        <f>'Headloss Calcs'!$A$45</f>
        <v>25</v>
      </c>
      <c r="E24" s="53">
        <f t="shared" si="9"/>
        <v>38.683402653990889</v>
      </c>
      <c r="F24" s="38">
        <f>'Headloss Calcs'!$H$18</f>
        <v>100</v>
      </c>
      <c r="G24" s="53">
        <f t="shared" si="10"/>
        <v>7.0686</v>
      </c>
      <c r="H24" s="53">
        <f t="shared" si="11"/>
        <v>9.4247999999999994</v>
      </c>
      <c r="I24" s="53">
        <f t="shared" si="12"/>
        <v>0.75</v>
      </c>
      <c r="J24" s="53">
        <f t="shared" si="13"/>
        <v>5.4725692009720293</v>
      </c>
      <c r="K24" s="53">
        <f t="shared" si="14"/>
        <v>5.1286180246034565</v>
      </c>
      <c r="L24" s="53"/>
      <c r="M24" s="58">
        <f t="shared" si="15"/>
        <v>0</v>
      </c>
      <c r="N24" s="58">
        <f t="shared" si="16"/>
        <v>5.1286180246034565</v>
      </c>
      <c r="O24" s="59">
        <f t="shared" si="17"/>
        <v>5.3611414225803795</v>
      </c>
    </row>
    <row r="25" spans="1:15" x14ac:dyDescent="0.2">
      <c r="A25" s="37"/>
      <c r="B25" s="55">
        <v>36</v>
      </c>
      <c r="C25" s="56" t="s">
        <v>45</v>
      </c>
      <c r="D25" s="57">
        <f>'Headloss Calcs'!$A$45</f>
        <v>25</v>
      </c>
      <c r="E25" s="53">
        <f t="shared" si="9"/>
        <v>38.683402653990889</v>
      </c>
      <c r="F25" s="38">
        <f>'Headloss Calcs'!$H$18</f>
        <v>100</v>
      </c>
      <c r="G25" s="53">
        <f t="shared" si="10"/>
        <v>7.0686</v>
      </c>
      <c r="H25" s="53">
        <f t="shared" si="11"/>
        <v>9.4247999999999994</v>
      </c>
      <c r="I25" s="53">
        <f t="shared" si="12"/>
        <v>0.75</v>
      </c>
      <c r="J25" s="53">
        <f t="shared" si="13"/>
        <v>5.4725692009720293</v>
      </c>
      <c r="K25" s="53">
        <f t="shared" si="14"/>
        <v>0</v>
      </c>
      <c r="L25" s="53">
        <v>0.2</v>
      </c>
      <c r="M25" s="58">
        <f t="shared" si="15"/>
        <v>9.3009359190769053E-2</v>
      </c>
      <c r="N25" s="58">
        <f t="shared" si="16"/>
        <v>9.3009359190769053E-2</v>
      </c>
      <c r="O25" s="59">
        <f t="shared" si="17"/>
        <v>5.4541507817711485</v>
      </c>
    </row>
    <row r="26" spans="1:15" x14ac:dyDescent="0.2">
      <c r="A26" s="37">
        <v>1320</v>
      </c>
      <c r="B26" s="55">
        <v>36</v>
      </c>
      <c r="C26" s="69" t="s">
        <v>23</v>
      </c>
      <c r="D26" s="57">
        <f>'Headloss Calcs'!$A$45</f>
        <v>25</v>
      </c>
      <c r="E26" s="53">
        <f t="shared" si="9"/>
        <v>38.683402653990889</v>
      </c>
      <c r="F26" s="38">
        <f>'Headloss Calcs'!$H$18</f>
        <v>100</v>
      </c>
      <c r="G26" s="53">
        <f t="shared" si="10"/>
        <v>7.0686</v>
      </c>
      <c r="H26" s="53">
        <f t="shared" si="11"/>
        <v>9.4247999999999994</v>
      </c>
      <c r="I26" s="53">
        <f t="shared" si="12"/>
        <v>0.75</v>
      </c>
      <c r="J26" s="53">
        <f t="shared" si="13"/>
        <v>5.4725692009720293</v>
      </c>
      <c r="K26" s="53">
        <f t="shared" si="14"/>
        <v>5.1286180246034565</v>
      </c>
      <c r="L26" s="53"/>
      <c r="M26" s="58">
        <f t="shared" si="15"/>
        <v>0</v>
      </c>
      <c r="N26" s="58">
        <f t="shared" si="16"/>
        <v>5.1286180246034565</v>
      </c>
      <c r="O26" s="59">
        <f t="shared" si="17"/>
        <v>10.582768806374606</v>
      </c>
    </row>
    <row r="27" spans="1:15" x14ac:dyDescent="0.2">
      <c r="A27" s="37"/>
      <c r="B27" s="55">
        <v>36</v>
      </c>
      <c r="C27" s="56" t="s">
        <v>39</v>
      </c>
      <c r="D27" s="57">
        <f>'Headloss Calcs'!$A$45</f>
        <v>25</v>
      </c>
      <c r="E27" s="53">
        <f t="shared" si="9"/>
        <v>38.683402653990889</v>
      </c>
      <c r="F27" s="38">
        <f>'Headloss Calcs'!$H$18</f>
        <v>100</v>
      </c>
      <c r="G27" s="53">
        <f t="shared" si="10"/>
        <v>7.0686</v>
      </c>
      <c r="H27" s="53">
        <f t="shared" si="11"/>
        <v>9.4247999999999994</v>
      </c>
      <c r="I27" s="53">
        <f t="shared" si="12"/>
        <v>0.75</v>
      </c>
      <c r="J27" s="53">
        <f t="shared" si="13"/>
        <v>5.4725692009720293</v>
      </c>
      <c r="K27" s="53">
        <f t="shared" si="14"/>
        <v>0</v>
      </c>
      <c r="L27" s="53">
        <v>0.4</v>
      </c>
      <c r="M27" s="58">
        <f t="shared" si="15"/>
        <v>0.18601871838153811</v>
      </c>
      <c r="N27" s="58">
        <f t="shared" si="16"/>
        <v>0.18601871838153811</v>
      </c>
      <c r="O27" s="59">
        <f t="shared" si="17"/>
        <v>10.768787524756144</v>
      </c>
    </row>
    <row r="28" spans="1:15" x14ac:dyDescent="0.2">
      <c r="A28" s="37">
        <v>1320</v>
      </c>
      <c r="B28" s="55">
        <v>36</v>
      </c>
      <c r="C28" s="56" t="s">
        <v>23</v>
      </c>
      <c r="D28" s="57">
        <f>'Headloss Calcs'!$A$45</f>
        <v>25</v>
      </c>
      <c r="E28" s="53">
        <f t="shared" si="9"/>
        <v>38.683402653990889</v>
      </c>
      <c r="F28" s="38">
        <f>'Headloss Calcs'!$H$18</f>
        <v>100</v>
      </c>
      <c r="G28" s="53">
        <f t="shared" si="10"/>
        <v>7.0686</v>
      </c>
      <c r="H28" s="53">
        <f t="shared" si="11"/>
        <v>9.4247999999999994</v>
      </c>
      <c r="I28" s="53">
        <f t="shared" si="12"/>
        <v>0.75</v>
      </c>
      <c r="J28" s="53">
        <f t="shared" si="13"/>
        <v>5.4725692009720293</v>
      </c>
      <c r="K28" s="53">
        <f t="shared" si="14"/>
        <v>5.1286180246034565</v>
      </c>
      <c r="L28" s="53"/>
      <c r="M28" s="58">
        <f t="shared" si="15"/>
        <v>0</v>
      </c>
      <c r="N28" s="58">
        <f t="shared" si="16"/>
        <v>5.1286180246034565</v>
      </c>
      <c r="O28" s="59">
        <f t="shared" si="17"/>
        <v>15.8974055493596</v>
      </c>
    </row>
    <row r="29" spans="1:15" x14ac:dyDescent="0.2">
      <c r="A29" s="37"/>
      <c r="B29" s="55">
        <v>36</v>
      </c>
      <c r="C29" s="56" t="s">
        <v>39</v>
      </c>
      <c r="D29" s="57">
        <f>'Headloss Calcs'!$A$45</f>
        <v>25</v>
      </c>
      <c r="E29" s="53">
        <f t="shared" si="9"/>
        <v>38.683402653990889</v>
      </c>
      <c r="F29" s="38">
        <f>'Headloss Calcs'!$H$18</f>
        <v>100</v>
      </c>
      <c r="G29" s="53">
        <f t="shared" si="10"/>
        <v>7.0686</v>
      </c>
      <c r="H29" s="53">
        <f t="shared" si="11"/>
        <v>9.4247999999999994</v>
      </c>
      <c r="I29" s="53">
        <f t="shared" si="12"/>
        <v>0.75</v>
      </c>
      <c r="J29" s="53">
        <f t="shared" si="13"/>
        <v>5.4725692009720293</v>
      </c>
      <c r="K29" s="53">
        <f t="shared" si="14"/>
        <v>0</v>
      </c>
      <c r="L29" s="53">
        <v>0.4</v>
      </c>
      <c r="M29" s="58">
        <f t="shared" si="15"/>
        <v>0.18601871838153811</v>
      </c>
      <c r="N29" s="58">
        <f t="shared" si="16"/>
        <v>0.18601871838153811</v>
      </c>
      <c r="O29" s="59">
        <f t="shared" si="17"/>
        <v>16.08342426774114</v>
      </c>
    </row>
    <row r="30" spans="1:15" x14ac:dyDescent="0.2">
      <c r="A30" s="37">
        <v>1320</v>
      </c>
      <c r="B30" s="55">
        <v>36</v>
      </c>
      <c r="C30" s="56" t="s">
        <v>23</v>
      </c>
      <c r="D30" s="57">
        <f>'Headloss Calcs'!$A$45</f>
        <v>25</v>
      </c>
      <c r="E30" s="53">
        <f t="shared" si="9"/>
        <v>38.683402653990889</v>
      </c>
      <c r="F30" s="38">
        <f>'Headloss Calcs'!$H$18</f>
        <v>100</v>
      </c>
      <c r="G30" s="53">
        <f t="shared" si="10"/>
        <v>7.0686</v>
      </c>
      <c r="H30" s="53">
        <f t="shared" si="11"/>
        <v>9.4247999999999994</v>
      </c>
      <c r="I30" s="53">
        <f t="shared" si="12"/>
        <v>0.75</v>
      </c>
      <c r="J30" s="53">
        <f t="shared" si="13"/>
        <v>5.4725692009720293</v>
      </c>
      <c r="K30" s="53">
        <f t="shared" si="14"/>
        <v>5.1286180246034565</v>
      </c>
      <c r="L30" s="53"/>
      <c r="M30" s="58">
        <f t="shared" si="15"/>
        <v>0</v>
      </c>
      <c r="N30" s="58">
        <f t="shared" si="16"/>
        <v>5.1286180246034565</v>
      </c>
      <c r="O30" s="59">
        <f t="shared" si="17"/>
        <v>21.212042292344599</v>
      </c>
    </row>
    <row r="31" spans="1:15" x14ac:dyDescent="0.2">
      <c r="A31" s="37"/>
      <c r="B31" s="55">
        <v>36</v>
      </c>
      <c r="C31" s="56" t="s">
        <v>48</v>
      </c>
      <c r="D31" s="57">
        <f>'Headloss Calcs'!$A$45</f>
        <v>25</v>
      </c>
      <c r="E31" s="53">
        <f t="shared" si="9"/>
        <v>38.683402653990889</v>
      </c>
      <c r="F31" s="38">
        <f>'Headloss Calcs'!$H$18</f>
        <v>100</v>
      </c>
      <c r="G31" s="53">
        <f t="shared" si="10"/>
        <v>7.0686</v>
      </c>
      <c r="H31" s="53">
        <f t="shared" si="11"/>
        <v>9.4247999999999994</v>
      </c>
      <c r="I31" s="53">
        <f t="shared" si="12"/>
        <v>0.75</v>
      </c>
      <c r="J31" s="53">
        <f t="shared" si="13"/>
        <v>5.4725692009720293</v>
      </c>
      <c r="K31" s="53">
        <f t="shared" si="14"/>
        <v>0</v>
      </c>
      <c r="L31" s="53">
        <v>0.4</v>
      </c>
      <c r="M31" s="58">
        <f t="shared" si="15"/>
        <v>0.18601871838153811</v>
      </c>
      <c r="N31" s="58">
        <f t="shared" si="16"/>
        <v>0.18601871838153811</v>
      </c>
      <c r="O31" s="59">
        <f t="shared" si="17"/>
        <v>21.398061010726138</v>
      </c>
    </row>
    <row r="32" spans="1:15" x14ac:dyDescent="0.2">
      <c r="A32" s="37">
        <v>1320</v>
      </c>
      <c r="B32" s="55">
        <v>36</v>
      </c>
      <c r="C32" s="56" t="s">
        <v>23</v>
      </c>
      <c r="D32" s="57">
        <f>'Headloss Calcs'!$A$45</f>
        <v>25</v>
      </c>
      <c r="E32" s="53">
        <f t="shared" si="9"/>
        <v>38.683402653990889</v>
      </c>
      <c r="F32" s="38">
        <f>'Headloss Calcs'!$H$18</f>
        <v>100</v>
      </c>
      <c r="G32" s="53">
        <f t="shared" si="10"/>
        <v>7.0686</v>
      </c>
      <c r="H32" s="53">
        <f t="shared" si="11"/>
        <v>9.4247999999999994</v>
      </c>
      <c r="I32" s="53">
        <f t="shared" si="12"/>
        <v>0.75</v>
      </c>
      <c r="J32" s="53">
        <f t="shared" si="13"/>
        <v>5.4725692009720293</v>
      </c>
      <c r="K32" s="53">
        <f t="shared" si="14"/>
        <v>5.1286180246034565</v>
      </c>
      <c r="L32" s="53"/>
      <c r="M32" s="58">
        <f t="shared" si="15"/>
        <v>0</v>
      </c>
      <c r="N32" s="58">
        <f t="shared" si="16"/>
        <v>5.1286180246034565</v>
      </c>
      <c r="O32" s="59">
        <f t="shared" si="17"/>
        <v>26.526679035329593</v>
      </c>
    </row>
    <row r="33" spans="1:15" x14ac:dyDescent="0.2">
      <c r="A33" s="37"/>
      <c r="B33" s="55">
        <v>36</v>
      </c>
      <c r="C33" s="56" t="s">
        <v>39</v>
      </c>
      <c r="D33" s="57">
        <f>'Headloss Calcs'!$A$45</f>
        <v>25</v>
      </c>
      <c r="E33" s="53">
        <f t="shared" si="9"/>
        <v>38.683402653990889</v>
      </c>
      <c r="F33" s="38">
        <f>'Headloss Calcs'!$H$18</f>
        <v>100</v>
      </c>
      <c r="G33" s="53">
        <f t="shared" si="10"/>
        <v>7.0686</v>
      </c>
      <c r="H33" s="53">
        <f t="shared" si="11"/>
        <v>9.4247999999999994</v>
      </c>
      <c r="I33" s="53">
        <f t="shared" si="12"/>
        <v>0.75</v>
      </c>
      <c r="J33" s="53">
        <f t="shared" si="13"/>
        <v>5.4725692009720293</v>
      </c>
      <c r="K33" s="53">
        <f t="shared" si="14"/>
        <v>0</v>
      </c>
      <c r="L33" s="53">
        <v>0.4</v>
      </c>
      <c r="M33" s="58">
        <f t="shared" si="15"/>
        <v>0.18601871838153811</v>
      </c>
      <c r="N33" s="58">
        <f t="shared" si="16"/>
        <v>0.18601871838153811</v>
      </c>
      <c r="O33" s="59">
        <f t="shared" si="17"/>
        <v>26.712697753711133</v>
      </c>
    </row>
    <row r="34" spans="1:15" x14ac:dyDescent="0.2">
      <c r="A34" s="37">
        <v>1320</v>
      </c>
      <c r="B34" s="55">
        <v>36</v>
      </c>
      <c r="C34" s="56" t="s">
        <v>23</v>
      </c>
      <c r="D34" s="57">
        <f>'Headloss Calcs'!$A$45</f>
        <v>25</v>
      </c>
      <c r="E34" s="53">
        <f t="shared" si="9"/>
        <v>38.683402653990889</v>
      </c>
      <c r="F34" s="38">
        <f>'Headloss Calcs'!$H$18</f>
        <v>100</v>
      </c>
      <c r="G34" s="53">
        <f t="shared" si="10"/>
        <v>7.0686</v>
      </c>
      <c r="H34" s="53">
        <f t="shared" si="11"/>
        <v>9.4247999999999994</v>
      </c>
      <c r="I34" s="53">
        <f t="shared" si="12"/>
        <v>0.75</v>
      </c>
      <c r="J34" s="53">
        <f t="shared" si="13"/>
        <v>5.4725692009720293</v>
      </c>
      <c r="K34" s="53">
        <f t="shared" si="14"/>
        <v>5.1286180246034565</v>
      </c>
      <c r="L34" s="53"/>
      <c r="M34" s="58">
        <f t="shared" si="15"/>
        <v>0</v>
      </c>
      <c r="N34" s="58">
        <f t="shared" si="16"/>
        <v>5.1286180246034565</v>
      </c>
      <c r="O34" s="59">
        <f t="shared" si="17"/>
        <v>31.841315778314588</v>
      </c>
    </row>
    <row r="35" spans="1:15" x14ac:dyDescent="0.2">
      <c r="A35" s="37"/>
      <c r="B35" s="55">
        <v>36</v>
      </c>
      <c r="C35" s="56" t="s">
        <v>45</v>
      </c>
      <c r="D35" s="57">
        <f>'Headloss Calcs'!$A$45</f>
        <v>25</v>
      </c>
      <c r="E35" s="53">
        <f t="shared" si="9"/>
        <v>38.683402653990889</v>
      </c>
      <c r="F35" s="38">
        <f>'Headloss Calcs'!$H$18</f>
        <v>100</v>
      </c>
      <c r="G35" s="53">
        <f t="shared" si="10"/>
        <v>7.0686</v>
      </c>
      <c r="H35" s="53">
        <f t="shared" si="11"/>
        <v>9.4247999999999994</v>
      </c>
      <c r="I35" s="53">
        <f t="shared" si="12"/>
        <v>0.75</v>
      </c>
      <c r="J35" s="53">
        <f t="shared" si="13"/>
        <v>5.4725692009720293</v>
      </c>
      <c r="K35" s="53">
        <f t="shared" si="14"/>
        <v>0</v>
      </c>
      <c r="L35" s="53">
        <v>0.2</v>
      </c>
      <c r="M35" s="58">
        <f t="shared" si="15"/>
        <v>9.3009359190769053E-2</v>
      </c>
      <c r="N35" s="58">
        <f t="shared" si="16"/>
        <v>9.3009359190769053E-2</v>
      </c>
      <c r="O35" s="59">
        <f t="shared" si="17"/>
        <v>31.934325137505358</v>
      </c>
    </row>
    <row r="36" spans="1:15" x14ac:dyDescent="0.2">
      <c r="A36" s="37">
        <v>1320</v>
      </c>
      <c r="B36" s="55">
        <v>36</v>
      </c>
      <c r="C36" s="56" t="s">
        <v>23</v>
      </c>
      <c r="D36" s="57">
        <f>'Headloss Calcs'!$A$45</f>
        <v>25</v>
      </c>
      <c r="E36" s="53">
        <f t="shared" si="9"/>
        <v>38.683402653990889</v>
      </c>
      <c r="F36" s="38">
        <f>'Headloss Calcs'!$H$18</f>
        <v>100</v>
      </c>
      <c r="G36" s="53">
        <f t="shared" si="10"/>
        <v>7.0686</v>
      </c>
      <c r="H36" s="53">
        <f t="shared" si="11"/>
        <v>9.4247999999999994</v>
      </c>
      <c r="I36" s="53">
        <f t="shared" si="12"/>
        <v>0.75</v>
      </c>
      <c r="J36" s="53">
        <f t="shared" si="13"/>
        <v>5.4725692009720293</v>
      </c>
      <c r="K36" s="53">
        <f t="shared" si="14"/>
        <v>5.1286180246034565</v>
      </c>
      <c r="L36" s="53"/>
      <c r="M36" s="58">
        <f t="shared" si="15"/>
        <v>0</v>
      </c>
      <c r="N36" s="58">
        <f t="shared" si="16"/>
        <v>5.1286180246034565</v>
      </c>
      <c r="O36" s="59">
        <f t="shared" si="17"/>
        <v>37.062943162108816</v>
      </c>
    </row>
    <row r="37" spans="1:15" ht="12" customHeight="1" x14ac:dyDescent="0.2">
      <c r="A37" s="37"/>
      <c r="B37" s="55">
        <v>36</v>
      </c>
      <c r="C37" s="56" t="s">
        <v>44</v>
      </c>
      <c r="D37" s="57">
        <f>'Headloss Calcs'!$A$45</f>
        <v>25</v>
      </c>
      <c r="E37" s="53">
        <f t="shared" si="9"/>
        <v>38.683402653990889</v>
      </c>
      <c r="F37" s="38">
        <f>'Headloss Calcs'!$H$18</f>
        <v>100</v>
      </c>
      <c r="G37" s="53">
        <f t="shared" si="10"/>
        <v>7.0686</v>
      </c>
      <c r="H37" s="53">
        <f t="shared" si="11"/>
        <v>9.4247999999999994</v>
      </c>
      <c r="I37" s="53">
        <f t="shared" si="12"/>
        <v>0.75</v>
      </c>
      <c r="J37" s="53">
        <f t="shared" si="13"/>
        <v>5.4725692009720293</v>
      </c>
      <c r="K37" s="53">
        <f t="shared" si="14"/>
        <v>0</v>
      </c>
      <c r="L37" s="53">
        <v>1</v>
      </c>
      <c r="M37" s="58">
        <f t="shared" si="15"/>
        <v>0.46504679595384524</v>
      </c>
      <c r="N37" s="58">
        <f t="shared" si="16"/>
        <v>0.46504679595384524</v>
      </c>
      <c r="O37" s="59">
        <f t="shared" si="17"/>
        <v>37.527989958062662</v>
      </c>
    </row>
    <row r="38" spans="1:15" ht="13.5" thickBot="1" x14ac:dyDescent="0.25">
      <c r="A38" s="39"/>
      <c r="B38" s="40"/>
      <c r="C38" s="41"/>
      <c r="D38" s="40"/>
      <c r="E38" s="42"/>
      <c r="F38" s="40"/>
      <c r="G38" s="54"/>
      <c r="H38" s="54"/>
      <c r="I38" s="54"/>
      <c r="J38" s="54"/>
      <c r="K38" s="54"/>
      <c r="L38" s="54"/>
      <c r="M38" s="60"/>
      <c r="N38" s="60" t="s">
        <v>40</v>
      </c>
      <c r="O38" s="61">
        <f>O37</f>
        <v>37.527989958062662</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50"/>
  <sheetViews>
    <sheetView topLeftCell="A15"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Calcs'!$A$46</f>
        <v>26</v>
      </c>
      <c r="E3" s="53">
        <f t="shared" ref="E3:E18" si="0">D3*1000000/(7.48*24*60*60)</f>
        <v>40.230738760150523</v>
      </c>
      <c r="F3" s="38">
        <f>'Headloss Calcs'!$E$18</f>
        <v>140</v>
      </c>
      <c r="G3" s="53">
        <f t="shared" ref="G3:G18" si="1">3.1416/4*(B3/12)^2</f>
        <v>7.0686</v>
      </c>
      <c r="H3" s="53">
        <f t="shared" ref="H3:H18" si="2">3.1416*(B3/12)</f>
        <v>9.4247999999999994</v>
      </c>
      <c r="I3" s="53">
        <f t="shared" ref="I3:I18" si="3">G3/H3</f>
        <v>0.75</v>
      </c>
      <c r="J3" s="53">
        <f t="shared" ref="J3:J18" si="4">E3/G3</f>
        <v>5.6914719690109106</v>
      </c>
      <c r="K3" s="53">
        <f t="shared" ref="K3:K18" si="5">(J3/(1.318*F3*I3^0.63))^1.85*A3</f>
        <v>0</v>
      </c>
      <c r="L3" s="53">
        <v>0.25</v>
      </c>
      <c r="M3" s="58">
        <f t="shared" ref="M3:M18" si="6">L3*(J3^2)/(2*32.2)</f>
        <v>0.12574865362591975</v>
      </c>
      <c r="N3" s="58">
        <f t="shared" ref="N3:N18" si="7">K3+M3</f>
        <v>0.12574865362591975</v>
      </c>
      <c r="O3" s="59">
        <f>N3</f>
        <v>0.12574865362591975</v>
      </c>
    </row>
    <row r="4" spans="1:15" x14ac:dyDescent="0.2">
      <c r="A4" s="37"/>
      <c r="B4" s="55">
        <v>36</v>
      </c>
      <c r="C4" s="56" t="s">
        <v>47</v>
      </c>
      <c r="D4" s="57">
        <f>'Headloss Calcs'!$A$46</f>
        <v>26</v>
      </c>
      <c r="E4" s="53">
        <f t="shared" si="0"/>
        <v>40.230738760150523</v>
      </c>
      <c r="F4" s="38">
        <f>'Headloss Calcs'!$E$18</f>
        <v>140</v>
      </c>
      <c r="G4" s="53">
        <f t="shared" si="1"/>
        <v>7.0686</v>
      </c>
      <c r="H4" s="53">
        <f t="shared" si="2"/>
        <v>9.4247999999999994</v>
      </c>
      <c r="I4" s="53">
        <f t="shared" si="3"/>
        <v>0.75</v>
      </c>
      <c r="J4" s="53">
        <f t="shared" si="4"/>
        <v>5.6914719690109106</v>
      </c>
      <c r="K4" s="53">
        <f t="shared" si="5"/>
        <v>0</v>
      </c>
      <c r="L4" s="53">
        <v>0.25</v>
      </c>
      <c r="M4" s="58">
        <f t="shared" si="6"/>
        <v>0.12574865362591975</v>
      </c>
      <c r="N4" s="58">
        <f t="shared" si="7"/>
        <v>0.12574865362591975</v>
      </c>
      <c r="O4" s="59">
        <f t="shared" ref="O4:O18" si="8">N4+O3</f>
        <v>0.2514973072518395</v>
      </c>
    </row>
    <row r="5" spans="1:15" x14ac:dyDescent="0.2">
      <c r="A5" s="37">
        <v>1320</v>
      </c>
      <c r="B5" s="55">
        <v>36</v>
      </c>
      <c r="C5" s="56" t="s">
        <v>23</v>
      </c>
      <c r="D5" s="57">
        <f>'Headloss Calcs'!$A$46</f>
        <v>26</v>
      </c>
      <c r="E5" s="53">
        <f t="shared" si="0"/>
        <v>40.230738760150523</v>
      </c>
      <c r="F5" s="38">
        <f>'Headloss Calcs'!$E$18</f>
        <v>140</v>
      </c>
      <c r="G5" s="53">
        <f t="shared" si="1"/>
        <v>7.0686</v>
      </c>
      <c r="H5" s="53">
        <f t="shared" si="2"/>
        <v>9.4247999999999994</v>
      </c>
      <c r="I5" s="53">
        <f t="shared" si="3"/>
        <v>0.75</v>
      </c>
      <c r="J5" s="53">
        <f t="shared" si="4"/>
        <v>5.6914719690109106</v>
      </c>
      <c r="K5" s="53">
        <f t="shared" si="5"/>
        <v>2.9592057764325168</v>
      </c>
      <c r="L5" s="53"/>
      <c r="M5" s="58">
        <f t="shared" si="6"/>
        <v>0</v>
      </c>
      <c r="N5" s="58">
        <f t="shared" si="7"/>
        <v>2.9592057764325168</v>
      </c>
      <c r="O5" s="59">
        <f t="shared" si="8"/>
        <v>3.2107030836843564</v>
      </c>
    </row>
    <row r="6" spans="1:15" x14ac:dyDescent="0.2">
      <c r="A6" s="37"/>
      <c r="B6" s="55">
        <v>36</v>
      </c>
      <c r="C6" s="56" t="s">
        <v>45</v>
      </c>
      <c r="D6" s="57">
        <f>'Headloss Calcs'!$A$46</f>
        <v>26</v>
      </c>
      <c r="E6" s="53">
        <f t="shared" si="0"/>
        <v>40.230738760150523</v>
      </c>
      <c r="F6" s="38">
        <f>'Headloss Calcs'!$E$18</f>
        <v>140</v>
      </c>
      <c r="G6" s="53">
        <f t="shared" si="1"/>
        <v>7.0686</v>
      </c>
      <c r="H6" s="53">
        <f t="shared" si="2"/>
        <v>9.4247999999999994</v>
      </c>
      <c r="I6" s="53">
        <f t="shared" si="3"/>
        <v>0.75</v>
      </c>
      <c r="J6" s="53">
        <f t="shared" si="4"/>
        <v>5.6914719690109106</v>
      </c>
      <c r="K6" s="53">
        <f t="shared" si="5"/>
        <v>0</v>
      </c>
      <c r="L6" s="53">
        <v>0.2</v>
      </c>
      <c r="M6" s="58">
        <f t="shared" si="6"/>
        <v>0.10059892290073581</v>
      </c>
      <c r="N6" s="58">
        <f t="shared" si="7"/>
        <v>0.10059892290073581</v>
      </c>
      <c r="O6" s="59">
        <f t="shared" si="8"/>
        <v>3.3113020065850924</v>
      </c>
    </row>
    <row r="7" spans="1:15" x14ac:dyDescent="0.2">
      <c r="A7" s="37">
        <v>1320</v>
      </c>
      <c r="B7" s="55">
        <v>36</v>
      </c>
      <c r="C7" s="69" t="s">
        <v>23</v>
      </c>
      <c r="D7" s="57">
        <f>'Headloss Calcs'!$A$46</f>
        <v>26</v>
      </c>
      <c r="E7" s="53">
        <f t="shared" si="0"/>
        <v>40.230738760150523</v>
      </c>
      <c r="F7" s="38">
        <f>'Headloss Calcs'!$E$18</f>
        <v>140</v>
      </c>
      <c r="G7" s="53">
        <f t="shared" si="1"/>
        <v>7.0686</v>
      </c>
      <c r="H7" s="53">
        <f t="shared" si="2"/>
        <v>9.4247999999999994</v>
      </c>
      <c r="I7" s="53">
        <f t="shared" si="3"/>
        <v>0.75</v>
      </c>
      <c r="J7" s="53">
        <f t="shared" si="4"/>
        <v>5.6914719690109106</v>
      </c>
      <c r="K7" s="53">
        <f t="shared" si="5"/>
        <v>2.9592057764325168</v>
      </c>
      <c r="L7" s="53"/>
      <c r="M7" s="58">
        <f t="shared" si="6"/>
        <v>0</v>
      </c>
      <c r="N7" s="58">
        <f t="shared" si="7"/>
        <v>2.9592057764325168</v>
      </c>
      <c r="O7" s="59">
        <f t="shared" si="8"/>
        <v>6.2705077830176092</v>
      </c>
    </row>
    <row r="8" spans="1:15" x14ac:dyDescent="0.2">
      <c r="A8" s="37"/>
      <c r="B8" s="55">
        <v>36</v>
      </c>
      <c r="C8" s="56" t="s">
        <v>39</v>
      </c>
      <c r="D8" s="57">
        <f>'Headloss Calcs'!$A$46</f>
        <v>26</v>
      </c>
      <c r="E8" s="53">
        <f t="shared" si="0"/>
        <v>40.230738760150523</v>
      </c>
      <c r="F8" s="38">
        <f>'Headloss Calcs'!$E$18</f>
        <v>140</v>
      </c>
      <c r="G8" s="53">
        <f t="shared" si="1"/>
        <v>7.0686</v>
      </c>
      <c r="H8" s="53">
        <f t="shared" si="2"/>
        <v>9.4247999999999994</v>
      </c>
      <c r="I8" s="53">
        <f t="shared" si="3"/>
        <v>0.75</v>
      </c>
      <c r="J8" s="53">
        <f t="shared" si="4"/>
        <v>5.6914719690109106</v>
      </c>
      <c r="K8" s="53">
        <f t="shared" si="5"/>
        <v>0</v>
      </c>
      <c r="L8" s="53">
        <v>0.4</v>
      </c>
      <c r="M8" s="58">
        <f t="shared" si="6"/>
        <v>0.20119784580147163</v>
      </c>
      <c r="N8" s="58">
        <f t="shared" si="7"/>
        <v>0.20119784580147163</v>
      </c>
      <c r="O8" s="59">
        <f t="shared" si="8"/>
        <v>6.4717056288190813</v>
      </c>
    </row>
    <row r="9" spans="1:15" x14ac:dyDescent="0.2">
      <c r="A9" s="37">
        <v>1320</v>
      </c>
      <c r="B9" s="55">
        <v>36</v>
      </c>
      <c r="C9" s="56" t="s">
        <v>23</v>
      </c>
      <c r="D9" s="57">
        <f>'Headloss Calcs'!$A$46</f>
        <v>26</v>
      </c>
      <c r="E9" s="53">
        <f t="shared" si="0"/>
        <v>40.230738760150523</v>
      </c>
      <c r="F9" s="38">
        <f>'Headloss Calcs'!$E$18</f>
        <v>140</v>
      </c>
      <c r="G9" s="53">
        <f t="shared" si="1"/>
        <v>7.0686</v>
      </c>
      <c r="H9" s="53">
        <f t="shared" si="2"/>
        <v>9.4247999999999994</v>
      </c>
      <c r="I9" s="53">
        <f t="shared" si="3"/>
        <v>0.75</v>
      </c>
      <c r="J9" s="53">
        <f t="shared" si="4"/>
        <v>5.6914719690109106</v>
      </c>
      <c r="K9" s="53">
        <f t="shared" si="5"/>
        <v>2.9592057764325168</v>
      </c>
      <c r="L9" s="53"/>
      <c r="M9" s="58">
        <f t="shared" si="6"/>
        <v>0</v>
      </c>
      <c r="N9" s="58">
        <f t="shared" si="7"/>
        <v>2.9592057764325168</v>
      </c>
      <c r="O9" s="59">
        <f t="shared" si="8"/>
        <v>9.4309114052515977</v>
      </c>
    </row>
    <row r="10" spans="1:15" x14ac:dyDescent="0.2">
      <c r="A10" s="37"/>
      <c r="B10" s="55">
        <v>36</v>
      </c>
      <c r="C10" s="56" t="s">
        <v>39</v>
      </c>
      <c r="D10" s="57">
        <f>'Headloss Calcs'!$A$46</f>
        <v>26</v>
      </c>
      <c r="E10" s="53">
        <f t="shared" si="0"/>
        <v>40.230738760150523</v>
      </c>
      <c r="F10" s="38">
        <f>'Headloss Calcs'!$E$18</f>
        <v>140</v>
      </c>
      <c r="G10" s="53">
        <f t="shared" si="1"/>
        <v>7.0686</v>
      </c>
      <c r="H10" s="53">
        <f t="shared" si="2"/>
        <v>9.4247999999999994</v>
      </c>
      <c r="I10" s="53">
        <f t="shared" si="3"/>
        <v>0.75</v>
      </c>
      <c r="J10" s="53">
        <f t="shared" si="4"/>
        <v>5.6914719690109106</v>
      </c>
      <c r="K10" s="53">
        <f t="shared" si="5"/>
        <v>0</v>
      </c>
      <c r="L10" s="53">
        <v>0.4</v>
      </c>
      <c r="M10" s="58">
        <f t="shared" si="6"/>
        <v>0.20119784580147163</v>
      </c>
      <c r="N10" s="58">
        <f t="shared" si="7"/>
        <v>0.20119784580147163</v>
      </c>
      <c r="O10" s="59">
        <f t="shared" si="8"/>
        <v>9.6321092510530697</v>
      </c>
    </row>
    <row r="11" spans="1:15" x14ac:dyDescent="0.2">
      <c r="A11" s="37">
        <v>1320</v>
      </c>
      <c r="B11" s="55">
        <v>36</v>
      </c>
      <c r="C11" s="56" t="s">
        <v>23</v>
      </c>
      <c r="D11" s="57">
        <f>'Headloss Calcs'!$A$46</f>
        <v>26</v>
      </c>
      <c r="E11" s="53">
        <f t="shared" si="0"/>
        <v>40.230738760150523</v>
      </c>
      <c r="F11" s="38">
        <f>'Headloss Calcs'!$E$18</f>
        <v>140</v>
      </c>
      <c r="G11" s="53">
        <f t="shared" si="1"/>
        <v>7.0686</v>
      </c>
      <c r="H11" s="53">
        <f t="shared" si="2"/>
        <v>9.4247999999999994</v>
      </c>
      <c r="I11" s="53">
        <f t="shared" si="3"/>
        <v>0.75</v>
      </c>
      <c r="J11" s="53">
        <f t="shared" si="4"/>
        <v>5.6914719690109106</v>
      </c>
      <c r="K11" s="53">
        <f t="shared" si="5"/>
        <v>2.9592057764325168</v>
      </c>
      <c r="L11" s="53"/>
      <c r="M11" s="58">
        <f t="shared" si="6"/>
        <v>0</v>
      </c>
      <c r="N11" s="58">
        <f t="shared" si="7"/>
        <v>2.9592057764325168</v>
      </c>
      <c r="O11" s="59">
        <f t="shared" si="8"/>
        <v>12.591315027485587</v>
      </c>
    </row>
    <row r="12" spans="1:15" x14ac:dyDescent="0.2">
      <c r="A12" s="37"/>
      <c r="B12" s="55">
        <v>36</v>
      </c>
      <c r="C12" s="56" t="s">
        <v>48</v>
      </c>
      <c r="D12" s="57">
        <f>'Headloss Calcs'!$A$46</f>
        <v>26</v>
      </c>
      <c r="E12" s="53">
        <f t="shared" si="0"/>
        <v>40.230738760150523</v>
      </c>
      <c r="F12" s="38">
        <f>'Headloss Calcs'!$E$18</f>
        <v>140</v>
      </c>
      <c r="G12" s="53">
        <f t="shared" si="1"/>
        <v>7.0686</v>
      </c>
      <c r="H12" s="53">
        <f t="shared" si="2"/>
        <v>9.4247999999999994</v>
      </c>
      <c r="I12" s="53">
        <f t="shared" si="3"/>
        <v>0.75</v>
      </c>
      <c r="J12" s="53">
        <f t="shared" si="4"/>
        <v>5.6914719690109106</v>
      </c>
      <c r="K12" s="53">
        <f t="shared" si="5"/>
        <v>0</v>
      </c>
      <c r="L12" s="53">
        <v>0.4</v>
      </c>
      <c r="M12" s="58">
        <f t="shared" si="6"/>
        <v>0.20119784580147163</v>
      </c>
      <c r="N12" s="58">
        <f t="shared" si="7"/>
        <v>0.20119784580147163</v>
      </c>
      <c r="O12" s="59">
        <f t="shared" si="8"/>
        <v>12.792512873287059</v>
      </c>
    </row>
    <row r="13" spans="1:15" x14ac:dyDescent="0.2">
      <c r="A13" s="37">
        <v>1320</v>
      </c>
      <c r="B13" s="55">
        <v>36</v>
      </c>
      <c r="C13" s="56" t="s">
        <v>23</v>
      </c>
      <c r="D13" s="57">
        <f>'Headloss Calcs'!$A$46</f>
        <v>26</v>
      </c>
      <c r="E13" s="53">
        <f t="shared" si="0"/>
        <v>40.230738760150523</v>
      </c>
      <c r="F13" s="38">
        <f>'Headloss Calcs'!$E$18</f>
        <v>140</v>
      </c>
      <c r="G13" s="53">
        <f t="shared" si="1"/>
        <v>7.0686</v>
      </c>
      <c r="H13" s="53">
        <f t="shared" si="2"/>
        <v>9.4247999999999994</v>
      </c>
      <c r="I13" s="53">
        <f t="shared" si="3"/>
        <v>0.75</v>
      </c>
      <c r="J13" s="53">
        <f t="shared" si="4"/>
        <v>5.6914719690109106</v>
      </c>
      <c r="K13" s="53">
        <f t="shared" si="5"/>
        <v>2.9592057764325168</v>
      </c>
      <c r="L13" s="53"/>
      <c r="M13" s="58">
        <f t="shared" si="6"/>
        <v>0</v>
      </c>
      <c r="N13" s="58">
        <f t="shared" si="7"/>
        <v>2.9592057764325168</v>
      </c>
      <c r="O13" s="59">
        <f t="shared" si="8"/>
        <v>15.751718649719576</v>
      </c>
    </row>
    <row r="14" spans="1:15" x14ac:dyDescent="0.2">
      <c r="A14" s="37"/>
      <c r="B14" s="55">
        <v>36</v>
      </c>
      <c r="C14" s="56" t="s">
        <v>39</v>
      </c>
      <c r="D14" s="57">
        <f>'Headloss Calcs'!$A$46</f>
        <v>26</v>
      </c>
      <c r="E14" s="53">
        <f t="shared" si="0"/>
        <v>40.230738760150523</v>
      </c>
      <c r="F14" s="38">
        <f>'Headloss Calcs'!$E$18</f>
        <v>140</v>
      </c>
      <c r="G14" s="53">
        <f t="shared" si="1"/>
        <v>7.0686</v>
      </c>
      <c r="H14" s="53">
        <f t="shared" si="2"/>
        <v>9.4247999999999994</v>
      </c>
      <c r="I14" s="53">
        <f t="shared" si="3"/>
        <v>0.75</v>
      </c>
      <c r="J14" s="53">
        <f t="shared" si="4"/>
        <v>5.6914719690109106</v>
      </c>
      <c r="K14" s="53">
        <f t="shared" si="5"/>
        <v>0</v>
      </c>
      <c r="L14" s="53">
        <v>0.4</v>
      </c>
      <c r="M14" s="58">
        <f t="shared" si="6"/>
        <v>0.20119784580147163</v>
      </c>
      <c r="N14" s="58">
        <f t="shared" si="7"/>
        <v>0.20119784580147163</v>
      </c>
      <c r="O14" s="59">
        <f t="shared" si="8"/>
        <v>15.952916495521048</v>
      </c>
    </row>
    <row r="15" spans="1:15" x14ac:dyDescent="0.2">
      <c r="A15" s="37">
        <v>1320</v>
      </c>
      <c r="B15" s="55">
        <v>36</v>
      </c>
      <c r="C15" s="56" t="s">
        <v>23</v>
      </c>
      <c r="D15" s="57">
        <f>'Headloss Calcs'!$A$46</f>
        <v>26</v>
      </c>
      <c r="E15" s="53">
        <f t="shared" si="0"/>
        <v>40.230738760150523</v>
      </c>
      <c r="F15" s="38">
        <f>'Headloss Calcs'!$E$18</f>
        <v>140</v>
      </c>
      <c r="G15" s="53">
        <f t="shared" si="1"/>
        <v>7.0686</v>
      </c>
      <c r="H15" s="53">
        <f t="shared" si="2"/>
        <v>9.4247999999999994</v>
      </c>
      <c r="I15" s="53">
        <f t="shared" si="3"/>
        <v>0.75</v>
      </c>
      <c r="J15" s="53">
        <f t="shared" si="4"/>
        <v>5.6914719690109106</v>
      </c>
      <c r="K15" s="53">
        <f t="shared" si="5"/>
        <v>2.9592057764325168</v>
      </c>
      <c r="L15" s="53"/>
      <c r="M15" s="58">
        <f t="shared" si="6"/>
        <v>0</v>
      </c>
      <c r="N15" s="58">
        <f t="shared" si="7"/>
        <v>2.9592057764325168</v>
      </c>
      <c r="O15" s="59">
        <f t="shared" si="8"/>
        <v>18.912122271953564</v>
      </c>
    </row>
    <row r="16" spans="1:15" x14ac:dyDescent="0.2">
      <c r="A16" s="37"/>
      <c r="B16" s="55">
        <v>36</v>
      </c>
      <c r="C16" s="56" t="s">
        <v>45</v>
      </c>
      <c r="D16" s="57">
        <f>'Headloss Calcs'!$A$46</f>
        <v>26</v>
      </c>
      <c r="E16" s="53">
        <f t="shared" si="0"/>
        <v>40.230738760150523</v>
      </c>
      <c r="F16" s="38">
        <f>'Headloss Calcs'!$E$18</f>
        <v>140</v>
      </c>
      <c r="G16" s="53">
        <f t="shared" si="1"/>
        <v>7.0686</v>
      </c>
      <c r="H16" s="53">
        <f t="shared" si="2"/>
        <v>9.4247999999999994</v>
      </c>
      <c r="I16" s="53">
        <f t="shared" si="3"/>
        <v>0.75</v>
      </c>
      <c r="J16" s="53">
        <f t="shared" si="4"/>
        <v>5.6914719690109106</v>
      </c>
      <c r="K16" s="53">
        <f t="shared" si="5"/>
        <v>0</v>
      </c>
      <c r="L16" s="53">
        <v>0.2</v>
      </c>
      <c r="M16" s="58">
        <f t="shared" si="6"/>
        <v>0.10059892290073581</v>
      </c>
      <c r="N16" s="58">
        <f t="shared" si="7"/>
        <v>0.10059892290073581</v>
      </c>
      <c r="O16" s="59">
        <f t="shared" si="8"/>
        <v>19.012721194854301</v>
      </c>
    </row>
    <row r="17" spans="1:15" x14ac:dyDescent="0.2">
      <c r="A17" s="37">
        <v>1320</v>
      </c>
      <c r="B17" s="55">
        <v>36</v>
      </c>
      <c r="C17" s="56" t="s">
        <v>23</v>
      </c>
      <c r="D17" s="57">
        <f>'Headloss Calcs'!$A$46</f>
        <v>26</v>
      </c>
      <c r="E17" s="53">
        <f t="shared" si="0"/>
        <v>40.230738760150523</v>
      </c>
      <c r="F17" s="38">
        <f>'Headloss Calcs'!$E$18</f>
        <v>140</v>
      </c>
      <c r="G17" s="53">
        <f t="shared" si="1"/>
        <v>7.0686</v>
      </c>
      <c r="H17" s="53">
        <f t="shared" si="2"/>
        <v>9.4247999999999994</v>
      </c>
      <c r="I17" s="53">
        <f t="shared" si="3"/>
        <v>0.75</v>
      </c>
      <c r="J17" s="53">
        <f t="shared" si="4"/>
        <v>5.6914719690109106</v>
      </c>
      <c r="K17" s="53">
        <f t="shared" si="5"/>
        <v>2.9592057764325168</v>
      </c>
      <c r="L17" s="53"/>
      <c r="M17" s="58">
        <f t="shared" si="6"/>
        <v>0</v>
      </c>
      <c r="N17" s="58">
        <f t="shared" si="7"/>
        <v>2.9592057764325168</v>
      </c>
      <c r="O17" s="59">
        <f t="shared" si="8"/>
        <v>21.971926971286816</v>
      </c>
    </row>
    <row r="18" spans="1:15" ht="12" customHeight="1" x14ac:dyDescent="0.2">
      <c r="A18" s="37"/>
      <c r="B18" s="55">
        <v>36</v>
      </c>
      <c r="C18" s="56" t="s">
        <v>44</v>
      </c>
      <c r="D18" s="57">
        <f>'Headloss Calcs'!$A$46</f>
        <v>26</v>
      </c>
      <c r="E18" s="53">
        <f t="shared" si="0"/>
        <v>40.230738760150523</v>
      </c>
      <c r="F18" s="38">
        <f>'Headloss Calcs'!$E$18</f>
        <v>140</v>
      </c>
      <c r="G18" s="53">
        <f t="shared" si="1"/>
        <v>7.0686</v>
      </c>
      <c r="H18" s="53">
        <f t="shared" si="2"/>
        <v>9.4247999999999994</v>
      </c>
      <c r="I18" s="53">
        <f t="shared" si="3"/>
        <v>0.75</v>
      </c>
      <c r="J18" s="53">
        <f t="shared" si="4"/>
        <v>5.6914719690109106</v>
      </c>
      <c r="K18" s="53">
        <f t="shared" si="5"/>
        <v>0</v>
      </c>
      <c r="L18" s="53">
        <v>1</v>
      </c>
      <c r="M18" s="58">
        <f t="shared" si="6"/>
        <v>0.50299461450367899</v>
      </c>
      <c r="N18" s="58">
        <f t="shared" si="7"/>
        <v>0.50299461450367899</v>
      </c>
      <c r="O18" s="59">
        <f t="shared" si="8"/>
        <v>22.474921585790494</v>
      </c>
    </row>
    <row r="19" spans="1:15" ht="13.5" thickBot="1" x14ac:dyDescent="0.25">
      <c r="A19" s="39"/>
      <c r="B19" s="40"/>
      <c r="C19" s="41"/>
      <c r="D19" s="40"/>
      <c r="E19" s="42"/>
      <c r="F19" s="40"/>
      <c r="G19" s="54"/>
      <c r="H19" s="54"/>
      <c r="I19" s="54"/>
      <c r="J19" s="54"/>
      <c r="K19" s="54"/>
      <c r="L19" s="54"/>
      <c r="M19" s="60"/>
      <c r="N19" s="60" t="s">
        <v>40</v>
      </c>
      <c r="O19" s="61">
        <f>O18</f>
        <v>22.474921585790494</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Calcs'!$A$46</f>
        <v>26</v>
      </c>
      <c r="E22" s="53">
        <f t="shared" ref="E22:E37" si="9">D22*1000000/(7.48*24*60*60)</f>
        <v>40.230738760150523</v>
      </c>
      <c r="F22" s="38">
        <f>'Headloss Calcs'!$H$18</f>
        <v>100</v>
      </c>
      <c r="G22" s="53">
        <f t="shared" ref="G22:G37" si="10">3.1416/4*(B22/12)^2</f>
        <v>7.0686</v>
      </c>
      <c r="H22" s="53">
        <f t="shared" ref="H22:H37" si="11">3.1416*(B22/12)</f>
        <v>9.4247999999999994</v>
      </c>
      <c r="I22" s="53">
        <f t="shared" ref="I22:I37" si="12">G22/H22</f>
        <v>0.75</v>
      </c>
      <c r="J22" s="53">
        <f t="shared" ref="J22:J37" si="13">E22/G22</f>
        <v>5.6914719690109106</v>
      </c>
      <c r="K22" s="53">
        <f t="shared" ref="K22:K37" si="14">(J22/(1.318*F22*I22^0.63))^1.85*A22</f>
        <v>0</v>
      </c>
      <c r="L22" s="53">
        <v>0.25</v>
      </c>
      <c r="M22" s="58">
        <f t="shared" ref="M22:M37" si="15">L22*(J22^2)/(2*32.2)</f>
        <v>0.12574865362591975</v>
      </c>
      <c r="N22" s="58">
        <f t="shared" ref="N22:N37" si="16">K22+M22</f>
        <v>0.12574865362591975</v>
      </c>
      <c r="O22" s="59">
        <f>N22</f>
        <v>0.12574865362591975</v>
      </c>
    </row>
    <row r="23" spans="1:15" x14ac:dyDescent="0.2">
      <c r="A23" s="37"/>
      <c r="B23" s="55">
        <v>36</v>
      </c>
      <c r="C23" s="56" t="s">
        <v>47</v>
      </c>
      <c r="D23" s="57">
        <f>'Headloss Calcs'!$A$46</f>
        <v>26</v>
      </c>
      <c r="E23" s="53">
        <f t="shared" si="9"/>
        <v>40.230738760150523</v>
      </c>
      <c r="F23" s="38">
        <f>'Headloss Calcs'!$H$18</f>
        <v>100</v>
      </c>
      <c r="G23" s="53">
        <f t="shared" si="10"/>
        <v>7.0686</v>
      </c>
      <c r="H23" s="53">
        <f t="shared" si="11"/>
        <v>9.4247999999999994</v>
      </c>
      <c r="I23" s="53">
        <f t="shared" si="12"/>
        <v>0.75</v>
      </c>
      <c r="J23" s="53">
        <f t="shared" si="13"/>
        <v>5.6914719690109106</v>
      </c>
      <c r="K23" s="53">
        <f t="shared" si="14"/>
        <v>0</v>
      </c>
      <c r="L23" s="53">
        <v>0.25</v>
      </c>
      <c r="M23" s="58">
        <f t="shared" si="15"/>
        <v>0.12574865362591975</v>
      </c>
      <c r="N23" s="58">
        <f t="shared" si="16"/>
        <v>0.12574865362591975</v>
      </c>
      <c r="O23" s="59">
        <f t="shared" ref="O23:O37" si="17">N23+O22</f>
        <v>0.2514973072518395</v>
      </c>
    </row>
    <row r="24" spans="1:15" x14ac:dyDescent="0.2">
      <c r="A24" s="37">
        <v>1320</v>
      </c>
      <c r="B24" s="55">
        <v>36</v>
      </c>
      <c r="C24" s="56" t="s">
        <v>23</v>
      </c>
      <c r="D24" s="57">
        <f>'Headloss Calcs'!$A$46</f>
        <v>26</v>
      </c>
      <c r="E24" s="53">
        <f t="shared" si="9"/>
        <v>40.230738760150523</v>
      </c>
      <c r="F24" s="38">
        <f>'Headloss Calcs'!$H$18</f>
        <v>100</v>
      </c>
      <c r="G24" s="53">
        <f t="shared" si="10"/>
        <v>7.0686</v>
      </c>
      <c r="H24" s="53">
        <f t="shared" si="11"/>
        <v>9.4247999999999994</v>
      </c>
      <c r="I24" s="53">
        <f t="shared" si="12"/>
        <v>0.75</v>
      </c>
      <c r="J24" s="53">
        <f t="shared" si="13"/>
        <v>5.6914719690109106</v>
      </c>
      <c r="K24" s="53">
        <f t="shared" si="14"/>
        <v>5.5145748021875729</v>
      </c>
      <c r="L24" s="53"/>
      <c r="M24" s="58">
        <f t="shared" si="15"/>
        <v>0</v>
      </c>
      <c r="N24" s="58">
        <f t="shared" si="16"/>
        <v>5.5145748021875729</v>
      </c>
      <c r="O24" s="59">
        <f t="shared" si="17"/>
        <v>5.7660721094394125</v>
      </c>
    </row>
    <row r="25" spans="1:15" x14ac:dyDescent="0.2">
      <c r="A25" s="37"/>
      <c r="B25" s="55">
        <v>36</v>
      </c>
      <c r="C25" s="56" t="s">
        <v>45</v>
      </c>
      <c r="D25" s="57">
        <f>'Headloss Calcs'!$A$46</f>
        <v>26</v>
      </c>
      <c r="E25" s="53">
        <f t="shared" si="9"/>
        <v>40.230738760150523</v>
      </c>
      <c r="F25" s="38">
        <f>'Headloss Calcs'!$H$18</f>
        <v>100</v>
      </c>
      <c r="G25" s="53">
        <f t="shared" si="10"/>
        <v>7.0686</v>
      </c>
      <c r="H25" s="53">
        <f t="shared" si="11"/>
        <v>9.4247999999999994</v>
      </c>
      <c r="I25" s="53">
        <f t="shared" si="12"/>
        <v>0.75</v>
      </c>
      <c r="J25" s="53">
        <f t="shared" si="13"/>
        <v>5.6914719690109106</v>
      </c>
      <c r="K25" s="53">
        <f t="shared" si="14"/>
        <v>0</v>
      </c>
      <c r="L25" s="53">
        <v>0.2</v>
      </c>
      <c r="M25" s="58">
        <f t="shared" si="15"/>
        <v>0.10059892290073581</v>
      </c>
      <c r="N25" s="58">
        <f t="shared" si="16"/>
        <v>0.10059892290073581</v>
      </c>
      <c r="O25" s="59">
        <f t="shared" si="17"/>
        <v>5.8666710323401485</v>
      </c>
    </row>
    <row r="26" spans="1:15" x14ac:dyDescent="0.2">
      <c r="A26" s="37">
        <v>1320</v>
      </c>
      <c r="B26" s="55">
        <v>36</v>
      </c>
      <c r="C26" s="69" t="s">
        <v>23</v>
      </c>
      <c r="D26" s="57">
        <f>'Headloss Calcs'!$A$46</f>
        <v>26</v>
      </c>
      <c r="E26" s="53">
        <f t="shared" si="9"/>
        <v>40.230738760150523</v>
      </c>
      <c r="F26" s="38">
        <f>'Headloss Calcs'!$H$18</f>
        <v>100</v>
      </c>
      <c r="G26" s="53">
        <f t="shared" si="10"/>
        <v>7.0686</v>
      </c>
      <c r="H26" s="53">
        <f t="shared" si="11"/>
        <v>9.4247999999999994</v>
      </c>
      <c r="I26" s="53">
        <f t="shared" si="12"/>
        <v>0.75</v>
      </c>
      <c r="J26" s="53">
        <f t="shared" si="13"/>
        <v>5.6914719690109106</v>
      </c>
      <c r="K26" s="53">
        <f t="shared" si="14"/>
        <v>5.5145748021875729</v>
      </c>
      <c r="L26" s="53"/>
      <c r="M26" s="58">
        <f t="shared" si="15"/>
        <v>0</v>
      </c>
      <c r="N26" s="58">
        <f t="shared" si="16"/>
        <v>5.5145748021875729</v>
      </c>
      <c r="O26" s="59">
        <f t="shared" si="17"/>
        <v>11.381245834527721</v>
      </c>
    </row>
    <row r="27" spans="1:15" x14ac:dyDescent="0.2">
      <c r="A27" s="37"/>
      <c r="B27" s="55">
        <v>36</v>
      </c>
      <c r="C27" s="56" t="s">
        <v>39</v>
      </c>
      <c r="D27" s="57">
        <f>'Headloss Calcs'!$A$46</f>
        <v>26</v>
      </c>
      <c r="E27" s="53">
        <f t="shared" si="9"/>
        <v>40.230738760150523</v>
      </c>
      <c r="F27" s="38">
        <f>'Headloss Calcs'!$H$18</f>
        <v>100</v>
      </c>
      <c r="G27" s="53">
        <f t="shared" si="10"/>
        <v>7.0686</v>
      </c>
      <c r="H27" s="53">
        <f t="shared" si="11"/>
        <v>9.4247999999999994</v>
      </c>
      <c r="I27" s="53">
        <f t="shared" si="12"/>
        <v>0.75</v>
      </c>
      <c r="J27" s="53">
        <f t="shared" si="13"/>
        <v>5.6914719690109106</v>
      </c>
      <c r="K27" s="53">
        <f t="shared" si="14"/>
        <v>0</v>
      </c>
      <c r="L27" s="53">
        <v>0.4</v>
      </c>
      <c r="M27" s="58">
        <f t="shared" si="15"/>
        <v>0.20119784580147163</v>
      </c>
      <c r="N27" s="58">
        <f t="shared" si="16"/>
        <v>0.20119784580147163</v>
      </c>
      <c r="O27" s="59">
        <f t="shared" si="17"/>
        <v>11.582443680329193</v>
      </c>
    </row>
    <row r="28" spans="1:15" x14ac:dyDescent="0.2">
      <c r="A28" s="37">
        <v>1320</v>
      </c>
      <c r="B28" s="55">
        <v>36</v>
      </c>
      <c r="C28" s="56" t="s">
        <v>23</v>
      </c>
      <c r="D28" s="57">
        <f>'Headloss Calcs'!$A$46</f>
        <v>26</v>
      </c>
      <c r="E28" s="53">
        <f t="shared" si="9"/>
        <v>40.230738760150523</v>
      </c>
      <c r="F28" s="38">
        <f>'Headloss Calcs'!$H$18</f>
        <v>100</v>
      </c>
      <c r="G28" s="53">
        <f t="shared" si="10"/>
        <v>7.0686</v>
      </c>
      <c r="H28" s="53">
        <f t="shared" si="11"/>
        <v>9.4247999999999994</v>
      </c>
      <c r="I28" s="53">
        <f t="shared" si="12"/>
        <v>0.75</v>
      </c>
      <c r="J28" s="53">
        <f t="shared" si="13"/>
        <v>5.6914719690109106</v>
      </c>
      <c r="K28" s="53">
        <f t="shared" si="14"/>
        <v>5.5145748021875729</v>
      </c>
      <c r="L28" s="53"/>
      <c r="M28" s="58">
        <f t="shared" si="15"/>
        <v>0</v>
      </c>
      <c r="N28" s="58">
        <f t="shared" si="16"/>
        <v>5.5145748021875729</v>
      </c>
      <c r="O28" s="59">
        <f t="shared" si="17"/>
        <v>17.097018482516766</v>
      </c>
    </row>
    <row r="29" spans="1:15" x14ac:dyDescent="0.2">
      <c r="A29" s="37"/>
      <c r="B29" s="55">
        <v>36</v>
      </c>
      <c r="C29" s="56" t="s">
        <v>39</v>
      </c>
      <c r="D29" s="57">
        <f>'Headloss Calcs'!$A$46</f>
        <v>26</v>
      </c>
      <c r="E29" s="53">
        <f t="shared" si="9"/>
        <v>40.230738760150523</v>
      </c>
      <c r="F29" s="38">
        <f>'Headloss Calcs'!$H$18</f>
        <v>100</v>
      </c>
      <c r="G29" s="53">
        <f t="shared" si="10"/>
        <v>7.0686</v>
      </c>
      <c r="H29" s="53">
        <f t="shared" si="11"/>
        <v>9.4247999999999994</v>
      </c>
      <c r="I29" s="53">
        <f t="shared" si="12"/>
        <v>0.75</v>
      </c>
      <c r="J29" s="53">
        <f t="shared" si="13"/>
        <v>5.6914719690109106</v>
      </c>
      <c r="K29" s="53">
        <f t="shared" si="14"/>
        <v>0</v>
      </c>
      <c r="L29" s="53">
        <v>0.4</v>
      </c>
      <c r="M29" s="58">
        <f t="shared" si="15"/>
        <v>0.20119784580147163</v>
      </c>
      <c r="N29" s="58">
        <f t="shared" si="16"/>
        <v>0.20119784580147163</v>
      </c>
      <c r="O29" s="59">
        <f t="shared" si="17"/>
        <v>17.298216328318237</v>
      </c>
    </row>
    <row r="30" spans="1:15" x14ac:dyDescent="0.2">
      <c r="A30" s="37">
        <v>1320</v>
      </c>
      <c r="B30" s="55">
        <v>36</v>
      </c>
      <c r="C30" s="56" t="s">
        <v>23</v>
      </c>
      <c r="D30" s="57">
        <f>'Headloss Calcs'!$A$46</f>
        <v>26</v>
      </c>
      <c r="E30" s="53">
        <f t="shared" si="9"/>
        <v>40.230738760150523</v>
      </c>
      <c r="F30" s="38">
        <f>'Headloss Calcs'!$H$18</f>
        <v>100</v>
      </c>
      <c r="G30" s="53">
        <f t="shared" si="10"/>
        <v>7.0686</v>
      </c>
      <c r="H30" s="53">
        <f t="shared" si="11"/>
        <v>9.4247999999999994</v>
      </c>
      <c r="I30" s="53">
        <f t="shared" si="12"/>
        <v>0.75</v>
      </c>
      <c r="J30" s="53">
        <f t="shared" si="13"/>
        <v>5.6914719690109106</v>
      </c>
      <c r="K30" s="53">
        <f t="shared" si="14"/>
        <v>5.5145748021875729</v>
      </c>
      <c r="L30" s="53"/>
      <c r="M30" s="58">
        <f t="shared" si="15"/>
        <v>0</v>
      </c>
      <c r="N30" s="58">
        <f t="shared" si="16"/>
        <v>5.5145748021875729</v>
      </c>
      <c r="O30" s="59">
        <f t="shared" si="17"/>
        <v>22.812791130505808</v>
      </c>
    </row>
    <row r="31" spans="1:15" x14ac:dyDescent="0.2">
      <c r="A31" s="37"/>
      <c r="B31" s="55">
        <v>36</v>
      </c>
      <c r="C31" s="56" t="s">
        <v>48</v>
      </c>
      <c r="D31" s="57">
        <f>'Headloss Calcs'!$A$46</f>
        <v>26</v>
      </c>
      <c r="E31" s="53">
        <f t="shared" si="9"/>
        <v>40.230738760150523</v>
      </c>
      <c r="F31" s="38">
        <f>'Headloss Calcs'!$H$18</f>
        <v>100</v>
      </c>
      <c r="G31" s="53">
        <f t="shared" si="10"/>
        <v>7.0686</v>
      </c>
      <c r="H31" s="53">
        <f t="shared" si="11"/>
        <v>9.4247999999999994</v>
      </c>
      <c r="I31" s="53">
        <f t="shared" si="12"/>
        <v>0.75</v>
      </c>
      <c r="J31" s="53">
        <f t="shared" si="13"/>
        <v>5.6914719690109106</v>
      </c>
      <c r="K31" s="53">
        <f t="shared" si="14"/>
        <v>0</v>
      </c>
      <c r="L31" s="53">
        <v>0.4</v>
      </c>
      <c r="M31" s="58">
        <f t="shared" si="15"/>
        <v>0.20119784580147163</v>
      </c>
      <c r="N31" s="58">
        <f t="shared" si="16"/>
        <v>0.20119784580147163</v>
      </c>
      <c r="O31" s="59">
        <f t="shared" si="17"/>
        <v>23.013988976307278</v>
      </c>
    </row>
    <row r="32" spans="1:15" x14ac:dyDescent="0.2">
      <c r="A32" s="37">
        <v>1320</v>
      </c>
      <c r="B32" s="55">
        <v>36</v>
      </c>
      <c r="C32" s="56" t="s">
        <v>23</v>
      </c>
      <c r="D32" s="57">
        <f>'Headloss Calcs'!$A$46</f>
        <v>26</v>
      </c>
      <c r="E32" s="53">
        <f t="shared" si="9"/>
        <v>40.230738760150523</v>
      </c>
      <c r="F32" s="38">
        <f>'Headloss Calcs'!$H$18</f>
        <v>100</v>
      </c>
      <c r="G32" s="53">
        <f t="shared" si="10"/>
        <v>7.0686</v>
      </c>
      <c r="H32" s="53">
        <f t="shared" si="11"/>
        <v>9.4247999999999994</v>
      </c>
      <c r="I32" s="53">
        <f t="shared" si="12"/>
        <v>0.75</v>
      </c>
      <c r="J32" s="53">
        <f t="shared" si="13"/>
        <v>5.6914719690109106</v>
      </c>
      <c r="K32" s="53">
        <f t="shared" si="14"/>
        <v>5.5145748021875729</v>
      </c>
      <c r="L32" s="53"/>
      <c r="M32" s="58">
        <f t="shared" si="15"/>
        <v>0</v>
      </c>
      <c r="N32" s="58">
        <f t="shared" si="16"/>
        <v>5.5145748021875729</v>
      </c>
      <c r="O32" s="59">
        <f t="shared" si="17"/>
        <v>28.528563778494849</v>
      </c>
    </row>
    <row r="33" spans="1:15" x14ac:dyDescent="0.2">
      <c r="A33" s="37"/>
      <c r="B33" s="55">
        <v>36</v>
      </c>
      <c r="C33" s="56" t="s">
        <v>39</v>
      </c>
      <c r="D33" s="57">
        <f>'Headloss Calcs'!$A$46</f>
        <v>26</v>
      </c>
      <c r="E33" s="53">
        <f t="shared" si="9"/>
        <v>40.230738760150523</v>
      </c>
      <c r="F33" s="38">
        <f>'Headloss Calcs'!$H$18</f>
        <v>100</v>
      </c>
      <c r="G33" s="53">
        <f t="shared" si="10"/>
        <v>7.0686</v>
      </c>
      <c r="H33" s="53">
        <f t="shared" si="11"/>
        <v>9.4247999999999994</v>
      </c>
      <c r="I33" s="53">
        <f t="shared" si="12"/>
        <v>0.75</v>
      </c>
      <c r="J33" s="53">
        <f t="shared" si="13"/>
        <v>5.6914719690109106</v>
      </c>
      <c r="K33" s="53">
        <f t="shared" si="14"/>
        <v>0</v>
      </c>
      <c r="L33" s="53">
        <v>0.4</v>
      </c>
      <c r="M33" s="58">
        <f t="shared" si="15"/>
        <v>0.20119784580147163</v>
      </c>
      <c r="N33" s="58">
        <f t="shared" si="16"/>
        <v>0.20119784580147163</v>
      </c>
      <c r="O33" s="59">
        <f t="shared" si="17"/>
        <v>28.729761624296319</v>
      </c>
    </row>
    <row r="34" spans="1:15" x14ac:dyDescent="0.2">
      <c r="A34" s="37">
        <v>1320</v>
      </c>
      <c r="B34" s="55">
        <v>36</v>
      </c>
      <c r="C34" s="56" t="s">
        <v>23</v>
      </c>
      <c r="D34" s="57">
        <f>'Headloss Calcs'!$A$46</f>
        <v>26</v>
      </c>
      <c r="E34" s="53">
        <f t="shared" si="9"/>
        <v>40.230738760150523</v>
      </c>
      <c r="F34" s="38">
        <f>'Headloss Calcs'!$H$18</f>
        <v>100</v>
      </c>
      <c r="G34" s="53">
        <f t="shared" si="10"/>
        <v>7.0686</v>
      </c>
      <c r="H34" s="53">
        <f t="shared" si="11"/>
        <v>9.4247999999999994</v>
      </c>
      <c r="I34" s="53">
        <f t="shared" si="12"/>
        <v>0.75</v>
      </c>
      <c r="J34" s="53">
        <f t="shared" si="13"/>
        <v>5.6914719690109106</v>
      </c>
      <c r="K34" s="53">
        <f t="shared" si="14"/>
        <v>5.5145748021875729</v>
      </c>
      <c r="L34" s="53"/>
      <c r="M34" s="58">
        <f t="shared" si="15"/>
        <v>0</v>
      </c>
      <c r="N34" s="58">
        <f t="shared" si="16"/>
        <v>5.5145748021875729</v>
      </c>
      <c r="O34" s="59">
        <f t="shared" si="17"/>
        <v>34.244336426483891</v>
      </c>
    </row>
    <row r="35" spans="1:15" x14ac:dyDescent="0.2">
      <c r="A35" s="37"/>
      <c r="B35" s="55">
        <v>36</v>
      </c>
      <c r="C35" s="56" t="s">
        <v>45</v>
      </c>
      <c r="D35" s="57">
        <f>'Headloss Calcs'!$A$46</f>
        <v>26</v>
      </c>
      <c r="E35" s="53">
        <f t="shared" si="9"/>
        <v>40.230738760150523</v>
      </c>
      <c r="F35" s="38">
        <f>'Headloss Calcs'!$H$18</f>
        <v>100</v>
      </c>
      <c r="G35" s="53">
        <f t="shared" si="10"/>
        <v>7.0686</v>
      </c>
      <c r="H35" s="53">
        <f t="shared" si="11"/>
        <v>9.4247999999999994</v>
      </c>
      <c r="I35" s="53">
        <f t="shared" si="12"/>
        <v>0.75</v>
      </c>
      <c r="J35" s="53">
        <f t="shared" si="13"/>
        <v>5.6914719690109106</v>
      </c>
      <c r="K35" s="53">
        <f t="shared" si="14"/>
        <v>0</v>
      </c>
      <c r="L35" s="53">
        <v>0.2</v>
      </c>
      <c r="M35" s="58">
        <f t="shared" si="15"/>
        <v>0.10059892290073581</v>
      </c>
      <c r="N35" s="58">
        <f t="shared" si="16"/>
        <v>0.10059892290073581</v>
      </c>
      <c r="O35" s="59">
        <f t="shared" si="17"/>
        <v>34.344935349384627</v>
      </c>
    </row>
    <row r="36" spans="1:15" x14ac:dyDescent="0.2">
      <c r="A36" s="37">
        <v>1320</v>
      </c>
      <c r="B36" s="55">
        <v>36</v>
      </c>
      <c r="C36" s="56" t="s">
        <v>23</v>
      </c>
      <c r="D36" s="57">
        <f>'Headloss Calcs'!$A$46</f>
        <v>26</v>
      </c>
      <c r="E36" s="53">
        <f t="shared" si="9"/>
        <v>40.230738760150523</v>
      </c>
      <c r="F36" s="38">
        <f>'Headloss Calcs'!$H$18</f>
        <v>100</v>
      </c>
      <c r="G36" s="53">
        <f t="shared" si="10"/>
        <v>7.0686</v>
      </c>
      <c r="H36" s="53">
        <f t="shared" si="11"/>
        <v>9.4247999999999994</v>
      </c>
      <c r="I36" s="53">
        <f t="shared" si="12"/>
        <v>0.75</v>
      </c>
      <c r="J36" s="53">
        <f t="shared" si="13"/>
        <v>5.6914719690109106</v>
      </c>
      <c r="K36" s="53">
        <f t="shared" si="14"/>
        <v>5.5145748021875729</v>
      </c>
      <c r="L36" s="53"/>
      <c r="M36" s="58">
        <f t="shared" si="15"/>
        <v>0</v>
      </c>
      <c r="N36" s="58">
        <f t="shared" si="16"/>
        <v>5.5145748021875729</v>
      </c>
      <c r="O36" s="59">
        <f t="shared" si="17"/>
        <v>39.859510151572202</v>
      </c>
    </row>
    <row r="37" spans="1:15" ht="12" customHeight="1" x14ac:dyDescent="0.2">
      <c r="A37" s="37"/>
      <c r="B37" s="55">
        <v>36</v>
      </c>
      <c r="C37" s="56" t="s">
        <v>44</v>
      </c>
      <c r="D37" s="57">
        <f>'Headloss Calcs'!$A$46</f>
        <v>26</v>
      </c>
      <c r="E37" s="53">
        <f t="shared" si="9"/>
        <v>40.230738760150523</v>
      </c>
      <c r="F37" s="38">
        <f>'Headloss Calcs'!$H$18</f>
        <v>100</v>
      </c>
      <c r="G37" s="53">
        <f t="shared" si="10"/>
        <v>7.0686</v>
      </c>
      <c r="H37" s="53">
        <f t="shared" si="11"/>
        <v>9.4247999999999994</v>
      </c>
      <c r="I37" s="53">
        <f t="shared" si="12"/>
        <v>0.75</v>
      </c>
      <c r="J37" s="53">
        <f t="shared" si="13"/>
        <v>5.6914719690109106</v>
      </c>
      <c r="K37" s="53">
        <f t="shared" si="14"/>
        <v>0</v>
      </c>
      <c r="L37" s="53">
        <v>1</v>
      </c>
      <c r="M37" s="58">
        <f t="shared" si="15"/>
        <v>0.50299461450367899</v>
      </c>
      <c r="N37" s="58">
        <f t="shared" si="16"/>
        <v>0.50299461450367899</v>
      </c>
      <c r="O37" s="59">
        <f t="shared" si="17"/>
        <v>40.36250476607588</v>
      </c>
    </row>
    <row r="38" spans="1:15" ht="13.5" thickBot="1" x14ac:dyDescent="0.25">
      <c r="A38" s="39"/>
      <c r="B38" s="40"/>
      <c r="C38" s="41"/>
      <c r="D38" s="40"/>
      <c r="E38" s="42"/>
      <c r="F38" s="40"/>
      <c r="G38" s="54"/>
      <c r="H38" s="54"/>
      <c r="I38" s="54"/>
      <c r="J38" s="54"/>
      <c r="K38" s="54"/>
      <c r="L38" s="54"/>
      <c r="M38" s="60"/>
      <c r="N38" s="60" t="s">
        <v>40</v>
      </c>
      <c r="O38" s="61">
        <f>O37</f>
        <v>40.36250476607588</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9"/>
  <sheetViews>
    <sheetView view="pageBreakPreview" zoomScale="60" zoomScaleNormal="100" workbookViewId="0">
      <selection activeCell="A14" sqref="A14"/>
    </sheetView>
  </sheetViews>
  <sheetFormatPr defaultRowHeight="12.75" x14ac:dyDescent="0.2"/>
  <cols>
    <col min="1" max="1" width="11.42578125" bestFit="1" customWidth="1"/>
    <col min="2" max="2" width="8.5703125" bestFit="1" customWidth="1"/>
    <col min="3" max="3" width="11.5703125" customWidth="1"/>
    <col min="4" max="4" width="8.7109375" bestFit="1" customWidth="1"/>
    <col min="5" max="5" width="14.5703125" bestFit="1" customWidth="1"/>
    <col min="7" max="7" width="18.5703125" bestFit="1" customWidth="1"/>
    <col min="9" max="9" width="7.85546875" customWidth="1"/>
    <col min="11" max="11" width="17.85546875" customWidth="1"/>
    <col min="13" max="13" width="11.42578125" bestFit="1" customWidth="1"/>
    <col min="14" max="14" width="8.5703125" bestFit="1" customWidth="1"/>
    <col min="15" max="16" width="8.5703125" customWidth="1"/>
    <col min="17" max="17" width="14.5703125" bestFit="1" customWidth="1"/>
  </cols>
  <sheetData>
    <row r="3" spans="1:11" x14ac:dyDescent="0.2">
      <c r="A3" s="101" t="s">
        <v>92</v>
      </c>
      <c r="B3" s="101"/>
      <c r="C3" s="101"/>
      <c r="D3" s="101"/>
      <c r="E3" s="101"/>
      <c r="G3" s="101" t="s">
        <v>88</v>
      </c>
      <c r="H3" s="101"/>
      <c r="I3" s="101"/>
      <c r="J3" s="101"/>
      <c r="K3" s="101"/>
    </row>
    <row r="4" spans="1:11" x14ac:dyDescent="0.2">
      <c r="A4" s="33"/>
      <c r="B4" s="33"/>
      <c r="C4" s="33"/>
      <c r="D4" s="33"/>
      <c r="E4" s="33"/>
      <c r="G4" s="33"/>
      <c r="H4" s="33"/>
      <c r="I4" s="33"/>
      <c r="J4" s="33"/>
      <c r="K4" s="33"/>
    </row>
    <row r="5" spans="1:11" x14ac:dyDescent="0.2">
      <c r="A5" s="92" t="s">
        <v>27</v>
      </c>
      <c r="B5" s="92" t="s">
        <v>85</v>
      </c>
      <c r="C5" s="101" t="s">
        <v>90</v>
      </c>
      <c r="D5" s="101"/>
      <c r="E5" s="92" t="s">
        <v>51</v>
      </c>
      <c r="G5" s="92" t="s">
        <v>27</v>
      </c>
      <c r="H5" s="92" t="s">
        <v>85</v>
      </c>
      <c r="I5" s="101" t="s">
        <v>90</v>
      </c>
      <c r="J5" s="101"/>
      <c r="K5" s="92" t="s">
        <v>51</v>
      </c>
    </row>
    <row r="6" spans="1:11" ht="13.5" thickBot="1" x14ac:dyDescent="0.25">
      <c r="A6" s="1"/>
      <c r="B6" s="1"/>
      <c r="C6" s="1" t="s">
        <v>50</v>
      </c>
      <c r="D6" s="1" t="s">
        <v>91</v>
      </c>
      <c r="E6" s="1"/>
      <c r="G6" s="1"/>
      <c r="H6" s="1"/>
      <c r="I6" s="1" t="s">
        <v>50</v>
      </c>
      <c r="J6" s="1" t="s">
        <v>91</v>
      </c>
      <c r="K6" s="1"/>
    </row>
    <row r="7" spans="1:11" ht="13.5" thickBot="1" x14ac:dyDescent="0.25">
      <c r="A7" s="102">
        <v>0</v>
      </c>
      <c r="B7" s="105">
        <v>105</v>
      </c>
      <c r="C7" s="107">
        <f t="shared" ref="C7:C14" si="0">(A7/8.25)^2</f>
        <v>0</v>
      </c>
      <c r="D7" s="107">
        <f>C7*'Station Piping'!$D$80</f>
        <v>0</v>
      </c>
      <c r="E7" s="106">
        <f t="shared" ref="E7:E14" si="1">B7-D7</f>
        <v>105</v>
      </c>
      <c r="G7" s="102">
        <f t="shared" ref="G7:G14" si="2">A7*2</f>
        <v>0</v>
      </c>
      <c r="H7" s="105">
        <f t="shared" ref="H7:H14" si="3">B7</f>
        <v>105</v>
      </c>
      <c r="I7" s="107">
        <f t="shared" ref="I7:I14" si="4">(G7/(8.25*2))^2</f>
        <v>0</v>
      </c>
      <c r="J7" s="107">
        <f>I7*'Station Piping'!$D$80</f>
        <v>0</v>
      </c>
      <c r="K7" s="106">
        <f t="shared" ref="K7:K14" si="5">H7-J7</f>
        <v>105</v>
      </c>
    </row>
    <row r="8" spans="1:11" ht="13.5" thickBot="1" x14ac:dyDescent="0.25">
      <c r="A8" s="102">
        <v>4.95</v>
      </c>
      <c r="B8" s="105">
        <v>87.9</v>
      </c>
      <c r="C8" s="107">
        <f t="shared" si="0"/>
        <v>0.36</v>
      </c>
      <c r="D8" s="107">
        <f>C8*'Station Piping'!$D$80</f>
        <v>2.179736374328249</v>
      </c>
      <c r="E8" s="106">
        <f t="shared" si="1"/>
        <v>85.720263625671762</v>
      </c>
      <c r="G8" s="102">
        <f t="shared" si="2"/>
        <v>9.9</v>
      </c>
      <c r="H8" s="105">
        <f t="shared" si="3"/>
        <v>87.9</v>
      </c>
      <c r="I8" s="107">
        <f t="shared" si="4"/>
        <v>0.36</v>
      </c>
      <c r="J8" s="107">
        <f>I8*'Station Piping'!$D$80</f>
        <v>2.179736374328249</v>
      </c>
      <c r="K8" s="106">
        <f t="shared" si="5"/>
        <v>85.720263625671762</v>
      </c>
    </row>
    <row r="9" spans="1:11" ht="13.5" thickBot="1" x14ac:dyDescent="0.25">
      <c r="A9" s="102">
        <v>6.6</v>
      </c>
      <c r="B9" s="105">
        <v>83.3</v>
      </c>
      <c r="C9" s="107">
        <f t="shared" si="0"/>
        <v>0.6399999999999999</v>
      </c>
      <c r="D9" s="107">
        <f>C9*'Station Piping'!$D$80</f>
        <v>3.875086887694664</v>
      </c>
      <c r="E9" s="106">
        <f t="shared" si="1"/>
        <v>79.424913112305333</v>
      </c>
      <c r="G9" s="102">
        <f t="shared" si="2"/>
        <v>13.2</v>
      </c>
      <c r="H9" s="105">
        <f t="shared" si="3"/>
        <v>83.3</v>
      </c>
      <c r="I9" s="107">
        <f t="shared" si="4"/>
        <v>0.6399999999999999</v>
      </c>
      <c r="J9" s="107">
        <f>I9*'Station Piping'!$D$80</f>
        <v>3.875086887694664</v>
      </c>
      <c r="K9" s="106">
        <f t="shared" si="5"/>
        <v>79.424913112305333</v>
      </c>
    </row>
    <row r="10" spans="1:11" ht="13.5" thickBot="1" x14ac:dyDescent="0.25">
      <c r="A10" s="102">
        <v>8.25</v>
      </c>
      <c r="B10" s="105">
        <v>78.7</v>
      </c>
      <c r="C10" s="107">
        <f t="shared" si="0"/>
        <v>1</v>
      </c>
      <c r="D10" s="107">
        <f>C10*'Station Piping'!$D$80</f>
        <v>6.0548232620229134</v>
      </c>
      <c r="E10" s="106">
        <f t="shared" si="1"/>
        <v>72.645176737977096</v>
      </c>
      <c r="G10" s="102">
        <f t="shared" si="2"/>
        <v>16.5</v>
      </c>
      <c r="H10" s="105">
        <f t="shared" si="3"/>
        <v>78.7</v>
      </c>
      <c r="I10" s="107">
        <f t="shared" si="4"/>
        <v>1</v>
      </c>
      <c r="J10" s="107">
        <f>I10*'Station Piping'!$D$80</f>
        <v>6.0548232620229134</v>
      </c>
      <c r="K10" s="106">
        <f t="shared" si="5"/>
        <v>72.645176737977096</v>
      </c>
    </row>
    <row r="11" spans="1:11" ht="13.5" thickBot="1" x14ac:dyDescent="0.25">
      <c r="A11" s="102">
        <v>9.9</v>
      </c>
      <c r="B11" s="105">
        <v>74.400000000000006</v>
      </c>
      <c r="C11" s="107">
        <f t="shared" si="0"/>
        <v>1.44</v>
      </c>
      <c r="D11" s="107">
        <f>C11*'Station Piping'!$D$80</f>
        <v>8.7189454973129958</v>
      </c>
      <c r="E11" s="106">
        <f t="shared" si="1"/>
        <v>65.681054502687005</v>
      </c>
      <c r="G11" s="102">
        <f t="shared" si="2"/>
        <v>19.8</v>
      </c>
      <c r="H11" s="105">
        <f t="shared" si="3"/>
        <v>74.400000000000006</v>
      </c>
      <c r="I11" s="107">
        <f t="shared" si="4"/>
        <v>1.44</v>
      </c>
      <c r="J11" s="107">
        <f>I11*'Station Piping'!$D$80</f>
        <v>8.7189454973129958</v>
      </c>
      <c r="K11" s="106">
        <f t="shared" si="5"/>
        <v>65.681054502687005</v>
      </c>
    </row>
    <row r="12" spans="1:11" ht="13.5" thickBot="1" x14ac:dyDescent="0.25">
      <c r="A12" s="102">
        <v>11.5</v>
      </c>
      <c r="B12" s="105">
        <v>66.099999999999994</v>
      </c>
      <c r="C12" s="107">
        <f t="shared" si="0"/>
        <v>1.9430670339761251</v>
      </c>
      <c r="D12" s="107">
        <f>C12*'Station Piping'!$D$80</f>
        <v>11.764927476988509</v>
      </c>
      <c r="E12" s="106">
        <f t="shared" si="1"/>
        <v>54.335072523011483</v>
      </c>
      <c r="G12" s="102">
        <f t="shared" si="2"/>
        <v>23</v>
      </c>
      <c r="H12" s="105">
        <f t="shared" si="3"/>
        <v>66.099999999999994</v>
      </c>
      <c r="I12" s="107">
        <f t="shared" si="4"/>
        <v>1.9430670339761251</v>
      </c>
      <c r="J12" s="107">
        <f>I12*'Station Piping'!$D$80</f>
        <v>11.764927476988509</v>
      </c>
      <c r="K12" s="106">
        <f t="shared" si="5"/>
        <v>54.335072523011483</v>
      </c>
    </row>
    <row r="13" spans="1:11" ht="13.5" thickBot="1" x14ac:dyDescent="0.25">
      <c r="A13" s="102">
        <v>13.3</v>
      </c>
      <c r="B13" s="105">
        <v>55.1</v>
      </c>
      <c r="C13" s="107">
        <f t="shared" si="0"/>
        <v>2.5989348025711667</v>
      </c>
      <c r="D13" s="107">
        <f>C13*'Station Piping'!$D$80</f>
        <v>15.736090899088827</v>
      </c>
      <c r="E13" s="106">
        <f t="shared" si="1"/>
        <v>39.363909100911172</v>
      </c>
      <c r="G13" s="102">
        <f t="shared" si="2"/>
        <v>26.6</v>
      </c>
      <c r="H13" s="105">
        <f t="shared" si="3"/>
        <v>55.1</v>
      </c>
      <c r="I13" s="107">
        <f t="shared" si="4"/>
        <v>2.5989348025711667</v>
      </c>
      <c r="J13" s="107">
        <f>I13*'Station Piping'!$D$80</f>
        <v>15.736090899088827</v>
      </c>
      <c r="K13" s="106">
        <f t="shared" si="5"/>
        <v>39.363909100911172</v>
      </c>
    </row>
    <row r="14" spans="1:11" ht="13.5" thickBot="1" x14ac:dyDescent="0.25">
      <c r="A14" s="102">
        <v>14.5</v>
      </c>
      <c r="B14" s="105">
        <v>46.8</v>
      </c>
      <c r="C14" s="107">
        <f t="shared" si="0"/>
        <v>3.089072543617998</v>
      </c>
      <c r="D14" s="107">
        <f>C14*'Station Piping'!$D$80</f>
        <v>18.703788295174544</v>
      </c>
      <c r="E14" s="106">
        <f t="shared" si="1"/>
        <v>28.096211704825453</v>
      </c>
      <c r="G14" s="102">
        <f t="shared" si="2"/>
        <v>29</v>
      </c>
      <c r="H14" s="105">
        <f t="shared" si="3"/>
        <v>46.8</v>
      </c>
      <c r="I14" s="107">
        <f t="shared" si="4"/>
        <v>3.089072543617998</v>
      </c>
      <c r="J14" s="107">
        <f>I14*'Station Piping'!$D$80</f>
        <v>18.703788295174544</v>
      </c>
      <c r="K14" s="106">
        <f t="shared" si="5"/>
        <v>28.096211704825453</v>
      </c>
    </row>
    <row r="16" spans="1:11" x14ac:dyDescent="0.2">
      <c r="A16" s="101" t="s">
        <v>86</v>
      </c>
      <c r="B16" s="101"/>
      <c r="C16" s="101"/>
      <c r="D16" s="101"/>
      <c r="E16" s="101"/>
      <c r="G16" s="101" t="s">
        <v>87</v>
      </c>
      <c r="H16" s="101"/>
      <c r="I16" s="101"/>
      <c r="J16" s="101"/>
      <c r="K16" s="101"/>
    </row>
    <row r="17" spans="1:16" x14ac:dyDescent="0.2">
      <c r="A17" s="92"/>
      <c r="B17" s="92"/>
      <c r="C17" s="92"/>
      <c r="D17" s="92"/>
      <c r="E17" s="92"/>
      <c r="G17" s="92"/>
      <c r="H17" s="92"/>
      <c r="I17" s="92"/>
      <c r="J17" s="92"/>
      <c r="K17" s="92"/>
    </row>
    <row r="18" spans="1:16" x14ac:dyDescent="0.2">
      <c r="A18" s="103" t="s">
        <v>27</v>
      </c>
      <c r="B18" s="103" t="s">
        <v>85</v>
      </c>
      <c r="C18" s="101" t="s">
        <v>90</v>
      </c>
      <c r="D18" s="101"/>
      <c r="E18" s="103" t="s">
        <v>51</v>
      </c>
      <c r="G18" s="92" t="s">
        <v>50</v>
      </c>
      <c r="H18" s="92" t="s">
        <v>85</v>
      </c>
      <c r="I18" s="101" t="s">
        <v>90</v>
      </c>
      <c r="J18" s="101"/>
      <c r="K18" s="92" t="s">
        <v>51</v>
      </c>
    </row>
    <row r="19" spans="1:16" ht="13.5" thickBot="1" x14ac:dyDescent="0.25">
      <c r="A19" s="104"/>
      <c r="B19" s="104"/>
      <c r="C19" s="1" t="s">
        <v>50</v>
      </c>
      <c r="D19" s="1" t="s">
        <v>91</v>
      </c>
      <c r="E19" s="104"/>
      <c r="G19" s="1"/>
      <c r="H19" s="1"/>
      <c r="I19" s="1" t="s">
        <v>50</v>
      </c>
      <c r="J19" s="1" t="s">
        <v>91</v>
      </c>
      <c r="K19" s="1"/>
    </row>
    <row r="20" spans="1:16" ht="13.5" thickBot="1" x14ac:dyDescent="0.25">
      <c r="A20" s="102">
        <f t="shared" ref="A20:A27" si="6">A7*3</f>
        <v>0</v>
      </c>
      <c r="B20" s="105">
        <f t="shared" ref="B20:B27" si="7">H7</f>
        <v>105</v>
      </c>
      <c r="C20" s="107">
        <f t="shared" ref="C20:C27" si="8">(A20/(8.25*3))^2</f>
        <v>0</v>
      </c>
      <c r="D20" s="107">
        <f>C20*'Station Piping'!$D$80</f>
        <v>0</v>
      </c>
      <c r="E20" s="106">
        <f t="shared" ref="E20:E27" si="9">B20-D20</f>
        <v>105</v>
      </c>
      <c r="G20" s="102">
        <f t="shared" ref="G20:G27" si="10">A7*4</f>
        <v>0</v>
      </c>
      <c r="H20" s="105">
        <f t="shared" ref="H20:H27" si="11">B20</f>
        <v>105</v>
      </c>
      <c r="I20" s="107">
        <f t="shared" ref="I20:I27" si="12">(G20/(8.25*4))^2</f>
        <v>0</v>
      </c>
      <c r="J20" s="107">
        <f>I20*'Station Piping'!$D$80</f>
        <v>0</v>
      </c>
      <c r="K20" s="106">
        <f t="shared" ref="K20:K27" si="13">H20-J20</f>
        <v>105</v>
      </c>
      <c r="N20" s="46"/>
      <c r="O20" s="46"/>
      <c r="P20" s="46"/>
    </row>
    <row r="21" spans="1:16" ht="13.5" thickBot="1" x14ac:dyDescent="0.25">
      <c r="A21" s="102">
        <f t="shared" si="6"/>
        <v>14.850000000000001</v>
      </c>
      <c r="B21" s="105">
        <f t="shared" si="7"/>
        <v>87.9</v>
      </c>
      <c r="C21" s="107">
        <f t="shared" si="8"/>
        <v>0.3600000000000001</v>
      </c>
      <c r="D21" s="107">
        <f>C21*'Station Piping'!$D$80</f>
        <v>2.1797363743282494</v>
      </c>
      <c r="E21" s="106">
        <f t="shared" si="9"/>
        <v>85.720263625671762</v>
      </c>
      <c r="G21" s="102">
        <f t="shared" si="10"/>
        <v>19.8</v>
      </c>
      <c r="H21" s="105">
        <f t="shared" si="11"/>
        <v>87.9</v>
      </c>
      <c r="I21" s="107">
        <f t="shared" si="12"/>
        <v>0.36</v>
      </c>
      <c r="J21" s="107">
        <f>I21*'Station Piping'!$D$80</f>
        <v>2.179736374328249</v>
      </c>
      <c r="K21" s="106">
        <f t="shared" si="13"/>
        <v>85.720263625671762</v>
      </c>
      <c r="N21" s="46"/>
      <c r="O21" s="46"/>
      <c r="P21" s="46"/>
    </row>
    <row r="22" spans="1:16" ht="13.5" thickBot="1" x14ac:dyDescent="0.25">
      <c r="A22" s="102">
        <f t="shared" si="6"/>
        <v>19.799999999999997</v>
      </c>
      <c r="B22" s="105">
        <f t="shared" si="7"/>
        <v>83.3</v>
      </c>
      <c r="C22" s="107">
        <f t="shared" si="8"/>
        <v>0.6399999999999999</v>
      </c>
      <c r="D22" s="107">
        <f>C22*'Station Piping'!$D$80</f>
        <v>3.875086887694664</v>
      </c>
      <c r="E22" s="106">
        <f t="shared" si="9"/>
        <v>79.424913112305333</v>
      </c>
      <c r="G22" s="102">
        <f t="shared" si="10"/>
        <v>26.4</v>
      </c>
      <c r="H22" s="105">
        <f t="shared" si="11"/>
        <v>83.3</v>
      </c>
      <c r="I22" s="107">
        <f t="shared" si="12"/>
        <v>0.6399999999999999</v>
      </c>
      <c r="J22" s="107">
        <f>I22*'Station Piping'!$D$80</f>
        <v>3.875086887694664</v>
      </c>
      <c r="K22" s="106">
        <f t="shared" si="13"/>
        <v>79.424913112305333</v>
      </c>
      <c r="N22" s="46"/>
      <c r="O22" s="46"/>
      <c r="P22" s="46"/>
    </row>
    <row r="23" spans="1:16" ht="13.5" thickBot="1" x14ac:dyDescent="0.25">
      <c r="A23" s="102">
        <f t="shared" si="6"/>
        <v>24.75</v>
      </c>
      <c r="B23" s="105">
        <f t="shared" si="7"/>
        <v>78.7</v>
      </c>
      <c r="C23" s="107">
        <f t="shared" si="8"/>
        <v>1</v>
      </c>
      <c r="D23" s="107">
        <f>C23*'Station Piping'!$D$80</f>
        <v>6.0548232620229134</v>
      </c>
      <c r="E23" s="106">
        <f t="shared" si="9"/>
        <v>72.645176737977096</v>
      </c>
      <c r="G23" s="102">
        <f t="shared" si="10"/>
        <v>33</v>
      </c>
      <c r="H23" s="105">
        <f t="shared" si="11"/>
        <v>78.7</v>
      </c>
      <c r="I23" s="107">
        <f t="shared" si="12"/>
        <v>1</v>
      </c>
      <c r="J23" s="107">
        <f>I23*'Station Piping'!$D$80</f>
        <v>6.0548232620229134</v>
      </c>
      <c r="K23" s="106">
        <f t="shared" si="13"/>
        <v>72.645176737977096</v>
      </c>
      <c r="N23" s="46"/>
      <c r="O23" s="46"/>
      <c r="P23" s="46"/>
    </row>
    <row r="24" spans="1:16" ht="13.5" thickBot="1" x14ac:dyDescent="0.25">
      <c r="A24" s="102">
        <f t="shared" si="6"/>
        <v>29.700000000000003</v>
      </c>
      <c r="B24" s="105">
        <f t="shared" si="7"/>
        <v>74.400000000000006</v>
      </c>
      <c r="C24" s="107">
        <f t="shared" si="8"/>
        <v>1.4400000000000004</v>
      </c>
      <c r="D24" s="107">
        <f>C24*'Station Piping'!$D$80</f>
        <v>8.7189454973129976</v>
      </c>
      <c r="E24" s="106">
        <f t="shared" si="9"/>
        <v>65.681054502687005</v>
      </c>
      <c r="G24" s="102">
        <f t="shared" si="10"/>
        <v>39.6</v>
      </c>
      <c r="H24" s="105">
        <f t="shared" si="11"/>
        <v>74.400000000000006</v>
      </c>
      <c r="I24" s="107">
        <f t="shared" si="12"/>
        <v>1.44</v>
      </c>
      <c r="J24" s="107">
        <f>I24*'Station Piping'!$D$80</f>
        <v>8.7189454973129958</v>
      </c>
      <c r="K24" s="106">
        <f t="shared" si="13"/>
        <v>65.681054502687005</v>
      </c>
      <c r="N24" s="46"/>
      <c r="O24" s="46"/>
      <c r="P24" s="46"/>
    </row>
    <row r="25" spans="1:16" ht="13.5" thickBot="1" x14ac:dyDescent="0.25">
      <c r="A25" s="102">
        <f t="shared" si="6"/>
        <v>34.5</v>
      </c>
      <c r="B25" s="105">
        <f t="shared" si="7"/>
        <v>66.099999999999994</v>
      </c>
      <c r="C25" s="107">
        <f t="shared" si="8"/>
        <v>1.9430670339761251</v>
      </c>
      <c r="D25" s="107">
        <f>C25*'Station Piping'!$D$80</f>
        <v>11.764927476988509</v>
      </c>
      <c r="E25" s="106">
        <f t="shared" si="9"/>
        <v>54.335072523011483</v>
      </c>
      <c r="G25" s="102">
        <f t="shared" si="10"/>
        <v>46</v>
      </c>
      <c r="H25" s="105">
        <f t="shared" si="11"/>
        <v>66.099999999999994</v>
      </c>
      <c r="I25" s="107">
        <f t="shared" si="12"/>
        <v>1.9430670339761251</v>
      </c>
      <c r="J25" s="107">
        <f>I25*'Station Piping'!$D$80</f>
        <v>11.764927476988509</v>
      </c>
      <c r="K25" s="106">
        <f t="shared" si="13"/>
        <v>54.335072523011483</v>
      </c>
      <c r="N25" s="46"/>
      <c r="O25" s="46"/>
      <c r="P25" s="46"/>
    </row>
    <row r="26" spans="1:16" ht="13.5" thickBot="1" x14ac:dyDescent="0.25">
      <c r="A26" s="102">
        <f t="shared" si="6"/>
        <v>39.900000000000006</v>
      </c>
      <c r="B26" s="105">
        <f t="shared" si="7"/>
        <v>55.1</v>
      </c>
      <c r="C26" s="107">
        <f t="shared" si="8"/>
        <v>2.5989348025711667</v>
      </c>
      <c r="D26" s="107">
        <f>C26*'Station Piping'!$D$80</f>
        <v>15.736090899088827</v>
      </c>
      <c r="E26" s="106">
        <f t="shared" si="9"/>
        <v>39.363909100911172</v>
      </c>
      <c r="G26" s="102">
        <f t="shared" si="10"/>
        <v>53.2</v>
      </c>
      <c r="H26" s="105">
        <f t="shared" si="11"/>
        <v>55.1</v>
      </c>
      <c r="I26" s="107">
        <f t="shared" si="12"/>
        <v>2.5989348025711667</v>
      </c>
      <c r="J26" s="107">
        <f>I26*'Station Piping'!$D$80</f>
        <v>15.736090899088827</v>
      </c>
      <c r="K26" s="106">
        <f t="shared" si="13"/>
        <v>39.363909100911172</v>
      </c>
      <c r="N26" s="46"/>
      <c r="O26" s="46"/>
      <c r="P26" s="46"/>
    </row>
    <row r="27" spans="1:16" ht="13.5" thickBot="1" x14ac:dyDescent="0.25">
      <c r="A27" s="102">
        <f t="shared" si="6"/>
        <v>43.5</v>
      </c>
      <c r="B27" s="105">
        <f t="shared" si="7"/>
        <v>46.8</v>
      </c>
      <c r="C27" s="107">
        <f t="shared" si="8"/>
        <v>3.089072543617998</v>
      </c>
      <c r="D27" s="107">
        <f>C27*'Station Piping'!$D$80</f>
        <v>18.703788295174544</v>
      </c>
      <c r="E27" s="106">
        <f t="shared" si="9"/>
        <v>28.096211704825453</v>
      </c>
      <c r="G27" s="102">
        <f t="shared" si="10"/>
        <v>58</v>
      </c>
      <c r="H27" s="105">
        <f t="shared" si="11"/>
        <v>46.8</v>
      </c>
      <c r="I27" s="107">
        <f t="shared" si="12"/>
        <v>3.089072543617998</v>
      </c>
      <c r="J27" s="107">
        <f>I27*'Station Piping'!$D$80</f>
        <v>18.703788295174544</v>
      </c>
      <c r="K27" s="106">
        <f t="shared" si="13"/>
        <v>28.096211704825453</v>
      </c>
      <c r="N27" s="46"/>
      <c r="O27" s="46"/>
      <c r="P27" s="46"/>
    </row>
    <row r="29" spans="1:16" x14ac:dyDescent="0.2">
      <c r="A29" s="85" t="s">
        <v>89</v>
      </c>
    </row>
  </sheetData>
  <phoneticPr fontId="2" type="noConversion"/>
  <pageMargins left="0.75" right="0.75" top="1" bottom="1" header="0.5" footer="0.5"/>
  <pageSetup scale="7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50"/>
  <sheetViews>
    <sheetView topLeftCell="A27" workbookViewId="0">
      <selection activeCell="D46" sqref="D46"/>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Calcs'!$A$47</f>
        <v>27</v>
      </c>
      <c r="E3" s="53">
        <f t="shared" ref="E3:E18" si="0">D3*1000000/(7.48*24*60*60)</f>
        <v>41.778074866310163</v>
      </c>
      <c r="F3" s="38">
        <f>'Headloss Calcs'!$E$18</f>
        <v>140</v>
      </c>
      <c r="G3" s="53">
        <f t="shared" ref="G3:G18" si="1">3.1416/4*(B3/12)^2</f>
        <v>7.0686</v>
      </c>
      <c r="H3" s="53">
        <f t="shared" ref="H3:H18" si="2">3.1416*(B3/12)</f>
        <v>9.4247999999999994</v>
      </c>
      <c r="I3" s="53">
        <f t="shared" ref="I3:I18" si="3">G3/H3</f>
        <v>0.75</v>
      </c>
      <c r="J3" s="53">
        <f t="shared" ref="J3:J18" si="4">E3/G3</f>
        <v>5.9103747370497928</v>
      </c>
      <c r="K3" s="53">
        <f t="shared" ref="K3:K18" si="5">(J3/(1.318*F3*I3^0.63))^1.85*A3</f>
        <v>0</v>
      </c>
      <c r="L3" s="53">
        <v>0.25</v>
      </c>
      <c r="M3" s="58">
        <f t="shared" ref="M3:M18" si="6">L3*(J3^2)/(2*32.2)</f>
        <v>0.1356076457001413</v>
      </c>
      <c r="N3" s="58">
        <f t="shared" ref="N3:N18" si="7">K3+M3</f>
        <v>0.1356076457001413</v>
      </c>
      <c r="O3" s="59">
        <f>N3</f>
        <v>0.1356076457001413</v>
      </c>
    </row>
    <row r="4" spans="1:15" x14ac:dyDescent="0.2">
      <c r="A4" s="37"/>
      <c r="B4" s="55">
        <v>36</v>
      </c>
      <c r="C4" s="56" t="s">
        <v>47</v>
      </c>
      <c r="D4" s="57">
        <f>'Headloss Calcs'!$A$47</f>
        <v>27</v>
      </c>
      <c r="E4" s="53">
        <f t="shared" si="0"/>
        <v>41.778074866310163</v>
      </c>
      <c r="F4" s="38">
        <f>'Headloss Calcs'!$E$18</f>
        <v>140</v>
      </c>
      <c r="G4" s="53">
        <f t="shared" si="1"/>
        <v>7.0686</v>
      </c>
      <c r="H4" s="53">
        <f t="shared" si="2"/>
        <v>9.4247999999999994</v>
      </c>
      <c r="I4" s="53">
        <f t="shared" si="3"/>
        <v>0.75</v>
      </c>
      <c r="J4" s="53">
        <f t="shared" si="4"/>
        <v>5.9103747370497928</v>
      </c>
      <c r="K4" s="53">
        <f t="shared" si="5"/>
        <v>0</v>
      </c>
      <c r="L4" s="53">
        <v>0.25</v>
      </c>
      <c r="M4" s="58">
        <f t="shared" si="6"/>
        <v>0.1356076457001413</v>
      </c>
      <c r="N4" s="58">
        <f t="shared" si="7"/>
        <v>0.1356076457001413</v>
      </c>
      <c r="O4" s="59">
        <f t="shared" ref="O4:O18" si="8">N4+O3</f>
        <v>0.27121529140028261</v>
      </c>
    </row>
    <row r="5" spans="1:15" x14ac:dyDescent="0.2">
      <c r="A5" s="37">
        <v>1320</v>
      </c>
      <c r="B5" s="55">
        <v>36</v>
      </c>
      <c r="C5" s="56" t="s">
        <v>23</v>
      </c>
      <c r="D5" s="57">
        <f>'Headloss Calcs'!$A$47</f>
        <v>27</v>
      </c>
      <c r="E5" s="53">
        <f t="shared" si="0"/>
        <v>41.778074866310163</v>
      </c>
      <c r="F5" s="38">
        <f>'Headloss Calcs'!$E$18</f>
        <v>140</v>
      </c>
      <c r="G5" s="53">
        <f t="shared" si="1"/>
        <v>7.0686</v>
      </c>
      <c r="H5" s="53">
        <f t="shared" si="2"/>
        <v>9.4247999999999994</v>
      </c>
      <c r="I5" s="53">
        <f t="shared" si="3"/>
        <v>0.75</v>
      </c>
      <c r="J5" s="53">
        <f t="shared" si="4"/>
        <v>5.9103747370497928</v>
      </c>
      <c r="K5" s="53">
        <f t="shared" si="5"/>
        <v>3.1731999298145466</v>
      </c>
      <c r="L5" s="53"/>
      <c r="M5" s="58">
        <f t="shared" si="6"/>
        <v>0</v>
      </c>
      <c r="N5" s="58">
        <f t="shared" si="7"/>
        <v>3.1731999298145466</v>
      </c>
      <c r="O5" s="59">
        <f t="shared" si="8"/>
        <v>3.4444152212148293</v>
      </c>
    </row>
    <row r="6" spans="1:15" x14ac:dyDescent="0.2">
      <c r="A6" s="37"/>
      <c r="B6" s="55">
        <v>36</v>
      </c>
      <c r="C6" s="56" t="s">
        <v>45</v>
      </c>
      <c r="D6" s="57">
        <f>'Headloss Calcs'!$A$47</f>
        <v>27</v>
      </c>
      <c r="E6" s="53">
        <f t="shared" si="0"/>
        <v>41.778074866310163</v>
      </c>
      <c r="F6" s="38">
        <f>'Headloss Calcs'!$E$18</f>
        <v>140</v>
      </c>
      <c r="G6" s="53">
        <f t="shared" si="1"/>
        <v>7.0686</v>
      </c>
      <c r="H6" s="53">
        <f t="shared" si="2"/>
        <v>9.4247999999999994</v>
      </c>
      <c r="I6" s="53">
        <f t="shared" si="3"/>
        <v>0.75</v>
      </c>
      <c r="J6" s="53">
        <f t="shared" si="4"/>
        <v>5.9103747370497928</v>
      </c>
      <c r="K6" s="53">
        <f t="shared" si="5"/>
        <v>0</v>
      </c>
      <c r="L6" s="53">
        <v>0.2</v>
      </c>
      <c r="M6" s="58">
        <f t="shared" si="6"/>
        <v>0.10848611656011306</v>
      </c>
      <c r="N6" s="58">
        <f t="shared" si="7"/>
        <v>0.10848611656011306</v>
      </c>
      <c r="O6" s="59">
        <f t="shared" si="8"/>
        <v>3.5529013377749425</v>
      </c>
    </row>
    <row r="7" spans="1:15" x14ac:dyDescent="0.2">
      <c r="A7" s="37">
        <v>1320</v>
      </c>
      <c r="B7" s="55">
        <v>36</v>
      </c>
      <c r="C7" s="69" t="s">
        <v>23</v>
      </c>
      <c r="D7" s="57">
        <f>'Headloss Calcs'!$A$47</f>
        <v>27</v>
      </c>
      <c r="E7" s="53">
        <f t="shared" si="0"/>
        <v>41.778074866310163</v>
      </c>
      <c r="F7" s="38">
        <f>'Headloss Calcs'!$E$18</f>
        <v>140</v>
      </c>
      <c r="G7" s="53">
        <f t="shared" si="1"/>
        <v>7.0686</v>
      </c>
      <c r="H7" s="53">
        <f t="shared" si="2"/>
        <v>9.4247999999999994</v>
      </c>
      <c r="I7" s="53">
        <f t="shared" si="3"/>
        <v>0.75</v>
      </c>
      <c r="J7" s="53">
        <f t="shared" si="4"/>
        <v>5.9103747370497928</v>
      </c>
      <c r="K7" s="53">
        <f t="shared" si="5"/>
        <v>3.1731999298145466</v>
      </c>
      <c r="L7" s="53"/>
      <c r="M7" s="58">
        <f t="shared" si="6"/>
        <v>0</v>
      </c>
      <c r="N7" s="58">
        <f t="shared" si="7"/>
        <v>3.1731999298145466</v>
      </c>
      <c r="O7" s="59">
        <f t="shared" si="8"/>
        <v>6.7261012675894891</v>
      </c>
    </row>
    <row r="8" spans="1:15" x14ac:dyDescent="0.2">
      <c r="A8" s="37"/>
      <c r="B8" s="55">
        <v>36</v>
      </c>
      <c r="C8" s="56" t="s">
        <v>39</v>
      </c>
      <c r="D8" s="57">
        <f>'Headloss Calcs'!$A$47</f>
        <v>27</v>
      </c>
      <c r="E8" s="53">
        <f t="shared" si="0"/>
        <v>41.778074866310163</v>
      </c>
      <c r="F8" s="38">
        <f>'Headloss Calcs'!$E$18</f>
        <v>140</v>
      </c>
      <c r="G8" s="53">
        <f t="shared" si="1"/>
        <v>7.0686</v>
      </c>
      <c r="H8" s="53">
        <f t="shared" si="2"/>
        <v>9.4247999999999994</v>
      </c>
      <c r="I8" s="53">
        <f t="shared" si="3"/>
        <v>0.75</v>
      </c>
      <c r="J8" s="53">
        <f t="shared" si="4"/>
        <v>5.9103747370497928</v>
      </c>
      <c r="K8" s="53">
        <f t="shared" si="5"/>
        <v>0</v>
      </c>
      <c r="L8" s="53">
        <v>0.4</v>
      </c>
      <c r="M8" s="58">
        <f t="shared" si="6"/>
        <v>0.21697223312022612</v>
      </c>
      <c r="N8" s="58">
        <f t="shared" si="7"/>
        <v>0.21697223312022612</v>
      </c>
      <c r="O8" s="59">
        <f t="shared" si="8"/>
        <v>6.9430735007097155</v>
      </c>
    </row>
    <row r="9" spans="1:15" x14ac:dyDescent="0.2">
      <c r="A9" s="37">
        <v>1320</v>
      </c>
      <c r="B9" s="55">
        <v>36</v>
      </c>
      <c r="C9" s="56" t="s">
        <v>23</v>
      </c>
      <c r="D9" s="57">
        <f>'Headloss Calcs'!$A$47</f>
        <v>27</v>
      </c>
      <c r="E9" s="53">
        <f t="shared" si="0"/>
        <v>41.778074866310163</v>
      </c>
      <c r="F9" s="38">
        <f>'Headloss Calcs'!$E$18</f>
        <v>140</v>
      </c>
      <c r="G9" s="53">
        <f t="shared" si="1"/>
        <v>7.0686</v>
      </c>
      <c r="H9" s="53">
        <f t="shared" si="2"/>
        <v>9.4247999999999994</v>
      </c>
      <c r="I9" s="53">
        <f t="shared" si="3"/>
        <v>0.75</v>
      </c>
      <c r="J9" s="53">
        <f t="shared" si="4"/>
        <v>5.9103747370497928</v>
      </c>
      <c r="K9" s="53">
        <f t="shared" si="5"/>
        <v>3.1731999298145466</v>
      </c>
      <c r="L9" s="53"/>
      <c r="M9" s="58">
        <f t="shared" si="6"/>
        <v>0</v>
      </c>
      <c r="N9" s="58">
        <f t="shared" si="7"/>
        <v>3.1731999298145466</v>
      </c>
      <c r="O9" s="59">
        <f t="shared" si="8"/>
        <v>10.116273430524263</v>
      </c>
    </row>
    <row r="10" spans="1:15" x14ac:dyDescent="0.2">
      <c r="A10" s="37"/>
      <c r="B10" s="55">
        <v>36</v>
      </c>
      <c r="C10" s="56" t="s">
        <v>39</v>
      </c>
      <c r="D10" s="57">
        <f>'Headloss Calcs'!$A$47</f>
        <v>27</v>
      </c>
      <c r="E10" s="53">
        <f t="shared" si="0"/>
        <v>41.778074866310163</v>
      </c>
      <c r="F10" s="38">
        <f>'Headloss Calcs'!$E$18</f>
        <v>140</v>
      </c>
      <c r="G10" s="53">
        <f t="shared" si="1"/>
        <v>7.0686</v>
      </c>
      <c r="H10" s="53">
        <f t="shared" si="2"/>
        <v>9.4247999999999994</v>
      </c>
      <c r="I10" s="53">
        <f t="shared" si="3"/>
        <v>0.75</v>
      </c>
      <c r="J10" s="53">
        <f t="shared" si="4"/>
        <v>5.9103747370497928</v>
      </c>
      <c r="K10" s="53">
        <f t="shared" si="5"/>
        <v>0</v>
      </c>
      <c r="L10" s="53">
        <v>0.4</v>
      </c>
      <c r="M10" s="58">
        <f t="shared" si="6"/>
        <v>0.21697223312022612</v>
      </c>
      <c r="N10" s="58">
        <f t="shared" si="7"/>
        <v>0.21697223312022612</v>
      </c>
      <c r="O10" s="59">
        <f t="shared" si="8"/>
        <v>10.333245663644488</v>
      </c>
    </row>
    <row r="11" spans="1:15" x14ac:dyDescent="0.2">
      <c r="A11" s="37">
        <v>1320</v>
      </c>
      <c r="B11" s="55">
        <v>36</v>
      </c>
      <c r="C11" s="56" t="s">
        <v>23</v>
      </c>
      <c r="D11" s="57">
        <f>'Headloss Calcs'!$A$47</f>
        <v>27</v>
      </c>
      <c r="E11" s="53">
        <f t="shared" si="0"/>
        <v>41.778074866310163</v>
      </c>
      <c r="F11" s="38">
        <f>'Headloss Calcs'!$E$18</f>
        <v>140</v>
      </c>
      <c r="G11" s="53">
        <f t="shared" si="1"/>
        <v>7.0686</v>
      </c>
      <c r="H11" s="53">
        <f t="shared" si="2"/>
        <v>9.4247999999999994</v>
      </c>
      <c r="I11" s="53">
        <f t="shared" si="3"/>
        <v>0.75</v>
      </c>
      <c r="J11" s="53">
        <f t="shared" si="4"/>
        <v>5.9103747370497928</v>
      </c>
      <c r="K11" s="53">
        <f t="shared" si="5"/>
        <v>3.1731999298145466</v>
      </c>
      <c r="L11" s="53"/>
      <c r="M11" s="58">
        <f t="shared" si="6"/>
        <v>0</v>
      </c>
      <c r="N11" s="58">
        <f t="shared" si="7"/>
        <v>3.1731999298145466</v>
      </c>
      <c r="O11" s="59">
        <f t="shared" si="8"/>
        <v>13.506445593459034</v>
      </c>
    </row>
    <row r="12" spans="1:15" x14ac:dyDescent="0.2">
      <c r="A12" s="37"/>
      <c r="B12" s="55">
        <v>36</v>
      </c>
      <c r="C12" s="56" t="s">
        <v>48</v>
      </c>
      <c r="D12" s="57">
        <f>'Headloss Calcs'!$A$47</f>
        <v>27</v>
      </c>
      <c r="E12" s="53">
        <f t="shared" si="0"/>
        <v>41.778074866310163</v>
      </c>
      <c r="F12" s="38">
        <f>'Headloss Calcs'!$E$18</f>
        <v>140</v>
      </c>
      <c r="G12" s="53">
        <f t="shared" si="1"/>
        <v>7.0686</v>
      </c>
      <c r="H12" s="53">
        <f t="shared" si="2"/>
        <v>9.4247999999999994</v>
      </c>
      <c r="I12" s="53">
        <f t="shared" si="3"/>
        <v>0.75</v>
      </c>
      <c r="J12" s="53">
        <f t="shared" si="4"/>
        <v>5.9103747370497928</v>
      </c>
      <c r="K12" s="53">
        <f t="shared" si="5"/>
        <v>0</v>
      </c>
      <c r="L12" s="53">
        <v>0.4</v>
      </c>
      <c r="M12" s="58">
        <f t="shared" si="6"/>
        <v>0.21697223312022612</v>
      </c>
      <c r="N12" s="58">
        <f t="shared" si="7"/>
        <v>0.21697223312022612</v>
      </c>
      <c r="O12" s="59">
        <f t="shared" si="8"/>
        <v>13.72341782657926</v>
      </c>
    </row>
    <row r="13" spans="1:15" x14ac:dyDescent="0.2">
      <c r="A13" s="37">
        <v>1320</v>
      </c>
      <c r="B13" s="55">
        <v>36</v>
      </c>
      <c r="C13" s="56" t="s">
        <v>23</v>
      </c>
      <c r="D13" s="57">
        <f>'Headloss Calcs'!$A$47</f>
        <v>27</v>
      </c>
      <c r="E13" s="53">
        <f t="shared" si="0"/>
        <v>41.778074866310163</v>
      </c>
      <c r="F13" s="38">
        <f>'Headloss Calcs'!$E$18</f>
        <v>140</v>
      </c>
      <c r="G13" s="53">
        <f t="shared" si="1"/>
        <v>7.0686</v>
      </c>
      <c r="H13" s="53">
        <f t="shared" si="2"/>
        <v>9.4247999999999994</v>
      </c>
      <c r="I13" s="53">
        <f t="shared" si="3"/>
        <v>0.75</v>
      </c>
      <c r="J13" s="53">
        <f t="shared" si="4"/>
        <v>5.9103747370497928</v>
      </c>
      <c r="K13" s="53">
        <f t="shared" si="5"/>
        <v>3.1731999298145466</v>
      </c>
      <c r="L13" s="53"/>
      <c r="M13" s="58">
        <f t="shared" si="6"/>
        <v>0</v>
      </c>
      <c r="N13" s="58">
        <f t="shared" si="7"/>
        <v>3.1731999298145466</v>
      </c>
      <c r="O13" s="59">
        <f t="shared" si="8"/>
        <v>16.896617756393805</v>
      </c>
    </row>
    <row r="14" spans="1:15" x14ac:dyDescent="0.2">
      <c r="A14" s="37"/>
      <c r="B14" s="55">
        <v>36</v>
      </c>
      <c r="C14" s="56" t="s">
        <v>39</v>
      </c>
      <c r="D14" s="57">
        <f>'Headloss Calcs'!$A$47</f>
        <v>27</v>
      </c>
      <c r="E14" s="53">
        <f t="shared" si="0"/>
        <v>41.778074866310163</v>
      </c>
      <c r="F14" s="38">
        <f>'Headloss Calcs'!$E$18</f>
        <v>140</v>
      </c>
      <c r="G14" s="53">
        <f t="shared" si="1"/>
        <v>7.0686</v>
      </c>
      <c r="H14" s="53">
        <f t="shared" si="2"/>
        <v>9.4247999999999994</v>
      </c>
      <c r="I14" s="53">
        <f t="shared" si="3"/>
        <v>0.75</v>
      </c>
      <c r="J14" s="53">
        <f t="shared" si="4"/>
        <v>5.9103747370497928</v>
      </c>
      <c r="K14" s="53">
        <f t="shared" si="5"/>
        <v>0</v>
      </c>
      <c r="L14" s="53">
        <v>0.4</v>
      </c>
      <c r="M14" s="58">
        <f t="shared" si="6"/>
        <v>0.21697223312022612</v>
      </c>
      <c r="N14" s="58">
        <f t="shared" si="7"/>
        <v>0.21697223312022612</v>
      </c>
      <c r="O14" s="59">
        <f t="shared" si="8"/>
        <v>17.113589989514033</v>
      </c>
    </row>
    <row r="15" spans="1:15" x14ac:dyDescent="0.2">
      <c r="A15" s="37">
        <v>1320</v>
      </c>
      <c r="B15" s="55">
        <v>36</v>
      </c>
      <c r="C15" s="56" t="s">
        <v>23</v>
      </c>
      <c r="D15" s="57">
        <f>'Headloss Calcs'!$A$47</f>
        <v>27</v>
      </c>
      <c r="E15" s="53">
        <f t="shared" si="0"/>
        <v>41.778074866310163</v>
      </c>
      <c r="F15" s="38">
        <f>'Headloss Calcs'!$E$18</f>
        <v>140</v>
      </c>
      <c r="G15" s="53">
        <f t="shared" si="1"/>
        <v>7.0686</v>
      </c>
      <c r="H15" s="53">
        <f t="shared" si="2"/>
        <v>9.4247999999999994</v>
      </c>
      <c r="I15" s="53">
        <f t="shared" si="3"/>
        <v>0.75</v>
      </c>
      <c r="J15" s="53">
        <f t="shared" si="4"/>
        <v>5.9103747370497928</v>
      </c>
      <c r="K15" s="53">
        <f t="shared" si="5"/>
        <v>3.1731999298145466</v>
      </c>
      <c r="L15" s="53"/>
      <c r="M15" s="58">
        <f t="shared" si="6"/>
        <v>0</v>
      </c>
      <c r="N15" s="58">
        <f t="shared" si="7"/>
        <v>3.1731999298145466</v>
      </c>
      <c r="O15" s="59">
        <f t="shared" si="8"/>
        <v>20.28678991932858</v>
      </c>
    </row>
    <row r="16" spans="1:15" x14ac:dyDescent="0.2">
      <c r="A16" s="37"/>
      <c r="B16" s="55">
        <v>36</v>
      </c>
      <c r="C16" s="56" t="s">
        <v>45</v>
      </c>
      <c r="D16" s="57">
        <f>'Headloss Calcs'!$A$47</f>
        <v>27</v>
      </c>
      <c r="E16" s="53">
        <f t="shared" si="0"/>
        <v>41.778074866310163</v>
      </c>
      <c r="F16" s="38">
        <f>'Headloss Calcs'!$E$18</f>
        <v>140</v>
      </c>
      <c r="G16" s="53">
        <f t="shared" si="1"/>
        <v>7.0686</v>
      </c>
      <c r="H16" s="53">
        <f t="shared" si="2"/>
        <v>9.4247999999999994</v>
      </c>
      <c r="I16" s="53">
        <f t="shared" si="3"/>
        <v>0.75</v>
      </c>
      <c r="J16" s="53">
        <f t="shared" si="4"/>
        <v>5.9103747370497928</v>
      </c>
      <c r="K16" s="53">
        <f t="shared" si="5"/>
        <v>0</v>
      </c>
      <c r="L16" s="53">
        <v>0.2</v>
      </c>
      <c r="M16" s="58">
        <f t="shared" si="6"/>
        <v>0.10848611656011306</v>
      </c>
      <c r="N16" s="58">
        <f t="shared" si="7"/>
        <v>0.10848611656011306</v>
      </c>
      <c r="O16" s="59">
        <f t="shared" si="8"/>
        <v>20.395276035888692</v>
      </c>
    </row>
    <row r="17" spans="1:15" x14ac:dyDescent="0.2">
      <c r="A17" s="37">
        <v>1320</v>
      </c>
      <c r="B17" s="55">
        <v>36</v>
      </c>
      <c r="C17" s="56" t="s">
        <v>23</v>
      </c>
      <c r="D17" s="57">
        <f>'Headloss Calcs'!$A$47</f>
        <v>27</v>
      </c>
      <c r="E17" s="53">
        <f t="shared" si="0"/>
        <v>41.778074866310163</v>
      </c>
      <c r="F17" s="38">
        <f>'Headloss Calcs'!$E$18</f>
        <v>140</v>
      </c>
      <c r="G17" s="53">
        <f t="shared" si="1"/>
        <v>7.0686</v>
      </c>
      <c r="H17" s="53">
        <f t="shared" si="2"/>
        <v>9.4247999999999994</v>
      </c>
      <c r="I17" s="53">
        <f t="shared" si="3"/>
        <v>0.75</v>
      </c>
      <c r="J17" s="53">
        <f t="shared" si="4"/>
        <v>5.9103747370497928</v>
      </c>
      <c r="K17" s="53">
        <f t="shared" si="5"/>
        <v>3.1731999298145466</v>
      </c>
      <c r="L17" s="53"/>
      <c r="M17" s="58">
        <f t="shared" si="6"/>
        <v>0</v>
      </c>
      <c r="N17" s="58">
        <f t="shared" si="7"/>
        <v>3.1731999298145466</v>
      </c>
      <c r="O17" s="59">
        <f t="shared" si="8"/>
        <v>23.568475965703239</v>
      </c>
    </row>
    <row r="18" spans="1:15" ht="12" customHeight="1" x14ac:dyDescent="0.2">
      <c r="A18" s="37"/>
      <c r="B18" s="55">
        <v>36</v>
      </c>
      <c r="C18" s="56" t="s">
        <v>44</v>
      </c>
      <c r="D18" s="57">
        <f>'Headloss Calcs'!$A$47</f>
        <v>27</v>
      </c>
      <c r="E18" s="53">
        <f t="shared" si="0"/>
        <v>41.778074866310163</v>
      </c>
      <c r="F18" s="38">
        <f>'Headloss Calcs'!$E$18</f>
        <v>140</v>
      </c>
      <c r="G18" s="53">
        <f t="shared" si="1"/>
        <v>7.0686</v>
      </c>
      <c r="H18" s="53">
        <f t="shared" si="2"/>
        <v>9.4247999999999994</v>
      </c>
      <c r="I18" s="53">
        <f t="shared" si="3"/>
        <v>0.75</v>
      </c>
      <c r="J18" s="53">
        <f t="shared" si="4"/>
        <v>5.9103747370497928</v>
      </c>
      <c r="K18" s="53">
        <f t="shared" si="5"/>
        <v>0</v>
      </c>
      <c r="L18" s="53">
        <v>1</v>
      </c>
      <c r="M18" s="58">
        <f t="shared" si="6"/>
        <v>0.54243058280056522</v>
      </c>
      <c r="N18" s="58">
        <f t="shared" si="7"/>
        <v>0.54243058280056522</v>
      </c>
      <c r="O18" s="59">
        <f t="shared" si="8"/>
        <v>24.110906548503806</v>
      </c>
    </row>
    <row r="19" spans="1:15" ht="13.5" thickBot="1" x14ac:dyDescent="0.25">
      <c r="A19" s="39"/>
      <c r="B19" s="40"/>
      <c r="C19" s="41"/>
      <c r="D19" s="40"/>
      <c r="E19" s="42"/>
      <c r="F19" s="40"/>
      <c r="G19" s="54"/>
      <c r="H19" s="54"/>
      <c r="I19" s="54"/>
      <c r="J19" s="54"/>
      <c r="K19" s="54"/>
      <c r="L19" s="54"/>
      <c r="M19" s="60"/>
      <c r="N19" s="60" t="s">
        <v>40</v>
      </c>
      <c r="O19" s="61">
        <f>O18</f>
        <v>24.110906548503806</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Calcs'!$A$47</f>
        <v>27</v>
      </c>
      <c r="E22" s="53">
        <f t="shared" ref="E22:E37" si="9">D22*1000000/(7.48*24*60*60)</f>
        <v>41.778074866310163</v>
      </c>
      <c r="F22" s="38">
        <f>'Headloss Calcs'!$H$18</f>
        <v>100</v>
      </c>
      <c r="G22" s="53">
        <f t="shared" ref="G22:G37" si="10">3.1416/4*(B22/12)^2</f>
        <v>7.0686</v>
      </c>
      <c r="H22" s="53">
        <f t="shared" ref="H22:H37" si="11">3.1416*(B22/12)</f>
        <v>9.4247999999999994</v>
      </c>
      <c r="I22" s="53">
        <f t="shared" ref="I22:I37" si="12">G22/H22</f>
        <v>0.75</v>
      </c>
      <c r="J22" s="53">
        <f t="shared" ref="J22:J37" si="13">E22/G22</f>
        <v>5.9103747370497928</v>
      </c>
      <c r="K22" s="53">
        <f t="shared" ref="K22:K37" si="14">(J22/(1.318*F22*I22^0.63))^1.85*A22</f>
        <v>0</v>
      </c>
      <c r="L22" s="53">
        <v>0.25</v>
      </c>
      <c r="M22" s="58">
        <f t="shared" ref="M22:M37" si="15">L22*(J22^2)/(2*32.2)</f>
        <v>0.1356076457001413</v>
      </c>
      <c r="N22" s="58">
        <f t="shared" ref="N22:N37" si="16">K22+M22</f>
        <v>0.1356076457001413</v>
      </c>
      <c r="O22" s="59">
        <f>N22</f>
        <v>0.1356076457001413</v>
      </c>
    </row>
    <row r="23" spans="1:15" x14ac:dyDescent="0.2">
      <c r="A23" s="37"/>
      <c r="B23" s="55">
        <v>36</v>
      </c>
      <c r="C23" s="56" t="s">
        <v>47</v>
      </c>
      <c r="D23" s="57">
        <f>'Headloss Calcs'!$A$47</f>
        <v>27</v>
      </c>
      <c r="E23" s="53">
        <f t="shared" si="9"/>
        <v>41.778074866310163</v>
      </c>
      <c r="F23" s="38">
        <f>'Headloss Calcs'!$H$18</f>
        <v>100</v>
      </c>
      <c r="G23" s="53">
        <f t="shared" si="10"/>
        <v>7.0686</v>
      </c>
      <c r="H23" s="53">
        <f t="shared" si="11"/>
        <v>9.4247999999999994</v>
      </c>
      <c r="I23" s="53">
        <f t="shared" si="12"/>
        <v>0.75</v>
      </c>
      <c r="J23" s="53">
        <f t="shared" si="13"/>
        <v>5.9103747370497928</v>
      </c>
      <c r="K23" s="53">
        <f t="shared" si="14"/>
        <v>0</v>
      </c>
      <c r="L23" s="53">
        <v>0.25</v>
      </c>
      <c r="M23" s="58">
        <f t="shared" si="15"/>
        <v>0.1356076457001413</v>
      </c>
      <c r="N23" s="58">
        <f t="shared" si="16"/>
        <v>0.1356076457001413</v>
      </c>
      <c r="O23" s="59">
        <f t="shared" ref="O23:O37" si="17">N23+O22</f>
        <v>0.27121529140028261</v>
      </c>
    </row>
    <row r="24" spans="1:15" x14ac:dyDescent="0.2">
      <c r="A24" s="37">
        <v>1320</v>
      </c>
      <c r="B24" s="55">
        <v>36</v>
      </c>
      <c r="C24" s="56" t="s">
        <v>23</v>
      </c>
      <c r="D24" s="57">
        <f>'Headloss Calcs'!$A$47</f>
        <v>27</v>
      </c>
      <c r="E24" s="53">
        <f t="shared" si="9"/>
        <v>41.778074866310163</v>
      </c>
      <c r="F24" s="38">
        <f>'Headloss Calcs'!$H$18</f>
        <v>100</v>
      </c>
      <c r="G24" s="53">
        <f t="shared" si="10"/>
        <v>7.0686</v>
      </c>
      <c r="H24" s="53">
        <f t="shared" si="11"/>
        <v>9.4247999999999994</v>
      </c>
      <c r="I24" s="53">
        <f t="shared" si="12"/>
        <v>0.75</v>
      </c>
      <c r="J24" s="53">
        <f t="shared" si="13"/>
        <v>5.9103747370497928</v>
      </c>
      <c r="K24" s="53">
        <f t="shared" si="14"/>
        <v>5.9133597651848628</v>
      </c>
      <c r="L24" s="53"/>
      <c r="M24" s="58">
        <f t="shared" si="15"/>
        <v>0</v>
      </c>
      <c r="N24" s="58">
        <f t="shared" si="16"/>
        <v>5.9133597651848628</v>
      </c>
      <c r="O24" s="59">
        <f t="shared" si="17"/>
        <v>6.1845750565851452</v>
      </c>
    </row>
    <row r="25" spans="1:15" x14ac:dyDescent="0.2">
      <c r="A25" s="37"/>
      <c r="B25" s="55">
        <v>36</v>
      </c>
      <c r="C25" s="56" t="s">
        <v>45</v>
      </c>
      <c r="D25" s="57">
        <f>'Headloss Calcs'!$A$47</f>
        <v>27</v>
      </c>
      <c r="E25" s="53">
        <f t="shared" si="9"/>
        <v>41.778074866310163</v>
      </c>
      <c r="F25" s="38">
        <f>'Headloss Calcs'!$H$18</f>
        <v>100</v>
      </c>
      <c r="G25" s="53">
        <f t="shared" si="10"/>
        <v>7.0686</v>
      </c>
      <c r="H25" s="53">
        <f t="shared" si="11"/>
        <v>9.4247999999999994</v>
      </c>
      <c r="I25" s="53">
        <f t="shared" si="12"/>
        <v>0.75</v>
      </c>
      <c r="J25" s="53">
        <f t="shared" si="13"/>
        <v>5.9103747370497928</v>
      </c>
      <c r="K25" s="53">
        <f t="shared" si="14"/>
        <v>0</v>
      </c>
      <c r="L25" s="53">
        <v>0.2</v>
      </c>
      <c r="M25" s="58">
        <f t="shared" si="15"/>
        <v>0.10848611656011306</v>
      </c>
      <c r="N25" s="58">
        <f t="shared" si="16"/>
        <v>0.10848611656011306</v>
      </c>
      <c r="O25" s="59">
        <f t="shared" si="17"/>
        <v>6.2930611731452579</v>
      </c>
    </row>
    <row r="26" spans="1:15" x14ac:dyDescent="0.2">
      <c r="A26" s="37">
        <v>1320</v>
      </c>
      <c r="B26" s="55">
        <v>36</v>
      </c>
      <c r="C26" s="69" t="s">
        <v>23</v>
      </c>
      <c r="D26" s="57">
        <f>'Headloss Calcs'!$A$47</f>
        <v>27</v>
      </c>
      <c r="E26" s="53">
        <f t="shared" si="9"/>
        <v>41.778074866310163</v>
      </c>
      <c r="F26" s="38">
        <f>'Headloss Calcs'!$H$18</f>
        <v>100</v>
      </c>
      <c r="G26" s="53">
        <f t="shared" si="10"/>
        <v>7.0686</v>
      </c>
      <c r="H26" s="53">
        <f t="shared" si="11"/>
        <v>9.4247999999999994</v>
      </c>
      <c r="I26" s="53">
        <f t="shared" si="12"/>
        <v>0.75</v>
      </c>
      <c r="J26" s="53">
        <f t="shared" si="13"/>
        <v>5.9103747370497928</v>
      </c>
      <c r="K26" s="53">
        <f t="shared" si="14"/>
        <v>5.9133597651848628</v>
      </c>
      <c r="L26" s="53"/>
      <c r="M26" s="58">
        <f t="shared" si="15"/>
        <v>0</v>
      </c>
      <c r="N26" s="58">
        <f t="shared" si="16"/>
        <v>5.9133597651848628</v>
      </c>
      <c r="O26" s="59">
        <f t="shared" si="17"/>
        <v>12.206420938330121</v>
      </c>
    </row>
    <row r="27" spans="1:15" x14ac:dyDescent="0.2">
      <c r="A27" s="37"/>
      <c r="B27" s="55">
        <v>36</v>
      </c>
      <c r="C27" s="56" t="s">
        <v>39</v>
      </c>
      <c r="D27" s="57">
        <f>'Headloss Calcs'!$A$47</f>
        <v>27</v>
      </c>
      <c r="E27" s="53">
        <f t="shared" si="9"/>
        <v>41.778074866310163</v>
      </c>
      <c r="F27" s="38">
        <f>'Headloss Calcs'!$H$18</f>
        <v>100</v>
      </c>
      <c r="G27" s="53">
        <f t="shared" si="10"/>
        <v>7.0686</v>
      </c>
      <c r="H27" s="53">
        <f t="shared" si="11"/>
        <v>9.4247999999999994</v>
      </c>
      <c r="I27" s="53">
        <f t="shared" si="12"/>
        <v>0.75</v>
      </c>
      <c r="J27" s="53">
        <f t="shared" si="13"/>
        <v>5.9103747370497928</v>
      </c>
      <c r="K27" s="53">
        <f t="shared" si="14"/>
        <v>0</v>
      </c>
      <c r="L27" s="53">
        <v>0.4</v>
      </c>
      <c r="M27" s="58">
        <f t="shared" si="15"/>
        <v>0.21697223312022612</v>
      </c>
      <c r="N27" s="58">
        <f t="shared" si="16"/>
        <v>0.21697223312022612</v>
      </c>
      <c r="O27" s="59">
        <f t="shared" si="17"/>
        <v>12.423393171450346</v>
      </c>
    </row>
    <row r="28" spans="1:15" x14ac:dyDescent="0.2">
      <c r="A28" s="37">
        <v>1320</v>
      </c>
      <c r="B28" s="55">
        <v>36</v>
      </c>
      <c r="C28" s="56" t="s">
        <v>23</v>
      </c>
      <c r="D28" s="57">
        <f>'Headloss Calcs'!$A$47</f>
        <v>27</v>
      </c>
      <c r="E28" s="53">
        <f t="shared" si="9"/>
        <v>41.778074866310163</v>
      </c>
      <c r="F28" s="38">
        <f>'Headloss Calcs'!$H$18</f>
        <v>100</v>
      </c>
      <c r="G28" s="53">
        <f t="shared" si="10"/>
        <v>7.0686</v>
      </c>
      <c r="H28" s="53">
        <f t="shared" si="11"/>
        <v>9.4247999999999994</v>
      </c>
      <c r="I28" s="53">
        <f t="shared" si="12"/>
        <v>0.75</v>
      </c>
      <c r="J28" s="53">
        <f t="shared" si="13"/>
        <v>5.9103747370497928</v>
      </c>
      <c r="K28" s="53">
        <f t="shared" si="14"/>
        <v>5.9133597651848628</v>
      </c>
      <c r="L28" s="53"/>
      <c r="M28" s="58">
        <f t="shared" si="15"/>
        <v>0</v>
      </c>
      <c r="N28" s="58">
        <f t="shared" si="16"/>
        <v>5.9133597651848628</v>
      </c>
      <c r="O28" s="59">
        <f t="shared" si="17"/>
        <v>18.336752936635207</v>
      </c>
    </row>
    <row r="29" spans="1:15" x14ac:dyDescent="0.2">
      <c r="A29" s="37"/>
      <c r="B29" s="55">
        <v>36</v>
      </c>
      <c r="C29" s="56" t="s">
        <v>39</v>
      </c>
      <c r="D29" s="57">
        <f>'Headloss Calcs'!$A$47</f>
        <v>27</v>
      </c>
      <c r="E29" s="53">
        <f t="shared" si="9"/>
        <v>41.778074866310163</v>
      </c>
      <c r="F29" s="38">
        <f>'Headloss Calcs'!$H$18</f>
        <v>100</v>
      </c>
      <c r="G29" s="53">
        <f t="shared" si="10"/>
        <v>7.0686</v>
      </c>
      <c r="H29" s="53">
        <f t="shared" si="11"/>
        <v>9.4247999999999994</v>
      </c>
      <c r="I29" s="53">
        <f t="shared" si="12"/>
        <v>0.75</v>
      </c>
      <c r="J29" s="53">
        <f t="shared" si="13"/>
        <v>5.9103747370497928</v>
      </c>
      <c r="K29" s="53">
        <f t="shared" si="14"/>
        <v>0</v>
      </c>
      <c r="L29" s="53">
        <v>0.4</v>
      </c>
      <c r="M29" s="58">
        <f t="shared" si="15"/>
        <v>0.21697223312022612</v>
      </c>
      <c r="N29" s="58">
        <f t="shared" si="16"/>
        <v>0.21697223312022612</v>
      </c>
      <c r="O29" s="59">
        <f t="shared" si="17"/>
        <v>18.553725169755435</v>
      </c>
    </row>
    <row r="30" spans="1:15" x14ac:dyDescent="0.2">
      <c r="A30" s="37">
        <v>1320</v>
      </c>
      <c r="B30" s="55">
        <v>36</v>
      </c>
      <c r="C30" s="56" t="s">
        <v>23</v>
      </c>
      <c r="D30" s="57">
        <f>'Headloss Calcs'!$A$47</f>
        <v>27</v>
      </c>
      <c r="E30" s="53">
        <f t="shared" si="9"/>
        <v>41.778074866310163</v>
      </c>
      <c r="F30" s="38">
        <f>'Headloss Calcs'!$H$18</f>
        <v>100</v>
      </c>
      <c r="G30" s="53">
        <f t="shared" si="10"/>
        <v>7.0686</v>
      </c>
      <c r="H30" s="53">
        <f t="shared" si="11"/>
        <v>9.4247999999999994</v>
      </c>
      <c r="I30" s="53">
        <f t="shared" si="12"/>
        <v>0.75</v>
      </c>
      <c r="J30" s="53">
        <f t="shared" si="13"/>
        <v>5.9103747370497928</v>
      </c>
      <c r="K30" s="53">
        <f t="shared" si="14"/>
        <v>5.9133597651848628</v>
      </c>
      <c r="L30" s="53"/>
      <c r="M30" s="58">
        <f t="shared" si="15"/>
        <v>0</v>
      </c>
      <c r="N30" s="58">
        <f t="shared" si="16"/>
        <v>5.9133597651848628</v>
      </c>
      <c r="O30" s="59">
        <f t="shared" si="17"/>
        <v>24.467084934940296</v>
      </c>
    </row>
    <row r="31" spans="1:15" x14ac:dyDescent="0.2">
      <c r="A31" s="37"/>
      <c r="B31" s="55">
        <v>36</v>
      </c>
      <c r="C31" s="56" t="s">
        <v>48</v>
      </c>
      <c r="D31" s="57">
        <f>'Headloss Calcs'!$A$47</f>
        <v>27</v>
      </c>
      <c r="E31" s="53">
        <f t="shared" si="9"/>
        <v>41.778074866310163</v>
      </c>
      <c r="F31" s="38">
        <f>'Headloss Calcs'!$H$18</f>
        <v>100</v>
      </c>
      <c r="G31" s="53">
        <f t="shared" si="10"/>
        <v>7.0686</v>
      </c>
      <c r="H31" s="53">
        <f t="shared" si="11"/>
        <v>9.4247999999999994</v>
      </c>
      <c r="I31" s="53">
        <f t="shared" si="12"/>
        <v>0.75</v>
      </c>
      <c r="J31" s="53">
        <f t="shared" si="13"/>
        <v>5.9103747370497928</v>
      </c>
      <c r="K31" s="53">
        <f t="shared" si="14"/>
        <v>0</v>
      </c>
      <c r="L31" s="53">
        <v>0.4</v>
      </c>
      <c r="M31" s="58">
        <f t="shared" si="15"/>
        <v>0.21697223312022612</v>
      </c>
      <c r="N31" s="58">
        <f t="shared" si="16"/>
        <v>0.21697223312022612</v>
      </c>
      <c r="O31" s="59">
        <f t="shared" si="17"/>
        <v>24.684057168060523</v>
      </c>
    </row>
    <row r="32" spans="1:15" x14ac:dyDescent="0.2">
      <c r="A32" s="37">
        <v>1320</v>
      </c>
      <c r="B32" s="55">
        <v>36</v>
      </c>
      <c r="C32" s="56" t="s">
        <v>23</v>
      </c>
      <c r="D32" s="57">
        <f>'Headloss Calcs'!$A$47</f>
        <v>27</v>
      </c>
      <c r="E32" s="53">
        <f t="shared" si="9"/>
        <v>41.778074866310163</v>
      </c>
      <c r="F32" s="38">
        <f>'Headloss Calcs'!$H$18</f>
        <v>100</v>
      </c>
      <c r="G32" s="53">
        <f t="shared" si="10"/>
        <v>7.0686</v>
      </c>
      <c r="H32" s="53">
        <f t="shared" si="11"/>
        <v>9.4247999999999994</v>
      </c>
      <c r="I32" s="53">
        <f t="shared" si="12"/>
        <v>0.75</v>
      </c>
      <c r="J32" s="53">
        <f t="shared" si="13"/>
        <v>5.9103747370497928</v>
      </c>
      <c r="K32" s="53">
        <f t="shared" si="14"/>
        <v>5.9133597651848628</v>
      </c>
      <c r="L32" s="53"/>
      <c r="M32" s="58">
        <f t="shared" si="15"/>
        <v>0</v>
      </c>
      <c r="N32" s="58">
        <f t="shared" si="16"/>
        <v>5.9133597651848628</v>
      </c>
      <c r="O32" s="59">
        <f t="shared" si="17"/>
        <v>30.597416933245384</v>
      </c>
    </row>
    <row r="33" spans="1:15" x14ac:dyDescent="0.2">
      <c r="A33" s="37"/>
      <c r="B33" s="55">
        <v>36</v>
      </c>
      <c r="C33" s="56" t="s">
        <v>39</v>
      </c>
      <c r="D33" s="57">
        <f>'Headloss Calcs'!$A$47</f>
        <v>27</v>
      </c>
      <c r="E33" s="53">
        <f t="shared" si="9"/>
        <v>41.778074866310163</v>
      </c>
      <c r="F33" s="38">
        <f>'Headloss Calcs'!$H$18</f>
        <v>100</v>
      </c>
      <c r="G33" s="53">
        <f t="shared" si="10"/>
        <v>7.0686</v>
      </c>
      <c r="H33" s="53">
        <f t="shared" si="11"/>
        <v>9.4247999999999994</v>
      </c>
      <c r="I33" s="53">
        <f t="shared" si="12"/>
        <v>0.75</v>
      </c>
      <c r="J33" s="53">
        <f t="shared" si="13"/>
        <v>5.9103747370497928</v>
      </c>
      <c r="K33" s="53">
        <f t="shared" si="14"/>
        <v>0</v>
      </c>
      <c r="L33" s="53">
        <v>0.4</v>
      </c>
      <c r="M33" s="58">
        <f t="shared" si="15"/>
        <v>0.21697223312022612</v>
      </c>
      <c r="N33" s="58">
        <f t="shared" si="16"/>
        <v>0.21697223312022612</v>
      </c>
      <c r="O33" s="59">
        <f t="shared" si="17"/>
        <v>30.814389166365611</v>
      </c>
    </row>
    <row r="34" spans="1:15" x14ac:dyDescent="0.2">
      <c r="A34" s="37">
        <v>1320</v>
      </c>
      <c r="B34" s="55">
        <v>36</v>
      </c>
      <c r="C34" s="56" t="s">
        <v>23</v>
      </c>
      <c r="D34" s="57">
        <f>'Headloss Calcs'!$A$47</f>
        <v>27</v>
      </c>
      <c r="E34" s="53">
        <f t="shared" si="9"/>
        <v>41.778074866310163</v>
      </c>
      <c r="F34" s="38">
        <f>'Headloss Calcs'!$H$18</f>
        <v>100</v>
      </c>
      <c r="G34" s="53">
        <f t="shared" si="10"/>
        <v>7.0686</v>
      </c>
      <c r="H34" s="53">
        <f t="shared" si="11"/>
        <v>9.4247999999999994</v>
      </c>
      <c r="I34" s="53">
        <f t="shared" si="12"/>
        <v>0.75</v>
      </c>
      <c r="J34" s="53">
        <f t="shared" si="13"/>
        <v>5.9103747370497928</v>
      </c>
      <c r="K34" s="53">
        <f t="shared" si="14"/>
        <v>5.9133597651848628</v>
      </c>
      <c r="L34" s="53"/>
      <c r="M34" s="58">
        <f t="shared" si="15"/>
        <v>0</v>
      </c>
      <c r="N34" s="58">
        <f t="shared" si="16"/>
        <v>5.9133597651848628</v>
      </c>
      <c r="O34" s="59">
        <f t="shared" si="17"/>
        <v>36.727748931550472</v>
      </c>
    </row>
    <row r="35" spans="1:15" x14ac:dyDescent="0.2">
      <c r="A35" s="37"/>
      <c r="B35" s="55">
        <v>36</v>
      </c>
      <c r="C35" s="56" t="s">
        <v>45</v>
      </c>
      <c r="D35" s="57">
        <f>'Headloss Calcs'!$A$47</f>
        <v>27</v>
      </c>
      <c r="E35" s="53">
        <f t="shared" si="9"/>
        <v>41.778074866310163</v>
      </c>
      <c r="F35" s="38">
        <f>'Headloss Calcs'!$H$18</f>
        <v>100</v>
      </c>
      <c r="G35" s="53">
        <f t="shared" si="10"/>
        <v>7.0686</v>
      </c>
      <c r="H35" s="53">
        <f t="shared" si="11"/>
        <v>9.4247999999999994</v>
      </c>
      <c r="I35" s="53">
        <f t="shared" si="12"/>
        <v>0.75</v>
      </c>
      <c r="J35" s="53">
        <f t="shared" si="13"/>
        <v>5.9103747370497928</v>
      </c>
      <c r="K35" s="53">
        <f t="shared" si="14"/>
        <v>0</v>
      </c>
      <c r="L35" s="53">
        <v>0.2</v>
      </c>
      <c r="M35" s="58">
        <f t="shared" si="15"/>
        <v>0.10848611656011306</v>
      </c>
      <c r="N35" s="58">
        <f t="shared" si="16"/>
        <v>0.10848611656011306</v>
      </c>
      <c r="O35" s="59">
        <f t="shared" si="17"/>
        <v>36.836235048110588</v>
      </c>
    </row>
    <row r="36" spans="1:15" x14ac:dyDescent="0.2">
      <c r="A36" s="37">
        <v>1320</v>
      </c>
      <c r="B36" s="55">
        <v>36</v>
      </c>
      <c r="C36" s="56" t="s">
        <v>23</v>
      </c>
      <c r="D36" s="57">
        <f>'Headloss Calcs'!$A$47</f>
        <v>27</v>
      </c>
      <c r="E36" s="53">
        <f t="shared" si="9"/>
        <v>41.778074866310163</v>
      </c>
      <c r="F36" s="38">
        <f>'Headloss Calcs'!$H$18</f>
        <v>100</v>
      </c>
      <c r="G36" s="53">
        <f t="shared" si="10"/>
        <v>7.0686</v>
      </c>
      <c r="H36" s="53">
        <f t="shared" si="11"/>
        <v>9.4247999999999994</v>
      </c>
      <c r="I36" s="53">
        <f t="shared" si="12"/>
        <v>0.75</v>
      </c>
      <c r="J36" s="53">
        <f t="shared" si="13"/>
        <v>5.9103747370497928</v>
      </c>
      <c r="K36" s="53">
        <f t="shared" si="14"/>
        <v>5.9133597651848628</v>
      </c>
      <c r="L36" s="53"/>
      <c r="M36" s="58">
        <f t="shared" si="15"/>
        <v>0</v>
      </c>
      <c r="N36" s="58">
        <f t="shared" si="16"/>
        <v>5.9133597651848628</v>
      </c>
      <c r="O36" s="59">
        <f t="shared" si="17"/>
        <v>42.749594813295452</v>
      </c>
    </row>
    <row r="37" spans="1:15" ht="12" customHeight="1" x14ac:dyDescent="0.2">
      <c r="A37" s="37"/>
      <c r="B37" s="55">
        <v>36</v>
      </c>
      <c r="C37" s="56" t="s">
        <v>44</v>
      </c>
      <c r="D37" s="57">
        <f>'Headloss Calcs'!$A$47</f>
        <v>27</v>
      </c>
      <c r="E37" s="53">
        <f t="shared" si="9"/>
        <v>41.778074866310163</v>
      </c>
      <c r="F37" s="38">
        <f>'Headloss Calcs'!$H$18</f>
        <v>100</v>
      </c>
      <c r="G37" s="53">
        <f t="shared" si="10"/>
        <v>7.0686</v>
      </c>
      <c r="H37" s="53">
        <f t="shared" si="11"/>
        <v>9.4247999999999994</v>
      </c>
      <c r="I37" s="53">
        <f t="shared" si="12"/>
        <v>0.75</v>
      </c>
      <c r="J37" s="53">
        <f t="shared" si="13"/>
        <v>5.9103747370497928</v>
      </c>
      <c r="K37" s="53">
        <f t="shared" si="14"/>
        <v>0</v>
      </c>
      <c r="L37" s="53">
        <v>1</v>
      </c>
      <c r="M37" s="58">
        <f t="shared" si="15"/>
        <v>0.54243058280056522</v>
      </c>
      <c r="N37" s="58">
        <f t="shared" si="16"/>
        <v>0.54243058280056522</v>
      </c>
      <c r="O37" s="59">
        <f t="shared" si="17"/>
        <v>43.292025396096015</v>
      </c>
    </row>
    <row r="38" spans="1:15" ht="13.5" thickBot="1" x14ac:dyDescent="0.25">
      <c r="A38" s="39"/>
      <c r="B38" s="40"/>
      <c r="C38" s="41"/>
      <c r="D38" s="40"/>
      <c r="E38" s="42"/>
      <c r="F38" s="40"/>
      <c r="G38" s="54"/>
      <c r="H38" s="54"/>
      <c r="I38" s="54"/>
      <c r="J38" s="54"/>
      <c r="K38" s="54"/>
      <c r="L38" s="54"/>
      <c r="M38" s="60"/>
      <c r="N38" s="60" t="s">
        <v>40</v>
      </c>
      <c r="O38" s="61">
        <f>O37</f>
        <v>43.292025396096015</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50"/>
  <sheetViews>
    <sheetView topLeftCell="A28"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Calcs'!$A$48</f>
        <v>28</v>
      </c>
      <c r="E3" s="53">
        <f t="shared" ref="E3:E18" si="0">D3*1000000/(7.48*24*60*60)</f>
        <v>43.325410972469797</v>
      </c>
      <c r="F3" s="38">
        <f>'Headloss Calcs'!$E$18</f>
        <v>140</v>
      </c>
      <c r="G3" s="53">
        <f t="shared" ref="G3:G18" si="1">3.1416/4*(B3/12)^2</f>
        <v>7.0686</v>
      </c>
      <c r="H3" s="53">
        <f t="shared" ref="H3:H18" si="2">3.1416*(B3/12)</f>
        <v>9.4247999999999994</v>
      </c>
      <c r="I3" s="53">
        <f t="shared" ref="I3:I18" si="3">G3/H3</f>
        <v>0.75</v>
      </c>
      <c r="J3" s="53">
        <f t="shared" ref="J3:J18" si="4">E3/G3</f>
        <v>6.1292775050886732</v>
      </c>
      <c r="K3" s="53">
        <f t="shared" ref="K3:K18" si="5">(J3/(1.318*F3*I3^0.63))^1.85*A3</f>
        <v>0</v>
      </c>
      <c r="L3" s="53">
        <v>0.25</v>
      </c>
      <c r="M3" s="58">
        <f t="shared" ref="M3:M18" si="6">L3*(J3^2)/(2*32.2)</f>
        <v>0.1458386752111259</v>
      </c>
      <c r="N3" s="58">
        <f t="shared" ref="N3:N18" si="7">K3+M3</f>
        <v>0.1458386752111259</v>
      </c>
      <c r="O3" s="59">
        <f>N3</f>
        <v>0.1458386752111259</v>
      </c>
    </row>
    <row r="4" spans="1:15" x14ac:dyDescent="0.2">
      <c r="A4" s="37"/>
      <c r="B4" s="55">
        <v>36</v>
      </c>
      <c r="C4" s="56" t="s">
        <v>47</v>
      </c>
      <c r="D4" s="57">
        <f>'Headloss Calcs'!$A$48</f>
        <v>28</v>
      </c>
      <c r="E4" s="53">
        <f t="shared" si="0"/>
        <v>43.325410972469797</v>
      </c>
      <c r="F4" s="38">
        <f>'Headloss Calcs'!$E$18</f>
        <v>140</v>
      </c>
      <c r="G4" s="53">
        <f t="shared" si="1"/>
        <v>7.0686</v>
      </c>
      <c r="H4" s="53">
        <f t="shared" si="2"/>
        <v>9.4247999999999994</v>
      </c>
      <c r="I4" s="53">
        <f t="shared" si="3"/>
        <v>0.75</v>
      </c>
      <c r="J4" s="53">
        <f t="shared" si="4"/>
        <v>6.1292775050886732</v>
      </c>
      <c r="K4" s="53">
        <f t="shared" si="5"/>
        <v>0</v>
      </c>
      <c r="L4" s="53">
        <v>0.25</v>
      </c>
      <c r="M4" s="58">
        <f t="shared" si="6"/>
        <v>0.1458386752111259</v>
      </c>
      <c r="N4" s="58">
        <f t="shared" si="7"/>
        <v>0.1458386752111259</v>
      </c>
      <c r="O4" s="59">
        <f t="shared" ref="O4:O18" si="8">N4+O3</f>
        <v>0.29167735042225179</v>
      </c>
    </row>
    <row r="5" spans="1:15" x14ac:dyDescent="0.2">
      <c r="A5" s="37">
        <v>1320</v>
      </c>
      <c r="B5" s="55">
        <v>36</v>
      </c>
      <c r="C5" s="56" t="s">
        <v>23</v>
      </c>
      <c r="D5" s="57">
        <f>'Headloss Calcs'!$A$48</f>
        <v>28</v>
      </c>
      <c r="E5" s="53">
        <f t="shared" si="0"/>
        <v>43.325410972469797</v>
      </c>
      <c r="F5" s="38">
        <f>'Headloss Calcs'!$E$18</f>
        <v>140</v>
      </c>
      <c r="G5" s="53">
        <f t="shared" si="1"/>
        <v>7.0686</v>
      </c>
      <c r="H5" s="53">
        <f t="shared" si="2"/>
        <v>9.4247999999999994</v>
      </c>
      <c r="I5" s="53">
        <f t="shared" si="3"/>
        <v>0.75</v>
      </c>
      <c r="J5" s="53">
        <f t="shared" si="4"/>
        <v>6.1292775050886732</v>
      </c>
      <c r="K5" s="53">
        <f t="shared" si="5"/>
        <v>3.3940390150402941</v>
      </c>
      <c r="L5" s="53"/>
      <c r="M5" s="58">
        <f t="shared" si="6"/>
        <v>0</v>
      </c>
      <c r="N5" s="58">
        <f t="shared" si="7"/>
        <v>3.3940390150402941</v>
      </c>
      <c r="O5" s="59">
        <f t="shared" si="8"/>
        <v>3.6857163654625458</v>
      </c>
    </row>
    <row r="6" spans="1:15" x14ac:dyDescent="0.2">
      <c r="A6" s="37"/>
      <c r="B6" s="55">
        <v>36</v>
      </c>
      <c r="C6" s="56" t="s">
        <v>45</v>
      </c>
      <c r="D6" s="57">
        <f>'Headloss Calcs'!$A$48</f>
        <v>28</v>
      </c>
      <c r="E6" s="53">
        <f t="shared" si="0"/>
        <v>43.325410972469797</v>
      </c>
      <c r="F6" s="38">
        <f>'Headloss Calcs'!$E$18</f>
        <v>140</v>
      </c>
      <c r="G6" s="53">
        <f t="shared" si="1"/>
        <v>7.0686</v>
      </c>
      <c r="H6" s="53">
        <f t="shared" si="2"/>
        <v>9.4247999999999994</v>
      </c>
      <c r="I6" s="53">
        <f t="shared" si="3"/>
        <v>0.75</v>
      </c>
      <c r="J6" s="53">
        <f t="shared" si="4"/>
        <v>6.1292775050886732</v>
      </c>
      <c r="K6" s="53">
        <f t="shared" si="5"/>
        <v>0</v>
      </c>
      <c r="L6" s="53">
        <v>0.2</v>
      </c>
      <c r="M6" s="58">
        <f t="shared" si="6"/>
        <v>0.11667094016890073</v>
      </c>
      <c r="N6" s="58">
        <f t="shared" si="7"/>
        <v>0.11667094016890073</v>
      </c>
      <c r="O6" s="59">
        <f t="shared" si="8"/>
        <v>3.8023873056314463</v>
      </c>
    </row>
    <row r="7" spans="1:15" x14ac:dyDescent="0.2">
      <c r="A7" s="37">
        <v>1320</v>
      </c>
      <c r="B7" s="55">
        <v>36</v>
      </c>
      <c r="C7" s="69" t="s">
        <v>23</v>
      </c>
      <c r="D7" s="57">
        <f>'Headloss Calcs'!$A$48</f>
        <v>28</v>
      </c>
      <c r="E7" s="53">
        <f t="shared" si="0"/>
        <v>43.325410972469797</v>
      </c>
      <c r="F7" s="38">
        <f>'Headloss Calcs'!$E$18</f>
        <v>140</v>
      </c>
      <c r="G7" s="53">
        <f t="shared" si="1"/>
        <v>7.0686</v>
      </c>
      <c r="H7" s="53">
        <f t="shared" si="2"/>
        <v>9.4247999999999994</v>
      </c>
      <c r="I7" s="53">
        <f t="shared" si="3"/>
        <v>0.75</v>
      </c>
      <c r="J7" s="53">
        <f t="shared" si="4"/>
        <v>6.1292775050886732</v>
      </c>
      <c r="K7" s="53">
        <f t="shared" si="5"/>
        <v>3.3940390150402941</v>
      </c>
      <c r="L7" s="53"/>
      <c r="M7" s="58">
        <f t="shared" si="6"/>
        <v>0</v>
      </c>
      <c r="N7" s="58">
        <f t="shared" si="7"/>
        <v>3.3940390150402941</v>
      </c>
      <c r="O7" s="59">
        <f t="shared" si="8"/>
        <v>7.1964263206717405</v>
      </c>
    </row>
    <row r="8" spans="1:15" x14ac:dyDescent="0.2">
      <c r="A8" s="37"/>
      <c r="B8" s="55">
        <v>36</v>
      </c>
      <c r="C8" s="56" t="s">
        <v>39</v>
      </c>
      <c r="D8" s="57">
        <f>'Headloss Calcs'!$A$48</f>
        <v>28</v>
      </c>
      <c r="E8" s="53">
        <f t="shared" si="0"/>
        <v>43.325410972469797</v>
      </c>
      <c r="F8" s="38">
        <f>'Headloss Calcs'!$E$18</f>
        <v>140</v>
      </c>
      <c r="G8" s="53">
        <f t="shared" si="1"/>
        <v>7.0686</v>
      </c>
      <c r="H8" s="53">
        <f t="shared" si="2"/>
        <v>9.4247999999999994</v>
      </c>
      <c r="I8" s="53">
        <f t="shared" si="3"/>
        <v>0.75</v>
      </c>
      <c r="J8" s="53">
        <f t="shared" si="4"/>
        <v>6.1292775050886732</v>
      </c>
      <c r="K8" s="53">
        <f t="shared" si="5"/>
        <v>0</v>
      </c>
      <c r="L8" s="53">
        <v>0.4</v>
      </c>
      <c r="M8" s="58">
        <f t="shared" si="6"/>
        <v>0.23334188033780145</v>
      </c>
      <c r="N8" s="58">
        <f t="shared" si="7"/>
        <v>0.23334188033780145</v>
      </c>
      <c r="O8" s="59">
        <f t="shared" si="8"/>
        <v>7.4297682010095416</v>
      </c>
    </row>
    <row r="9" spans="1:15" x14ac:dyDescent="0.2">
      <c r="A9" s="37">
        <v>1320</v>
      </c>
      <c r="B9" s="55">
        <v>36</v>
      </c>
      <c r="C9" s="56" t="s">
        <v>23</v>
      </c>
      <c r="D9" s="57">
        <f>'Headloss Calcs'!$A$48</f>
        <v>28</v>
      </c>
      <c r="E9" s="53">
        <f t="shared" si="0"/>
        <v>43.325410972469797</v>
      </c>
      <c r="F9" s="38">
        <f>'Headloss Calcs'!$E$18</f>
        <v>140</v>
      </c>
      <c r="G9" s="53">
        <f t="shared" si="1"/>
        <v>7.0686</v>
      </c>
      <c r="H9" s="53">
        <f t="shared" si="2"/>
        <v>9.4247999999999994</v>
      </c>
      <c r="I9" s="53">
        <f t="shared" si="3"/>
        <v>0.75</v>
      </c>
      <c r="J9" s="53">
        <f t="shared" si="4"/>
        <v>6.1292775050886732</v>
      </c>
      <c r="K9" s="53">
        <f t="shared" si="5"/>
        <v>3.3940390150402941</v>
      </c>
      <c r="L9" s="53"/>
      <c r="M9" s="58">
        <f t="shared" si="6"/>
        <v>0</v>
      </c>
      <c r="N9" s="58">
        <f t="shared" si="7"/>
        <v>3.3940390150402941</v>
      </c>
      <c r="O9" s="59">
        <f t="shared" si="8"/>
        <v>10.823807216049836</v>
      </c>
    </row>
    <row r="10" spans="1:15" x14ac:dyDescent="0.2">
      <c r="A10" s="37"/>
      <c r="B10" s="55">
        <v>36</v>
      </c>
      <c r="C10" s="56" t="s">
        <v>39</v>
      </c>
      <c r="D10" s="57">
        <f>'Headloss Calcs'!$A$48</f>
        <v>28</v>
      </c>
      <c r="E10" s="53">
        <f t="shared" si="0"/>
        <v>43.325410972469797</v>
      </c>
      <c r="F10" s="38">
        <f>'Headloss Calcs'!$E$18</f>
        <v>140</v>
      </c>
      <c r="G10" s="53">
        <f t="shared" si="1"/>
        <v>7.0686</v>
      </c>
      <c r="H10" s="53">
        <f t="shared" si="2"/>
        <v>9.4247999999999994</v>
      </c>
      <c r="I10" s="53">
        <f t="shared" si="3"/>
        <v>0.75</v>
      </c>
      <c r="J10" s="53">
        <f t="shared" si="4"/>
        <v>6.1292775050886732</v>
      </c>
      <c r="K10" s="53">
        <f t="shared" si="5"/>
        <v>0</v>
      </c>
      <c r="L10" s="53">
        <v>0.4</v>
      </c>
      <c r="M10" s="58">
        <f t="shared" si="6"/>
        <v>0.23334188033780145</v>
      </c>
      <c r="N10" s="58">
        <f t="shared" si="7"/>
        <v>0.23334188033780145</v>
      </c>
      <c r="O10" s="59">
        <f t="shared" si="8"/>
        <v>11.057149096387638</v>
      </c>
    </row>
    <row r="11" spans="1:15" x14ac:dyDescent="0.2">
      <c r="A11" s="37">
        <v>1320</v>
      </c>
      <c r="B11" s="55">
        <v>36</v>
      </c>
      <c r="C11" s="56" t="s">
        <v>23</v>
      </c>
      <c r="D11" s="57">
        <f>'Headloss Calcs'!$A$48</f>
        <v>28</v>
      </c>
      <c r="E11" s="53">
        <f t="shared" si="0"/>
        <v>43.325410972469797</v>
      </c>
      <c r="F11" s="38">
        <f>'Headloss Calcs'!$E$18</f>
        <v>140</v>
      </c>
      <c r="G11" s="53">
        <f t="shared" si="1"/>
        <v>7.0686</v>
      </c>
      <c r="H11" s="53">
        <f t="shared" si="2"/>
        <v>9.4247999999999994</v>
      </c>
      <c r="I11" s="53">
        <f t="shared" si="3"/>
        <v>0.75</v>
      </c>
      <c r="J11" s="53">
        <f t="shared" si="4"/>
        <v>6.1292775050886732</v>
      </c>
      <c r="K11" s="53">
        <f t="shared" si="5"/>
        <v>3.3940390150402941</v>
      </c>
      <c r="L11" s="53"/>
      <c r="M11" s="58">
        <f t="shared" si="6"/>
        <v>0</v>
      </c>
      <c r="N11" s="58">
        <f t="shared" si="7"/>
        <v>3.3940390150402941</v>
      </c>
      <c r="O11" s="59">
        <f t="shared" si="8"/>
        <v>14.451188111427932</v>
      </c>
    </row>
    <row r="12" spans="1:15" x14ac:dyDescent="0.2">
      <c r="A12" s="37"/>
      <c r="B12" s="55">
        <v>36</v>
      </c>
      <c r="C12" s="56" t="s">
        <v>48</v>
      </c>
      <c r="D12" s="57">
        <f>'Headloss Calcs'!$A$48</f>
        <v>28</v>
      </c>
      <c r="E12" s="53">
        <f t="shared" si="0"/>
        <v>43.325410972469797</v>
      </c>
      <c r="F12" s="38">
        <f>'Headloss Calcs'!$E$18</f>
        <v>140</v>
      </c>
      <c r="G12" s="53">
        <f t="shared" si="1"/>
        <v>7.0686</v>
      </c>
      <c r="H12" s="53">
        <f t="shared" si="2"/>
        <v>9.4247999999999994</v>
      </c>
      <c r="I12" s="53">
        <f t="shared" si="3"/>
        <v>0.75</v>
      </c>
      <c r="J12" s="53">
        <f t="shared" si="4"/>
        <v>6.1292775050886732</v>
      </c>
      <c r="K12" s="53">
        <f t="shared" si="5"/>
        <v>0</v>
      </c>
      <c r="L12" s="53">
        <v>0.4</v>
      </c>
      <c r="M12" s="58">
        <f t="shared" si="6"/>
        <v>0.23334188033780145</v>
      </c>
      <c r="N12" s="58">
        <f t="shared" si="7"/>
        <v>0.23334188033780145</v>
      </c>
      <c r="O12" s="59">
        <f t="shared" si="8"/>
        <v>14.684529991765734</v>
      </c>
    </row>
    <row r="13" spans="1:15" x14ac:dyDescent="0.2">
      <c r="A13" s="37">
        <v>1320</v>
      </c>
      <c r="B13" s="55">
        <v>36</v>
      </c>
      <c r="C13" s="56" t="s">
        <v>23</v>
      </c>
      <c r="D13" s="57">
        <f>'Headloss Calcs'!$A$48</f>
        <v>28</v>
      </c>
      <c r="E13" s="53">
        <f t="shared" si="0"/>
        <v>43.325410972469797</v>
      </c>
      <c r="F13" s="38">
        <f>'Headloss Calcs'!$E$18</f>
        <v>140</v>
      </c>
      <c r="G13" s="53">
        <f t="shared" si="1"/>
        <v>7.0686</v>
      </c>
      <c r="H13" s="53">
        <f t="shared" si="2"/>
        <v>9.4247999999999994</v>
      </c>
      <c r="I13" s="53">
        <f t="shared" si="3"/>
        <v>0.75</v>
      </c>
      <c r="J13" s="53">
        <f t="shared" si="4"/>
        <v>6.1292775050886732</v>
      </c>
      <c r="K13" s="53">
        <f t="shared" si="5"/>
        <v>3.3940390150402941</v>
      </c>
      <c r="L13" s="53"/>
      <c r="M13" s="58">
        <f t="shared" si="6"/>
        <v>0</v>
      </c>
      <c r="N13" s="58">
        <f t="shared" si="7"/>
        <v>3.3940390150402941</v>
      </c>
      <c r="O13" s="59">
        <f t="shared" si="8"/>
        <v>18.078569006806028</v>
      </c>
    </row>
    <row r="14" spans="1:15" x14ac:dyDescent="0.2">
      <c r="A14" s="37"/>
      <c r="B14" s="55">
        <v>36</v>
      </c>
      <c r="C14" s="56" t="s">
        <v>39</v>
      </c>
      <c r="D14" s="57">
        <f>'Headloss Calcs'!$A$48</f>
        <v>28</v>
      </c>
      <c r="E14" s="53">
        <f t="shared" si="0"/>
        <v>43.325410972469797</v>
      </c>
      <c r="F14" s="38">
        <f>'Headloss Calcs'!$E$18</f>
        <v>140</v>
      </c>
      <c r="G14" s="53">
        <f t="shared" si="1"/>
        <v>7.0686</v>
      </c>
      <c r="H14" s="53">
        <f t="shared" si="2"/>
        <v>9.4247999999999994</v>
      </c>
      <c r="I14" s="53">
        <f t="shared" si="3"/>
        <v>0.75</v>
      </c>
      <c r="J14" s="53">
        <f t="shared" si="4"/>
        <v>6.1292775050886732</v>
      </c>
      <c r="K14" s="53">
        <f t="shared" si="5"/>
        <v>0</v>
      </c>
      <c r="L14" s="53">
        <v>0.4</v>
      </c>
      <c r="M14" s="58">
        <f t="shared" si="6"/>
        <v>0.23334188033780145</v>
      </c>
      <c r="N14" s="58">
        <f t="shared" si="7"/>
        <v>0.23334188033780145</v>
      </c>
      <c r="O14" s="59">
        <f t="shared" si="8"/>
        <v>18.311910887143828</v>
      </c>
    </row>
    <row r="15" spans="1:15" x14ac:dyDescent="0.2">
      <c r="A15" s="37">
        <v>1320</v>
      </c>
      <c r="B15" s="55">
        <v>36</v>
      </c>
      <c r="C15" s="56" t="s">
        <v>23</v>
      </c>
      <c r="D15" s="57">
        <f>'Headloss Calcs'!$A$48</f>
        <v>28</v>
      </c>
      <c r="E15" s="53">
        <f t="shared" si="0"/>
        <v>43.325410972469797</v>
      </c>
      <c r="F15" s="38">
        <f>'Headloss Calcs'!$E$18</f>
        <v>140</v>
      </c>
      <c r="G15" s="53">
        <f t="shared" si="1"/>
        <v>7.0686</v>
      </c>
      <c r="H15" s="53">
        <f t="shared" si="2"/>
        <v>9.4247999999999994</v>
      </c>
      <c r="I15" s="53">
        <f t="shared" si="3"/>
        <v>0.75</v>
      </c>
      <c r="J15" s="53">
        <f t="shared" si="4"/>
        <v>6.1292775050886732</v>
      </c>
      <c r="K15" s="53">
        <f t="shared" si="5"/>
        <v>3.3940390150402941</v>
      </c>
      <c r="L15" s="53"/>
      <c r="M15" s="58">
        <f t="shared" si="6"/>
        <v>0</v>
      </c>
      <c r="N15" s="58">
        <f t="shared" si="7"/>
        <v>3.3940390150402941</v>
      </c>
      <c r="O15" s="59">
        <f t="shared" si="8"/>
        <v>21.705949902184123</v>
      </c>
    </row>
    <row r="16" spans="1:15" x14ac:dyDescent="0.2">
      <c r="A16" s="37"/>
      <c r="B16" s="55">
        <v>36</v>
      </c>
      <c r="C16" s="56" t="s">
        <v>45</v>
      </c>
      <c r="D16" s="57">
        <f>'Headloss Calcs'!$A$48</f>
        <v>28</v>
      </c>
      <c r="E16" s="53">
        <f t="shared" si="0"/>
        <v>43.325410972469797</v>
      </c>
      <c r="F16" s="38">
        <f>'Headloss Calcs'!$E$18</f>
        <v>140</v>
      </c>
      <c r="G16" s="53">
        <f t="shared" si="1"/>
        <v>7.0686</v>
      </c>
      <c r="H16" s="53">
        <f t="shared" si="2"/>
        <v>9.4247999999999994</v>
      </c>
      <c r="I16" s="53">
        <f t="shared" si="3"/>
        <v>0.75</v>
      </c>
      <c r="J16" s="53">
        <f t="shared" si="4"/>
        <v>6.1292775050886732</v>
      </c>
      <c r="K16" s="53">
        <f t="shared" si="5"/>
        <v>0</v>
      </c>
      <c r="L16" s="53">
        <v>0.2</v>
      </c>
      <c r="M16" s="58">
        <f t="shared" si="6"/>
        <v>0.11667094016890073</v>
      </c>
      <c r="N16" s="58">
        <f t="shared" si="7"/>
        <v>0.11667094016890073</v>
      </c>
      <c r="O16" s="59">
        <f t="shared" si="8"/>
        <v>21.822620842353025</v>
      </c>
    </row>
    <row r="17" spans="1:15" x14ac:dyDescent="0.2">
      <c r="A17" s="37">
        <v>1320</v>
      </c>
      <c r="B17" s="55">
        <v>36</v>
      </c>
      <c r="C17" s="56" t="s">
        <v>23</v>
      </c>
      <c r="D17" s="57">
        <f>'Headloss Calcs'!$A$48</f>
        <v>28</v>
      </c>
      <c r="E17" s="53">
        <f t="shared" si="0"/>
        <v>43.325410972469797</v>
      </c>
      <c r="F17" s="38">
        <f>'Headloss Calcs'!$E$18</f>
        <v>140</v>
      </c>
      <c r="G17" s="53">
        <f t="shared" si="1"/>
        <v>7.0686</v>
      </c>
      <c r="H17" s="53">
        <f t="shared" si="2"/>
        <v>9.4247999999999994</v>
      </c>
      <c r="I17" s="53">
        <f t="shared" si="3"/>
        <v>0.75</v>
      </c>
      <c r="J17" s="53">
        <f t="shared" si="4"/>
        <v>6.1292775050886732</v>
      </c>
      <c r="K17" s="53">
        <f t="shared" si="5"/>
        <v>3.3940390150402941</v>
      </c>
      <c r="L17" s="53"/>
      <c r="M17" s="58">
        <f t="shared" si="6"/>
        <v>0</v>
      </c>
      <c r="N17" s="58">
        <f t="shared" si="7"/>
        <v>3.3940390150402941</v>
      </c>
      <c r="O17" s="59">
        <f t="shared" si="8"/>
        <v>25.216659857393321</v>
      </c>
    </row>
    <row r="18" spans="1:15" ht="12" customHeight="1" x14ac:dyDescent="0.2">
      <c r="A18" s="37"/>
      <c r="B18" s="55">
        <v>36</v>
      </c>
      <c r="C18" s="56" t="s">
        <v>44</v>
      </c>
      <c r="D18" s="57">
        <f>'Headloss Calcs'!$A$48</f>
        <v>28</v>
      </c>
      <c r="E18" s="53">
        <f t="shared" si="0"/>
        <v>43.325410972469797</v>
      </c>
      <c r="F18" s="38">
        <f>'Headloss Calcs'!$E$18</f>
        <v>140</v>
      </c>
      <c r="G18" s="53">
        <f t="shared" si="1"/>
        <v>7.0686</v>
      </c>
      <c r="H18" s="53">
        <f t="shared" si="2"/>
        <v>9.4247999999999994</v>
      </c>
      <c r="I18" s="53">
        <f t="shared" si="3"/>
        <v>0.75</v>
      </c>
      <c r="J18" s="53">
        <f t="shared" si="4"/>
        <v>6.1292775050886732</v>
      </c>
      <c r="K18" s="53">
        <f t="shared" si="5"/>
        <v>0</v>
      </c>
      <c r="L18" s="53">
        <v>1</v>
      </c>
      <c r="M18" s="58">
        <f t="shared" si="6"/>
        <v>0.58335470084450358</v>
      </c>
      <c r="N18" s="58">
        <f t="shared" si="7"/>
        <v>0.58335470084450358</v>
      </c>
      <c r="O18" s="59">
        <f t="shared" si="8"/>
        <v>25.800014558237823</v>
      </c>
    </row>
    <row r="19" spans="1:15" ht="13.5" thickBot="1" x14ac:dyDescent="0.25">
      <c r="A19" s="39"/>
      <c r="B19" s="40"/>
      <c r="C19" s="41"/>
      <c r="D19" s="40"/>
      <c r="E19" s="42"/>
      <c r="F19" s="40"/>
      <c r="G19" s="54"/>
      <c r="H19" s="54"/>
      <c r="I19" s="54"/>
      <c r="J19" s="54"/>
      <c r="K19" s="54"/>
      <c r="L19" s="54"/>
      <c r="M19" s="60"/>
      <c r="N19" s="60" t="s">
        <v>40</v>
      </c>
      <c r="O19" s="61">
        <f>O18</f>
        <v>25.800014558237823</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Calcs'!$A$48</f>
        <v>28</v>
      </c>
      <c r="E22" s="53">
        <f t="shared" ref="E22:E37" si="9">D22*1000000/(7.48*24*60*60)</f>
        <v>43.325410972469797</v>
      </c>
      <c r="F22" s="38">
        <f>'Headloss Calcs'!$H$18</f>
        <v>100</v>
      </c>
      <c r="G22" s="53">
        <f t="shared" ref="G22:G37" si="10">3.1416/4*(B22/12)^2</f>
        <v>7.0686</v>
      </c>
      <c r="H22" s="53">
        <f t="shared" ref="H22:H37" si="11">3.1416*(B22/12)</f>
        <v>9.4247999999999994</v>
      </c>
      <c r="I22" s="53">
        <f t="shared" ref="I22:I37" si="12">G22/H22</f>
        <v>0.75</v>
      </c>
      <c r="J22" s="53">
        <f t="shared" ref="J22:J37" si="13">E22/G22</f>
        <v>6.1292775050886732</v>
      </c>
      <c r="K22" s="53">
        <f t="shared" ref="K22:K37" si="14">(J22/(1.318*F22*I22^0.63))^1.85*A22</f>
        <v>0</v>
      </c>
      <c r="L22" s="53">
        <v>0.25</v>
      </c>
      <c r="M22" s="58">
        <f t="shared" ref="M22:M37" si="15">L22*(J22^2)/(2*32.2)</f>
        <v>0.1458386752111259</v>
      </c>
      <c r="N22" s="58">
        <f t="shared" ref="N22:N37" si="16">K22+M22</f>
        <v>0.1458386752111259</v>
      </c>
      <c r="O22" s="59">
        <f>N22</f>
        <v>0.1458386752111259</v>
      </c>
    </row>
    <row r="23" spans="1:15" x14ac:dyDescent="0.2">
      <c r="A23" s="37"/>
      <c r="B23" s="55">
        <v>36</v>
      </c>
      <c r="C23" s="56" t="s">
        <v>47</v>
      </c>
      <c r="D23" s="57">
        <f>'Headloss Calcs'!$A$48</f>
        <v>28</v>
      </c>
      <c r="E23" s="53">
        <f t="shared" si="9"/>
        <v>43.325410972469797</v>
      </c>
      <c r="F23" s="38">
        <f>'Headloss Calcs'!$H$18</f>
        <v>100</v>
      </c>
      <c r="G23" s="53">
        <f t="shared" si="10"/>
        <v>7.0686</v>
      </c>
      <c r="H23" s="53">
        <f t="shared" si="11"/>
        <v>9.4247999999999994</v>
      </c>
      <c r="I23" s="53">
        <f t="shared" si="12"/>
        <v>0.75</v>
      </c>
      <c r="J23" s="53">
        <f t="shared" si="13"/>
        <v>6.1292775050886732</v>
      </c>
      <c r="K23" s="53">
        <f t="shared" si="14"/>
        <v>0</v>
      </c>
      <c r="L23" s="53">
        <v>0.25</v>
      </c>
      <c r="M23" s="58">
        <f t="shared" si="15"/>
        <v>0.1458386752111259</v>
      </c>
      <c r="N23" s="58">
        <f t="shared" si="16"/>
        <v>0.1458386752111259</v>
      </c>
      <c r="O23" s="59">
        <f t="shared" ref="O23:O37" si="17">N23+O22</f>
        <v>0.29167735042225179</v>
      </c>
    </row>
    <row r="24" spans="1:15" x14ac:dyDescent="0.2">
      <c r="A24" s="37">
        <v>1320</v>
      </c>
      <c r="B24" s="55">
        <v>36</v>
      </c>
      <c r="C24" s="56" t="s">
        <v>23</v>
      </c>
      <c r="D24" s="57">
        <f>'Headloss Calcs'!$A$48</f>
        <v>28</v>
      </c>
      <c r="E24" s="53">
        <f t="shared" si="9"/>
        <v>43.325410972469797</v>
      </c>
      <c r="F24" s="38">
        <f>'Headloss Calcs'!$H$18</f>
        <v>100</v>
      </c>
      <c r="G24" s="53">
        <f t="shared" si="10"/>
        <v>7.0686</v>
      </c>
      <c r="H24" s="53">
        <f t="shared" si="11"/>
        <v>9.4247999999999994</v>
      </c>
      <c r="I24" s="53">
        <f t="shared" si="12"/>
        <v>0.75</v>
      </c>
      <c r="J24" s="53">
        <f t="shared" si="13"/>
        <v>6.1292775050886732</v>
      </c>
      <c r="K24" s="53">
        <f t="shared" si="14"/>
        <v>6.3249004780420215</v>
      </c>
      <c r="L24" s="53"/>
      <c r="M24" s="58">
        <f t="shared" si="15"/>
        <v>0</v>
      </c>
      <c r="N24" s="58">
        <f t="shared" si="16"/>
        <v>6.3249004780420215</v>
      </c>
      <c r="O24" s="59">
        <f t="shared" si="17"/>
        <v>6.6165778284642736</v>
      </c>
    </row>
    <row r="25" spans="1:15" x14ac:dyDescent="0.2">
      <c r="A25" s="37"/>
      <c r="B25" s="55">
        <v>36</v>
      </c>
      <c r="C25" s="56" t="s">
        <v>45</v>
      </c>
      <c r="D25" s="57">
        <f>'Headloss Calcs'!$A$48</f>
        <v>28</v>
      </c>
      <c r="E25" s="53">
        <f t="shared" si="9"/>
        <v>43.325410972469797</v>
      </c>
      <c r="F25" s="38">
        <f>'Headloss Calcs'!$H$18</f>
        <v>100</v>
      </c>
      <c r="G25" s="53">
        <f t="shared" si="10"/>
        <v>7.0686</v>
      </c>
      <c r="H25" s="53">
        <f t="shared" si="11"/>
        <v>9.4247999999999994</v>
      </c>
      <c r="I25" s="53">
        <f t="shared" si="12"/>
        <v>0.75</v>
      </c>
      <c r="J25" s="53">
        <f t="shared" si="13"/>
        <v>6.1292775050886732</v>
      </c>
      <c r="K25" s="53">
        <f t="shared" si="14"/>
        <v>0</v>
      </c>
      <c r="L25" s="53">
        <v>0.2</v>
      </c>
      <c r="M25" s="58">
        <f t="shared" si="15"/>
        <v>0.11667094016890073</v>
      </c>
      <c r="N25" s="58">
        <f t="shared" si="16"/>
        <v>0.11667094016890073</v>
      </c>
      <c r="O25" s="59">
        <f t="shared" si="17"/>
        <v>6.7332487686331746</v>
      </c>
    </row>
    <row r="26" spans="1:15" x14ac:dyDescent="0.2">
      <c r="A26" s="37">
        <v>1320</v>
      </c>
      <c r="B26" s="55">
        <v>36</v>
      </c>
      <c r="C26" s="69" t="s">
        <v>23</v>
      </c>
      <c r="D26" s="57">
        <f>'Headloss Calcs'!$A$48</f>
        <v>28</v>
      </c>
      <c r="E26" s="53">
        <f t="shared" si="9"/>
        <v>43.325410972469797</v>
      </c>
      <c r="F26" s="38">
        <f>'Headloss Calcs'!$H$18</f>
        <v>100</v>
      </c>
      <c r="G26" s="53">
        <f t="shared" si="10"/>
        <v>7.0686</v>
      </c>
      <c r="H26" s="53">
        <f t="shared" si="11"/>
        <v>9.4247999999999994</v>
      </c>
      <c r="I26" s="53">
        <f t="shared" si="12"/>
        <v>0.75</v>
      </c>
      <c r="J26" s="53">
        <f t="shared" si="13"/>
        <v>6.1292775050886732</v>
      </c>
      <c r="K26" s="53">
        <f t="shared" si="14"/>
        <v>6.3249004780420215</v>
      </c>
      <c r="L26" s="53"/>
      <c r="M26" s="58">
        <f t="shared" si="15"/>
        <v>0</v>
      </c>
      <c r="N26" s="58">
        <f t="shared" si="16"/>
        <v>6.3249004780420215</v>
      </c>
      <c r="O26" s="59">
        <f t="shared" si="17"/>
        <v>13.058149246675196</v>
      </c>
    </row>
    <row r="27" spans="1:15" x14ac:dyDescent="0.2">
      <c r="A27" s="37"/>
      <c r="B27" s="55">
        <v>36</v>
      </c>
      <c r="C27" s="56" t="s">
        <v>39</v>
      </c>
      <c r="D27" s="57">
        <f>'Headloss Calcs'!$A$48</f>
        <v>28</v>
      </c>
      <c r="E27" s="53">
        <f t="shared" si="9"/>
        <v>43.325410972469797</v>
      </c>
      <c r="F27" s="38">
        <f>'Headloss Calcs'!$H$18</f>
        <v>100</v>
      </c>
      <c r="G27" s="53">
        <f t="shared" si="10"/>
        <v>7.0686</v>
      </c>
      <c r="H27" s="53">
        <f t="shared" si="11"/>
        <v>9.4247999999999994</v>
      </c>
      <c r="I27" s="53">
        <f t="shared" si="12"/>
        <v>0.75</v>
      </c>
      <c r="J27" s="53">
        <f t="shared" si="13"/>
        <v>6.1292775050886732</v>
      </c>
      <c r="K27" s="53">
        <f t="shared" si="14"/>
        <v>0</v>
      </c>
      <c r="L27" s="53">
        <v>0.4</v>
      </c>
      <c r="M27" s="58">
        <f t="shared" si="15"/>
        <v>0.23334188033780145</v>
      </c>
      <c r="N27" s="58">
        <f t="shared" si="16"/>
        <v>0.23334188033780145</v>
      </c>
      <c r="O27" s="59">
        <f t="shared" si="17"/>
        <v>13.291491127012998</v>
      </c>
    </row>
    <row r="28" spans="1:15" x14ac:dyDescent="0.2">
      <c r="A28" s="37">
        <v>1320</v>
      </c>
      <c r="B28" s="55">
        <v>36</v>
      </c>
      <c r="C28" s="56" t="s">
        <v>23</v>
      </c>
      <c r="D28" s="57">
        <f>'Headloss Calcs'!$A$48</f>
        <v>28</v>
      </c>
      <c r="E28" s="53">
        <f t="shared" si="9"/>
        <v>43.325410972469797</v>
      </c>
      <c r="F28" s="38">
        <f>'Headloss Calcs'!$H$18</f>
        <v>100</v>
      </c>
      <c r="G28" s="53">
        <f t="shared" si="10"/>
        <v>7.0686</v>
      </c>
      <c r="H28" s="53">
        <f t="shared" si="11"/>
        <v>9.4247999999999994</v>
      </c>
      <c r="I28" s="53">
        <f t="shared" si="12"/>
        <v>0.75</v>
      </c>
      <c r="J28" s="53">
        <f t="shared" si="13"/>
        <v>6.1292775050886732</v>
      </c>
      <c r="K28" s="53">
        <f t="shared" si="14"/>
        <v>6.3249004780420215</v>
      </c>
      <c r="L28" s="53"/>
      <c r="M28" s="58">
        <f t="shared" si="15"/>
        <v>0</v>
      </c>
      <c r="N28" s="58">
        <f t="shared" si="16"/>
        <v>6.3249004780420215</v>
      </c>
      <c r="O28" s="59">
        <f t="shared" si="17"/>
        <v>19.616391605055021</v>
      </c>
    </row>
    <row r="29" spans="1:15" x14ac:dyDescent="0.2">
      <c r="A29" s="37"/>
      <c r="B29" s="55">
        <v>36</v>
      </c>
      <c r="C29" s="56" t="s">
        <v>39</v>
      </c>
      <c r="D29" s="57">
        <f>'Headloss Calcs'!$A$48</f>
        <v>28</v>
      </c>
      <c r="E29" s="53">
        <f t="shared" si="9"/>
        <v>43.325410972469797</v>
      </c>
      <c r="F29" s="38">
        <f>'Headloss Calcs'!$H$18</f>
        <v>100</v>
      </c>
      <c r="G29" s="53">
        <f t="shared" si="10"/>
        <v>7.0686</v>
      </c>
      <c r="H29" s="53">
        <f t="shared" si="11"/>
        <v>9.4247999999999994</v>
      </c>
      <c r="I29" s="53">
        <f t="shared" si="12"/>
        <v>0.75</v>
      </c>
      <c r="J29" s="53">
        <f t="shared" si="13"/>
        <v>6.1292775050886732</v>
      </c>
      <c r="K29" s="53">
        <f t="shared" si="14"/>
        <v>0</v>
      </c>
      <c r="L29" s="53">
        <v>0.4</v>
      </c>
      <c r="M29" s="58">
        <f t="shared" si="15"/>
        <v>0.23334188033780145</v>
      </c>
      <c r="N29" s="58">
        <f t="shared" si="16"/>
        <v>0.23334188033780145</v>
      </c>
      <c r="O29" s="59">
        <f t="shared" si="17"/>
        <v>19.849733485392822</v>
      </c>
    </row>
    <row r="30" spans="1:15" x14ac:dyDescent="0.2">
      <c r="A30" s="37">
        <v>1320</v>
      </c>
      <c r="B30" s="55">
        <v>36</v>
      </c>
      <c r="C30" s="56" t="s">
        <v>23</v>
      </c>
      <c r="D30" s="57">
        <f>'Headloss Calcs'!$A$48</f>
        <v>28</v>
      </c>
      <c r="E30" s="53">
        <f t="shared" si="9"/>
        <v>43.325410972469797</v>
      </c>
      <c r="F30" s="38">
        <f>'Headloss Calcs'!$H$18</f>
        <v>100</v>
      </c>
      <c r="G30" s="53">
        <f t="shared" si="10"/>
        <v>7.0686</v>
      </c>
      <c r="H30" s="53">
        <f t="shared" si="11"/>
        <v>9.4247999999999994</v>
      </c>
      <c r="I30" s="53">
        <f t="shared" si="12"/>
        <v>0.75</v>
      </c>
      <c r="J30" s="53">
        <f t="shared" si="13"/>
        <v>6.1292775050886732</v>
      </c>
      <c r="K30" s="53">
        <f t="shared" si="14"/>
        <v>6.3249004780420215</v>
      </c>
      <c r="L30" s="53"/>
      <c r="M30" s="58">
        <f t="shared" si="15"/>
        <v>0</v>
      </c>
      <c r="N30" s="58">
        <f t="shared" si="16"/>
        <v>6.3249004780420215</v>
      </c>
      <c r="O30" s="59">
        <f t="shared" si="17"/>
        <v>26.174633963434843</v>
      </c>
    </row>
    <row r="31" spans="1:15" x14ac:dyDescent="0.2">
      <c r="A31" s="37"/>
      <c r="B31" s="55">
        <v>36</v>
      </c>
      <c r="C31" s="56" t="s">
        <v>48</v>
      </c>
      <c r="D31" s="57">
        <f>'Headloss Calcs'!$A$48</f>
        <v>28</v>
      </c>
      <c r="E31" s="53">
        <f t="shared" si="9"/>
        <v>43.325410972469797</v>
      </c>
      <c r="F31" s="38">
        <f>'Headloss Calcs'!$H$18</f>
        <v>100</v>
      </c>
      <c r="G31" s="53">
        <f t="shared" si="10"/>
        <v>7.0686</v>
      </c>
      <c r="H31" s="53">
        <f t="shared" si="11"/>
        <v>9.4247999999999994</v>
      </c>
      <c r="I31" s="53">
        <f t="shared" si="12"/>
        <v>0.75</v>
      </c>
      <c r="J31" s="53">
        <f t="shared" si="13"/>
        <v>6.1292775050886732</v>
      </c>
      <c r="K31" s="53">
        <f t="shared" si="14"/>
        <v>0</v>
      </c>
      <c r="L31" s="53">
        <v>0.4</v>
      </c>
      <c r="M31" s="58">
        <f t="shared" si="15"/>
        <v>0.23334188033780145</v>
      </c>
      <c r="N31" s="58">
        <f t="shared" si="16"/>
        <v>0.23334188033780145</v>
      </c>
      <c r="O31" s="59">
        <f t="shared" si="17"/>
        <v>26.407975843772643</v>
      </c>
    </row>
    <row r="32" spans="1:15" x14ac:dyDescent="0.2">
      <c r="A32" s="37">
        <v>1320</v>
      </c>
      <c r="B32" s="55">
        <v>36</v>
      </c>
      <c r="C32" s="56" t="s">
        <v>23</v>
      </c>
      <c r="D32" s="57">
        <f>'Headloss Calcs'!$A$48</f>
        <v>28</v>
      </c>
      <c r="E32" s="53">
        <f t="shared" si="9"/>
        <v>43.325410972469797</v>
      </c>
      <c r="F32" s="38">
        <f>'Headloss Calcs'!$H$18</f>
        <v>100</v>
      </c>
      <c r="G32" s="53">
        <f t="shared" si="10"/>
        <v>7.0686</v>
      </c>
      <c r="H32" s="53">
        <f t="shared" si="11"/>
        <v>9.4247999999999994</v>
      </c>
      <c r="I32" s="53">
        <f t="shared" si="12"/>
        <v>0.75</v>
      </c>
      <c r="J32" s="53">
        <f t="shared" si="13"/>
        <v>6.1292775050886732</v>
      </c>
      <c r="K32" s="53">
        <f t="shared" si="14"/>
        <v>6.3249004780420215</v>
      </c>
      <c r="L32" s="53"/>
      <c r="M32" s="58">
        <f t="shared" si="15"/>
        <v>0</v>
      </c>
      <c r="N32" s="58">
        <f t="shared" si="16"/>
        <v>6.3249004780420215</v>
      </c>
      <c r="O32" s="59">
        <f t="shared" si="17"/>
        <v>32.732876321814665</v>
      </c>
    </row>
    <row r="33" spans="1:15" x14ac:dyDescent="0.2">
      <c r="A33" s="37"/>
      <c r="B33" s="55">
        <v>36</v>
      </c>
      <c r="C33" s="56" t="s">
        <v>39</v>
      </c>
      <c r="D33" s="57">
        <f>'Headloss Calcs'!$A$48</f>
        <v>28</v>
      </c>
      <c r="E33" s="53">
        <f t="shared" si="9"/>
        <v>43.325410972469797</v>
      </c>
      <c r="F33" s="38">
        <f>'Headloss Calcs'!$H$18</f>
        <v>100</v>
      </c>
      <c r="G33" s="53">
        <f t="shared" si="10"/>
        <v>7.0686</v>
      </c>
      <c r="H33" s="53">
        <f t="shared" si="11"/>
        <v>9.4247999999999994</v>
      </c>
      <c r="I33" s="53">
        <f t="shared" si="12"/>
        <v>0.75</v>
      </c>
      <c r="J33" s="53">
        <f t="shared" si="13"/>
        <v>6.1292775050886732</v>
      </c>
      <c r="K33" s="53">
        <f t="shared" si="14"/>
        <v>0</v>
      </c>
      <c r="L33" s="53">
        <v>0.4</v>
      </c>
      <c r="M33" s="58">
        <f t="shared" si="15"/>
        <v>0.23334188033780145</v>
      </c>
      <c r="N33" s="58">
        <f t="shared" si="16"/>
        <v>0.23334188033780145</v>
      </c>
      <c r="O33" s="59">
        <f t="shared" si="17"/>
        <v>32.966218202152469</v>
      </c>
    </row>
    <row r="34" spans="1:15" x14ac:dyDescent="0.2">
      <c r="A34" s="37">
        <v>1320</v>
      </c>
      <c r="B34" s="55">
        <v>36</v>
      </c>
      <c r="C34" s="56" t="s">
        <v>23</v>
      </c>
      <c r="D34" s="57">
        <f>'Headloss Calcs'!$A$48</f>
        <v>28</v>
      </c>
      <c r="E34" s="53">
        <f t="shared" si="9"/>
        <v>43.325410972469797</v>
      </c>
      <c r="F34" s="38">
        <f>'Headloss Calcs'!$H$18</f>
        <v>100</v>
      </c>
      <c r="G34" s="53">
        <f t="shared" si="10"/>
        <v>7.0686</v>
      </c>
      <c r="H34" s="53">
        <f t="shared" si="11"/>
        <v>9.4247999999999994</v>
      </c>
      <c r="I34" s="53">
        <f t="shared" si="12"/>
        <v>0.75</v>
      </c>
      <c r="J34" s="53">
        <f t="shared" si="13"/>
        <v>6.1292775050886732</v>
      </c>
      <c r="K34" s="53">
        <f t="shared" si="14"/>
        <v>6.3249004780420215</v>
      </c>
      <c r="L34" s="53"/>
      <c r="M34" s="58">
        <f t="shared" si="15"/>
        <v>0</v>
      </c>
      <c r="N34" s="58">
        <f t="shared" si="16"/>
        <v>6.3249004780420215</v>
      </c>
      <c r="O34" s="59">
        <f t="shared" si="17"/>
        <v>39.291118680194487</v>
      </c>
    </row>
    <row r="35" spans="1:15" x14ac:dyDescent="0.2">
      <c r="A35" s="37"/>
      <c r="B35" s="55">
        <v>36</v>
      </c>
      <c r="C35" s="56" t="s">
        <v>45</v>
      </c>
      <c r="D35" s="57">
        <f>'Headloss Calcs'!$A$48</f>
        <v>28</v>
      </c>
      <c r="E35" s="53">
        <f t="shared" si="9"/>
        <v>43.325410972469797</v>
      </c>
      <c r="F35" s="38">
        <f>'Headloss Calcs'!$H$18</f>
        <v>100</v>
      </c>
      <c r="G35" s="53">
        <f t="shared" si="10"/>
        <v>7.0686</v>
      </c>
      <c r="H35" s="53">
        <f t="shared" si="11"/>
        <v>9.4247999999999994</v>
      </c>
      <c r="I35" s="53">
        <f t="shared" si="12"/>
        <v>0.75</v>
      </c>
      <c r="J35" s="53">
        <f t="shared" si="13"/>
        <v>6.1292775050886732</v>
      </c>
      <c r="K35" s="53">
        <f t="shared" si="14"/>
        <v>0</v>
      </c>
      <c r="L35" s="53">
        <v>0.2</v>
      </c>
      <c r="M35" s="58">
        <f t="shared" si="15"/>
        <v>0.11667094016890073</v>
      </c>
      <c r="N35" s="58">
        <f t="shared" si="16"/>
        <v>0.11667094016890073</v>
      </c>
      <c r="O35" s="59">
        <f t="shared" si="17"/>
        <v>39.407789620363388</v>
      </c>
    </row>
    <row r="36" spans="1:15" x14ac:dyDescent="0.2">
      <c r="A36" s="37">
        <v>1320</v>
      </c>
      <c r="B36" s="55">
        <v>36</v>
      </c>
      <c r="C36" s="56" t="s">
        <v>23</v>
      </c>
      <c r="D36" s="57">
        <f>'Headloss Calcs'!$A$48</f>
        <v>28</v>
      </c>
      <c r="E36" s="53">
        <f t="shared" si="9"/>
        <v>43.325410972469797</v>
      </c>
      <c r="F36" s="38">
        <f>'Headloss Calcs'!$H$18</f>
        <v>100</v>
      </c>
      <c r="G36" s="53">
        <f t="shared" si="10"/>
        <v>7.0686</v>
      </c>
      <c r="H36" s="53">
        <f t="shared" si="11"/>
        <v>9.4247999999999994</v>
      </c>
      <c r="I36" s="53">
        <f t="shared" si="12"/>
        <v>0.75</v>
      </c>
      <c r="J36" s="53">
        <f t="shared" si="13"/>
        <v>6.1292775050886732</v>
      </c>
      <c r="K36" s="53">
        <f t="shared" si="14"/>
        <v>6.3249004780420215</v>
      </c>
      <c r="L36" s="53"/>
      <c r="M36" s="58">
        <f t="shared" si="15"/>
        <v>0</v>
      </c>
      <c r="N36" s="58">
        <f t="shared" si="16"/>
        <v>6.3249004780420215</v>
      </c>
      <c r="O36" s="59">
        <f t="shared" si="17"/>
        <v>45.732690098405413</v>
      </c>
    </row>
    <row r="37" spans="1:15" ht="12" customHeight="1" x14ac:dyDescent="0.2">
      <c r="A37" s="37"/>
      <c r="B37" s="55">
        <v>36</v>
      </c>
      <c r="C37" s="56" t="s">
        <v>44</v>
      </c>
      <c r="D37" s="57">
        <f>'Headloss Calcs'!$A$48</f>
        <v>28</v>
      </c>
      <c r="E37" s="53">
        <f t="shared" si="9"/>
        <v>43.325410972469797</v>
      </c>
      <c r="F37" s="38">
        <f>'Headloss Calcs'!$H$18</f>
        <v>100</v>
      </c>
      <c r="G37" s="53">
        <f t="shared" si="10"/>
        <v>7.0686</v>
      </c>
      <c r="H37" s="53">
        <f t="shared" si="11"/>
        <v>9.4247999999999994</v>
      </c>
      <c r="I37" s="53">
        <f t="shared" si="12"/>
        <v>0.75</v>
      </c>
      <c r="J37" s="53">
        <f t="shared" si="13"/>
        <v>6.1292775050886732</v>
      </c>
      <c r="K37" s="53">
        <f t="shared" si="14"/>
        <v>0</v>
      </c>
      <c r="L37" s="53">
        <v>1</v>
      </c>
      <c r="M37" s="58">
        <f t="shared" si="15"/>
        <v>0.58335470084450358</v>
      </c>
      <c r="N37" s="58">
        <f t="shared" si="16"/>
        <v>0.58335470084450358</v>
      </c>
      <c r="O37" s="59">
        <f t="shared" si="17"/>
        <v>46.316044799249916</v>
      </c>
    </row>
    <row r="38" spans="1:15" ht="13.5" thickBot="1" x14ac:dyDescent="0.25">
      <c r="A38" s="39"/>
      <c r="B38" s="40"/>
      <c r="C38" s="41"/>
      <c r="D38" s="40"/>
      <c r="E38" s="42"/>
      <c r="F38" s="40"/>
      <c r="G38" s="54"/>
      <c r="H38" s="54"/>
      <c r="I38" s="54"/>
      <c r="J38" s="54"/>
      <c r="K38" s="54"/>
      <c r="L38" s="54"/>
      <c r="M38" s="60"/>
      <c r="N38" s="60" t="s">
        <v>40</v>
      </c>
      <c r="O38" s="61">
        <f>O37</f>
        <v>46.316044799249916</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50"/>
  <sheetViews>
    <sheetView topLeftCell="A15"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Calcs'!$A$49</f>
        <v>29</v>
      </c>
      <c r="E3" s="53">
        <f t="shared" ref="E3:E18" si="0">D3*1000000/(7.48*24*60*60)</f>
        <v>44.87274707862943</v>
      </c>
      <c r="F3" s="38">
        <f>'Headloss Calcs'!$E$18</f>
        <v>140</v>
      </c>
      <c r="G3" s="53">
        <f t="shared" ref="G3:G18" si="1">3.1416/4*(B3/12)^2</f>
        <v>7.0686</v>
      </c>
      <c r="H3" s="53">
        <f t="shared" ref="H3:H18" si="2">3.1416*(B3/12)</f>
        <v>9.4247999999999994</v>
      </c>
      <c r="I3" s="53">
        <f t="shared" ref="I3:I18" si="3">G3/H3</f>
        <v>0.75</v>
      </c>
      <c r="J3" s="53">
        <f t="shared" ref="J3:J18" si="4">E3/G3</f>
        <v>6.3481802731275545</v>
      </c>
      <c r="K3" s="53">
        <f t="shared" ref="K3:K18" si="5">(J3/(1.318*F3*I3^0.63))^1.85*A3</f>
        <v>0</v>
      </c>
      <c r="L3" s="53">
        <v>0.25</v>
      </c>
      <c r="M3" s="58">
        <f t="shared" ref="M3:M18" si="6">L3*(J3^2)/(2*32.2)</f>
        <v>0.15644174215887358</v>
      </c>
      <c r="N3" s="58">
        <f t="shared" ref="N3:N18" si="7">K3+M3</f>
        <v>0.15644174215887358</v>
      </c>
      <c r="O3" s="59">
        <f>N3</f>
        <v>0.15644174215887358</v>
      </c>
    </row>
    <row r="4" spans="1:15" x14ac:dyDescent="0.2">
      <c r="A4" s="37"/>
      <c r="B4" s="55">
        <v>36</v>
      </c>
      <c r="C4" s="56" t="s">
        <v>47</v>
      </c>
      <c r="D4" s="57">
        <f>'Headloss Calcs'!$A$49</f>
        <v>29</v>
      </c>
      <c r="E4" s="53">
        <f t="shared" si="0"/>
        <v>44.87274707862943</v>
      </c>
      <c r="F4" s="38">
        <f>'Headloss Calcs'!$E$18</f>
        <v>140</v>
      </c>
      <c r="G4" s="53">
        <f t="shared" si="1"/>
        <v>7.0686</v>
      </c>
      <c r="H4" s="53">
        <f t="shared" si="2"/>
        <v>9.4247999999999994</v>
      </c>
      <c r="I4" s="53">
        <f t="shared" si="3"/>
        <v>0.75</v>
      </c>
      <c r="J4" s="53">
        <f t="shared" si="4"/>
        <v>6.3481802731275545</v>
      </c>
      <c r="K4" s="53">
        <f t="shared" si="5"/>
        <v>0</v>
      </c>
      <c r="L4" s="53">
        <v>0.25</v>
      </c>
      <c r="M4" s="58">
        <f t="shared" si="6"/>
        <v>0.15644174215887358</v>
      </c>
      <c r="N4" s="58">
        <f t="shared" si="7"/>
        <v>0.15644174215887358</v>
      </c>
      <c r="O4" s="59">
        <f t="shared" ref="O4:O18" si="8">N4+O3</f>
        <v>0.31288348431774715</v>
      </c>
    </row>
    <row r="5" spans="1:15" x14ac:dyDescent="0.2">
      <c r="A5" s="37">
        <v>1320</v>
      </c>
      <c r="B5" s="55">
        <v>36</v>
      </c>
      <c r="C5" s="56" t="s">
        <v>23</v>
      </c>
      <c r="D5" s="57">
        <f>'Headloss Calcs'!$A$49</f>
        <v>29</v>
      </c>
      <c r="E5" s="53">
        <f t="shared" si="0"/>
        <v>44.87274707862943</v>
      </c>
      <c r="F5" s="38">
        <f>'Headloss Calcs'!$E$18</f>
        <v>140</v>
      </c>
      <c r="G5" s="53">
        <f t="shared" si="1"/>
        <v>7.0686</v>
      </c>
      <c r="H5" s="53">
        <f t="shared" si="2"/>
        <v>9.4247999999999994</v>
      </c>
      <c r="I5" s="53">
        <f t="shared" si="3"/>
        <v>0.75</v>
      </c>
      <c r="J5" s="53">
        <f t="shared" si="4"/>
        <v>6.3481802731275545</v>
      </c>
      <c r="K5" s="53">
        <f t="shared" si="5"/>
        <v>3.6216857842430881</v>
      </c>
      <c r="L5" s="53"/>
      <c r="M5" s="58">
        <f t="shared" si="6"/>
        <v>0</v>
      </c>
      <c r="N5" s="58">
        <f t="shared" si="7"/>
        <v>3.6216857842430881</v>
      </c>
      <c r="O5" s="59">
        <f t="shared" si="8"/>
        <v>3.9345692685608351</v>
      </c>
    </row>
    <row r="6" spans="1:15" x14ac:dyDescent="0.2">
      <c r="A6" s="37"/>
      <c r="B6" s="55">
        <v>36</v>
      </c>
      <c r="C6" s="56" t="s">
        <v>45</v>
      </c>
      <c r="D6" s="57">
        <f>'Headloss Calcs'!$A$49</f>
        <v>29</v>
      </c>
      <c r="E6" s="53">
        <f t="shared" si="0"/>
        <v>44.87274707862943</v>
      </c>
      <c r="F6" s="38">
        <f>'Headloss Calcs'!$E$18</f>
        <v>140</v>
      </c>
      <c r="G6" s="53">
        <f t="shared" si="1"/>
        <v>7.0686</v>
      </c>
      <c r="H6" s="53">
        <f t="shared" si="2"/>
        <v>9.4247999999999994</v>
      </c>
      <c r="I6" s="53">
        <f t="shared" si="3"/>
        <v>0.75</v>
      </c>
      <c r="J6" s="53">
        <f t="shared" si="4"/>
        <v>6.3481802731275545</v>
      </c>
      <c r="K6" s="53">
        <f t="shared" si="5"/>
        <v>0</v>
      </c>
      <c r="L6" s="53">
        <v>0.2</v>
      </c>
      <c r="M6" s="58">
        <f t="shared" si="6"/>
        <v>0.12515339372709886</v>
      </c>
      <c r="N6" s="58">
        <f t="shared" si="7"/>
        <v>0.12515339372709886</v>
      </c>
      <c r="O6" s="59">
        <f t="shared" si="8"/>
        <v>4.0597226622879337</v>
      </c>
    </row>
    <row r="7" spans="1:15" x14ac:dyDescent="0.2">
      <c r="A7" s="37">
        <v>1320</v>
      </c>
      <c r="B7" s="55">
        <v>36</v>
      </c>
      <c r="C7" s="69" t="s">
        <v>23</v>
      </c>
      <c r="D7" s="57">
        <f>'Headloss Calcs'!$A$49</f>
        <v>29</v>
      </c>
      <c r="E7" s="53">
        <f t="shared" si="0"/>
        <v>44.87274707862943</v>
      </c>
      <c r="F7" s="38">
        <f>'Headloss Calcs'!$E$18</f>
        <v>140</v>
      </c>
      <c r="G7" s="53">
        <f t="shared" si="1"/>
        <v>7.0686</v>
      </c>
      <c r="H7" s="53">
        <f t="shared" si="2"/>
        <v>9.4247999999999994</v>
      </c>
      <c r="I7" s="53">
        <f t="shared" si="3"/>
        <v>0.75</v>
      </c>
      <c r="J7" s="53">
        <f t="shared" si="4"/>
        <v>6.3481802731275545</v>
      </c>
      <c r="K7" s="53">
        <f t="shared" si="5"/>
        <v>3.6216857842430881</v>
      </c>
      <c r="L7" s="53"/>
      <c r="M7" s="58">
        <f t="shared" si="6"/>
        <v>0</v>
      </c>
      <c r="N7" s="58">
        <f t="shared" si="7"/>
        <v>3.6216857842430881</v>
      </c>
      <c r="O7" s="59">
        <f t="shared" si="8"/>
        <v>7.6814084465310213</v>
      </c>
    </row>
    <row r="8" spans="1:15" x14ac:dyDescent="0.2">
      <c r="A8" s="37"/>
      <c r="B8" s="55">
        <v>36</v>
      </c>
      <c r="C8" s="56" t="s">
        <v>39</v>
      </c>
      <c r="D8" s="57">
        <f>'Headloss Calcs'!$A$49</f>
        <v>29</v>
      </c>
      <c r="E8" s="53">
        <f t="shared" si="0"/>
        <v>44.87274707862943</v>
      </c>
      <c r="F8" s="38">
        <f>'Headloss Calcs'!$E$18</f>
        <v>140</v>
      </c>
      <c r="G8" s="53">
        <f t="shared" si="1"/>
        <v>7.0686</v>
      </c>
      <c r="H8" s="53">
        <f t="shared" si="2"/>
        <v>9.4247999999999994</v>
      </c>
      <c r="I8" s="53">
        <f t="shared" si="3"/>
        <v>0.75</v>
      </c>
      <c r="J8" s="53">
        <f t="shared" si="4"/>
        <v>6.3481802731275545</v>
      </c>
      <c r="K8" s="53">
        <f t="shared" si="5"/>
        <v>0</v>
      </c>
      <c r="L8" s="53">
        <v>0.4</v>
      </c>
      <c r="M8" s="58">
        <f t="shared" si="6"/>
        <v>0.25030678745419771</v>
      </c>
      <c r="N8" s="58">
        <f t="shared" si="7"/>
        <v>0.25030678745419771</v>
      </c>
      <c r="O8" s="59">
        <f t="shared" si="8"/>
        <v>7.9317152339852193</v>
      </c>
    </row>
    <row r="9" spans="1:15" x14ac:dyDescent="0.2">
      <c r="A9" s="37">
        <v>1320</v>
      </c>
      <c r="B9" s="55">
        <v>36</v>
      </c>
      <c r="C9" s="56" t="s">
        <v>23</v>
      </c>
      <c r="D9" s="57">
        <f>'Headloss Calcs'!$A$49</f>
        <v>29</v>
      </c>
      <c r="E9" s="53">
        <f t="shared" si="0"/>
        <v>44.87274707862943</v>
      </c>
      <c r="F9" s="38">
        <f>'Headloss Calcs'!$E$18</f>
        <v>140</v>
      </c>
      <c r="G9" s="53">
        <f t="shared" si="1"/>
        <v>7.0686</v>
      </c>
      <c r="H9" s="53">
        <f t="shared" si="2"/>
        <v>9.4247999999999994</v>
      </c>
      <c r="I9" s="53">
        <f t="shared" si="3"/>
        <v>0.75</v>
      </c>
      <c r="J9" s="53">
        <f t="shared" si="4"/>
        <v>6.3481802731275545</v>
      </c>
      <c r="K9" s="53">
        <f t="shared" si="5"/>
        <v>3.6216857842430881</v>
      </c>
      <c r="L9" s="53"/>
      <c r="M9" s="58">
        <f t="shared" si="6"/>
        <v>0</v>
      </c>
      <c r="N9" s="58">
        <f t="shared" si="7"/>
        <v>3.6216857842430881</v>
      </c>
      <c r="O9" s="59">
        <f t="shared" si="8"/>
        <v>11.553401018228307</v>
      </c>
    </row>
    <row r="10" spans="1:15" x14ac:dyDescent="0.2">
      <c r="A10" s="37"/>
      <c r="B10" s="55">
        <v>36</v>
      </c>
      <c r="C10" s="56" t="s">
        <v>39</v>
      </c>
      <c r="D10" s="57">
        <f>'Headloss Calcs'!$A$49</f>
        <v>29</v>
      </c>
      <c r="E10" s="53">
        <f t="shared" si="0"/>
        <v>44.87274707862943</v>
      </c>
      <c r="F10" s="38">
        <f>'Headloss Calcs'!$E$18</f>
        <v>140</v>
      </c>
      <c r="G10" s="53">
        <f t="shared" si="1"/>
        <v>7.0686</v>
      </c>
      <c r="H10" s="53">
        <f t="shared" si="2"/>
        <v>9.4247999999999994</v>
      </c>
      <c r="I10" s="53">
        <f t="shared" si="3"/>
        <v>0.75</v>
      </c>
      <c r="J10" s="53">
        <f t="shared" si="4"/>
        <v>6.3481802731275545</v>
      </c>
      <c r="K10" s="53">
        <f t="shared" si="5"/>
        <v>0</v>
      </c>
      <c r="L10" s="53">
        <v>0.4</v>
      </c>
      <c r="M10" s="58">
        <f t="shared" si="6"/>
        <v>0.25030678745419771</v>
      </c>
      <c r="N10" s="58">
        <f t="shared" si="7"/>
        <v>0.25030678745419771</v>
      </c>
      <c r="O10" s="59">
        <f t="shared" si="8"/>
        <v>11.803707805682505</v>
      </c>
    </row>
    <row r="11" spans="1:15" x14ac:dyDescent="0.2">
      <c r="A11" s="37">
        <v>1320</v>
      </c>
      <c r="B11" s="55">
        <v>36</v>
      </c>
      <c r="C11" s="56" t="s">
        <v>23</v>
      </c>
      <c r="D11" s="57">
        <f>'Headloss Calcs'!$A$49</f>
        <v>29</v>
      </c>
      <c r="E11" s="53">
        <f t="shared" si="0"/>
        <v>44.87274707862943</v>
      </c>
      <c r="F11" s="38">
        <f>'Headloss Calcs'!$E$18</f>
        <v>140</v>
      </c>
      <c r="G11" s="53">
        <f t="shared" si="1"/>
        <v>7.0686</v>
      </c>
      <c r="H11" s="53">
        <f t="shared" si="2"/>
        <v>9.4247999999999994</v>
      </c>
      <c r="I11" s="53">
        <f t="shared" si="3"/>
        <v>0.75</v>
      </c>
      <c r="J11" s="53">
        <f t="shared" si="4"/>
        <v>6.3481802731275545</v>
      </c>
      <c r="K11" s="53">
        <f t="shared" si="5"/>
        <v>3.6216857842430881</v>
      </c>
      <c r="L11" s="53"/>
      <c r="M11" s="58">
        <f t="shared" si="6"/>
        <v>0</v>
      </c>
      <c r="N11" s="58">
        <f t="shared" si="7"/>
        <v>3.6216857842430881</v>
      </c>
      <c r="O11" s="59">
        <f t="shared" si="8"/>
        <v>15.425393589925593</v>
      </c>
    </row>
    <row r="12" spans="1:15" x14ac:dyDescent="0.2">
      <c r="A12" s="37"/>
      <c r="B12" s="55">
        <v>36</v>
      </c>
      <c r="C12" s="56" t="s">
        <v>48</v>
      </c>
      <c r="D12" s="57">
        <f>'Headloss Calcs'!$A$49</f>
        <v>29</v>
      </c>
      <c r="E12" s="53">
        <f t="shared" si="0"/>
        <v>44.87274707862943</v>
      </c>
      <c r="F12" s="38">
        <f>'Headloss Calcs'!$E$18</f>
        <v>140</v>
      </c>
      <c r="G12" s="53">
        <f t="shared" si="1"/>
        <v>7.0686</v>
      </c>
      <c r="H12" s="53">
        <f t="shared" si="2"/>
        <v>9.4247999999999994</v>
      </c>
      <c r="I12" s="53">
        <f t="shared" si="3"/>
        <v>0.75</v>
      </c>
      <c r="J12" s="53">
        <f t="shared" si="4"/>
        <v>6.3481802731275545</v>
      </c>
      <c r="K12" s="53">
        <f t="shared" si="5"/>
        <v>0</v>
      </c>
      <c r="L12" s="53">
        <v>0.4</v>
      </c>
      <c r="M12" s="58">
        <f t="shared" si="6"/>
        <v>0.25030678745419771</v>
      </c>
      <c r="N12" s="58">
        <f t="shared" si="7"/>
        <v>0.25030678745419771</v>
      </c>
      <c r="O12" s="59">
        <f t="shared" si="8"/>
        <v>15.67570037737979</v>
      </c>
    </row>
    <row r="13" spans="1:15" x14ac:dyDescent="0.2">
      <c r="A13" s="37">
        <v>1320</v>
      </c>
      <c r="B13" s="55">
        <v>36</v>
      </c>
      <c r="C13" s="56" t="s">
        <v>23</v>
      </c>
      <c r="D13" s="57">
        <f>'Headloss Calcs'!$A$49</f>
        <v>29</v>
      </c>
      <c r="E13" s="53">
        <f t="shared" si="0"/>
        <v>44.87274707862943</v>
      </c>
      <c r="F13" s="38">
        <f>'Headloss Calcs'!$E$18</f>
        <v>140</v>
      </c>
      <c r="G13" s="53">
        <f t="shared" si="1"/>
        <v>7.0686</v>
      </c>
      <c r="H13" s="53">
        <f t="shared" si="2"/>
        <v>9.4247999999999994</v>
      </c>
      <c r="I13" s="53">
        <f t="shared" si="3"/>
        <v>0.75</v>
      </c>
      <c r="J13" s="53">
        <f t="shared" si="4"/>
        <v>6.3481802731275545</v>
      </c>
      <c r="K13" s="53">
        <f t="shared" si="5"/>
        <v>3.6216857842430881</v>
      </c>
      <c r="L13" s="53"/>
      <c r="M13" s="58">
        <f t="shared" si="6"/>
        <v>0</v>
      </c>
      <c r="N13" s="58">
        <f t="shared" si="7"/>
        <v>3.6216857842430881</v>
      </c>
      <c r="O13" s="59">
        <f t="shared" si="8"/>
        <v>19.297386161622878</v>
      </c>
    </row>
    <row r="14" spans="1:15" x14ac:dyDescent="0.2">
      <c r="A14" s="37"/>
      <c r="B14" s="55">
        <v>36</v>
      </c>
      <c r="C14" s="56" t="s">
        <v>39</v>
      </c>
      <c r="D14" s="57">
        <f>'Headloss Calcs'!$A$49</f>
        <v>29</v>
      </c>
      <c r="E14" s="53">
        <f t="shared" si="0"/>
        <v>44.87274707862943</v>
      </c>
      <c r="F14" s="38">
        <f>'Headloss Calcs'!$E$18</f>
        <v>140</v>
      </c>
      <c r="G14" s="53">
        <f t="shared" si="1"/>
        <v>7.0686</v>
      </c>
      <c r="H14" s="53">
        <f t="shared" si="2"/>
        <v>9.4247999999999994</v>
      </c>
      <c r="I14" s="53">
        <f t="shared" si="3"/>
        <v>0.75</v>
      </c>
      <c r="J14" s="53">
        <f t="shared" si="4"/>
        <v>6.3481802731275545</v>
      </c>
      <c r="K14" s="53">
        <f t="shared" si="5"/>
        <v>0</v>
      </c>
      <c r="L14" s="53">
        <v>0.4</v>
      </c>
      <c r="M14" s="58">
        <f t="shared" si="6"/>
        <v>0.25030678745419771</v>
      </c>
      <c r="N14" s="58">
        <f t="shared" si="7"/>
        <v>0.25030678745419771</v>
      </c>
      <c r="O14" s="59">
        <f t="shared" si="8"/>
        <v>19.547692949077074</v>
      </c>
    </row>
    <row r="15" spans="1:15" x14ac:dyDescent="0.2">
      <c r="A15" s="37">
        <v>1320</v>
      </c>
      <c r="B15" s="55">
        <v>36</v>
      </c>
      <c r="C15" s="56" t="s">
        <v>23</v>
      </c>
      <c r="D15" s="57">
        <f>'Headloss Calcs'!$A$49</f>
        <v>29</v>
      </c>
      <c r="E15" s="53">
        <f t="shared" si="0"/>
        <v>44.87274707862943</v>
      </c>
      <c r="F15" s="38">
        <f>'Headloss Calcs'!$E$18</f>
        <v>140</v>
      </c>
      <c r="G15" s="53">
        <f t="shared" si="1"/>
        <v>7.0686</v>
      </c>
      <c r="H15" s="53">
        <f t="shared" si="2"/>
        <v>9.4247999999999994</v>
      </c>
      <c r="I15" s="53">
        <f t="shared" si="3"/>
        <v>0.75</v>
      </c>
      <c r="J15" s="53">
        <f t="shared" si="4"/>
        <v>6.3481802731275545</v>
      </c>
      <c r="K15" s="53">
        <f t="shared" si="5"/>
        <v>3.6216857842430881</v>
      </c>
      <c r="L15" s="53"/>
      <c r="M15" s="58">
        <f t="shared" si="6"/>
        <v>0</v>
      </c>
      <c r="N15" s="58">
        <f t="shared" si="7"/>
        <v>3.6216857842430881</v>
      </c>
      <c r="O15" s="59">
        <f t="shared" si="8"/>
        <v>23.169378733320162</v>
      </c>
    </row>
    <row r="16" spans="1:15" x14ac:dyDescent="0.2">
      <c r="A16" s="37"/>
      <c r="B16" s="55">
        <v>36</v>
      </c>
      <c r="C16" s="56" t="s">
        <v>45</v>
      </c>
      <c r="D16" s="57">
        <f>'Headloss Calcs'!$A$49</f>
        <v>29</v>
      </c>
      <c r="E16" s="53">
        <f t="shared" si="0"/>
        <v>44.87274707862943</v>
      </c>
      <c r="F16" s="38">
        <f>'Headloss Calcs'!$E$18</f>
        <v>140</v>
      </c>
      <c r="G16" s="53">
        <f t="shared" si="1"/>
        <v>7.0686</v>
      </c>
      <c r="H16" s="53">
        <f t="shared" si="2"/>
        <v>9.4247999999999994</v>
      </c>
      <c r="I16" s="53">
        <f t="shared" si="3"/>
        <v>0.75</v>
      </c>
      <c r="J16" s="53">
        <f t="shared" si="4"/>
        <v>6.3481802731275545</v>
      </c>
      <c r="K16" s="53">
        <f t="shared" si="5"/>
        <v>0</v>
      </c>
      <c r="L16" s="53">
        <v>0.2</v>
      </c>
      <c r="M16" s="58">
        <f t="shared" si="6"/>
        <v>0.12515339372709886</v>
      </c>
      <c r="N16" s="58">
        <f t="shared" si="7"/>
        <v>0.12515339372709886</v>
      </c>
      <c r="O16" s="59">
        <f t="shared" si="8"/>
        <v>23.294532127047262</v>
      </c>
    </row>
    <row r="17" spans="1:15" x14ac:dyDescent="0.2">
      <c r="A17" s="37">
        <v>1320</v>
      </c>
      <c r="B17" s="55">
        <v>36</v>
      </c>
      <c r="C17" s="56" t="s">
        <v>23</v>
      </c>
      <c r="D17" s="57">
        <f>'Headloss Calcs'!$A$49</f>
        <v>29</v>
      </c>
      <c r="E17" s="53">
        <f t="shared" si="0"/>
        <v>44.87274707862943</v>
      </c>
      <c r="F17" s="38">
        <f>'Headloss Calcs'!$E$18</f>
        <v>140</v>
      </c>
      <c r="G17" s="53">
        <f t="shared" si="1"/>
        <v>7.0686</v>
      </c>
      <c r="H17" s="53">
        <f t="shared" si="2"/>
        <v>9.4247999999999994</v>
      </c>
      <c r="I17" s="53">
        <f t="shared" si="3"/>
        <v>0.75</v>
      </c>
      <c r="J17" s="53">
        <f t="shared" si="4"/>
        <v>6.3481802731275545</v>
      </c>
      <c r="K17" s="53">
        <f t="shared" si="5"/>
        <v>3.6216857842430881</v>
      </c>
      <c r="L17" s="53"/>
      <c r="M17" s="58">
        <f t="shared" si="6"/>
        <v>0</v>
      </c>
      <c r="N17" s="58">
        <f t="shared" si="7"/>
        <v>3.6216857842430881</v>
      </c>
      <c r="O17" s="59">
        <f t="shared" si="8"/>
        <v>26.916217911290349</v>
      </c>
    </row>
    <row r="18" spans="1:15" ht="12" customHeight="1" x14ac:dyDescent="0.2">
      <c r="A18" s="37"/>
      <c r="B18" s="55">
        <v>36</v>
      </c>
      <c r="C18" s="56" t="s">
        <v>44</v>
      </c>
      <c r="D18" s="57">
        <f>'Headloss Calcs'!$A$49</f>
        <v>29</v>
      </c>
      <c r="E18" s="53">
        <f t="shared" si="0"/>
        <v>44.87274707862943</v>
      </c>
      <c r="F18" s="38">
        <f>'Headloss Calcs'!$E$18</f>
        <v>140</v>
      </c>
      <c r="G18" s="53">
        <f t="shared" si="1"/>
        <v>7.0686</v>
      </c>
      <c r="H18" s="53">
        <f t="shared" si="2"/>
        <v>9.4247999999999994</v>
      </c>
      <c r="I18" s="53">
        <f t="shared" si="3"/>
        <v>0.75</v>
      </c>
      <c r="J18" s="53">
        <f t="shared" si="4"/>
        <v>6.3481802731275545</v>
      </c>
      <c r="K18" s="53">
        <f t="shared" si="5"/>
        <v>0</v>
      </c>
      <c r="L18" s="53">
        <v>1</v>
      </c>
      <c r="M18" s="58">
        <f t="shared" si="6"/>
        <v>0.6257669686354943</v>
      </c>
      <c r="N18" s="58">
        <f t="shared" si="7"/>
        <v>0.6257669686354943</v>
      </c>
      <c r="O18" s="59">
        <f t="shared" si="8"/>
        <v>27.541984879925845</v>
      </c>
    </row>
    <row r="19" spans="1:15" ht="13.5" thickBot="1" x14ac:dyDescent="0.25">
      <c r="A19" s="39"/>
      <c r="B19" s="40"/>
      <c r="C19" s="41"/>
      <c r="D19" s="40"/>
      <c r="E19" s="42"/>
      <c r="F19" s="40"/>
      <c r="G19" s="54"/>
      <c r="H19" s="54"/>
      <c r="I19" s="54"/>
      <c r="J19" s="54"/>
      <c r="K19" s="54"/>
      <c r="L19" s="54"/>
      <c r="M19" s="60"/>
      <c r="N19" s="60" t="s">
        <v>40</v>
      </c>
      <c r="O19" s="61">
        <f>O18</f>
        <v>27.541984879925845</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Calcs'!$A$49</f>
        <v>29</v>
      </c>
      <c r="E22" s="53">
        <f t="shared" ref="E22:E37" si="9">D22*1000000/(7.48*24*60*60)</f>
        <v>44.87274707862943</v>
      </c>
      <c r="F22" s="38">
        <f>'Headloss Calcs'!$H$18</f>
        <v>100</v>
      </c>
      <c r="G22" s="53">
        <f t="shared" ref="G22:G37" si="10">3.1416/4*(B22/12)^2</f>
        <v>7.0686</v>
      </c>
      <c r="H22" s="53">
        <f t="shared" ref="H22:H37" si="11">3.1416*(B22/12)</f>
        <v>9.4247999999999994</v>
      </c>
      <c r="I22" s="53">
        <f t="shared" ref="I22:I37" si="12">G22/H22</f>
        <v>0.75</v>
      </c>
      <c r="J22" s="53">
        <f t="shared" ref="J22:J37" si="13">E22/G22</f>
        <v>6.3481802731275545</v>
      </c>
      <c r="K22" s="53">
        <f t="shared" ref="K22:K37" si="14">(J22/(1.318*F22*I22^0.63))^1.85*A22</f>
        <v>0</v>
      </c>
      <c r="L22" s="53">
        <v>0.25</v>
      </c>
      <c r="M22" s="58">
        <f t="shared" ref="M22:M37" si="15">L22*(J22^2)/(2*32.2)</f>
        <v>0.15644174215887358</v>
      </c>
      <c r="N22" s="58">
        <f t="shared" ref="N22:N37" si="16">K22+M22</f>
        <v>0.15644174215887358</v>
      </c>
      <c r="O22" s="59">
        <f>N22</f>
        <v>0.15644174215887358</v>
      </c>
    </row>
    <row r="23" spans="1:15" x14ac:dyDescent="0.2">
      <c r="A23" s="37"/>
      <c r="B23" s="55">
        <v>36</v>
      </c>
      <c r="C23" s="56" t="s">
        <v>47</v>
      </c>
      <c r="D23" s="57">
        <f>'Headloss Calcs'!$A$49</f>
        <v>29</v>
      </c>
      <c r="E23" s="53">
        <f t="shared" si="9"/>
        <v>44.87274707862943</v>
      </c>
      <c r="F23" s="38">
        <f>'Headloss Calcs'!$H$18</f>
        <v>100</v>
      </c>
      <c r="G23" s="53">
        <f t="shared" si="10"/>
        <v>7.0686</v>
      </c>
      <c r="H23" s="53">
        <f t="shared" si="11"/>
        <v>9.4247999999999994</v>
      </c>
      <c r="I23" s="53">
        <f t="shared" si="12"/>
        <v>0.75</v>
      </c>
      <c r="J23" s="53">
        <f t="shared" si="13"/>
        <v>6.3481802731275545</v>
      </c>
      <c r="K23" s="53">
        <f t="shared" si="14"/>
        <v>0</v>
      </c>
      <c r="L23" s="53">
        <v>0.25</v>
      </c>
      <c r="M23" s="58">
        <f t="shared" si="15"/>
        <v>0.15644174215887358</v>
      </c>
      <c r="N23" s="58">
        <f t="shared" si="16"/>
        <v>0.15644174215887358</v>
      </c>
      <c r="O23" s="59">
        <f t="shared" ref="O23:O37" si="17">N23+O22</f>
        <v>0.31288348431774715</v>
      </c>
    </row>
    <row r="24" spans="1:15" x14ac:dyDescent="0.2">
      <c r="A24" s="37">
        <v>1320</v>
      </c>
      <c r="B24" s="55">
        <v>36</v>
      </c>
      <c r="C24" s="56" t="s">
        <v>23</v>
      </c>
      <c r="D24" s="57">
        <f>'Headloss Calcs'!$A$49</f>
        <v>29</v>
      </c>
      <c r="E24" s="53">
        <f t="shared" si="9"/>
        <v>44.87274707862943</v>
      </c>
      <c r="F24" s="38">
        <f>'Headloss Calcs'!$H$18</f>
        <v>100</v>
      </c>
      <c r="G24" s="53">
        <f t="shared" si="10"/>
        <v>7.0686</v>
      </c>
      <c r="H24" s="53">
        <f t="shared" si="11"/>
        <v>9.4247999999999994</v>
      </c>
      <c r="I24" s="53">
        <f t="shared" si="12"/>
        <v>0.75</v>
      </c>
      <c r="J24" s="53">
        <f t="shared" si="13"/>
        <v>6.3481802731275545</v>
      </c>
      <c r="K24" s="53">
        <f t="shared" si="14"/>
        <v>6.7491275281657748</v>
      </c>
      <c r="L24" s="53"/>
      <c r="M24" s="58">
        <f t="shared" si="15"/>
        <v>0</v>
      </c>
      <c r="N24" s="58">
        <f t="shared" si="16"/>
        <v>6.7491275281657748</v>
      </c>
      <c r="O24" s="59">
        <f t="shared" si="17"/>
        <v>7.0620110124835218</v>
      </c>
    </row>
    <row r="25" spans="1:15" x14ac:dyDescent="0.2">
      <c r="A25" s="37"/>
      <c r="B25" s="55">
        <v>36</v>
      </c>
      <c r="C25" s="56" t="s">
        <v>45</v>
      </c>
      <c r="D25" s="57">
        <f>'Headloss Calcs'!$A$49</f>
        <v>29</v>
      </c>
      <c r="E25" s="53">
        <f t="shared" si="9"/>
        <v>44.87274707862943</v>
      </c>
      <c r="F25" s="38">
        <f>'Headloss Calcs'!$H$18</f>
        <v>100</v>
      </c>
      <c r="G25" s="53">
        <f t="shared" si="10"/>
        <v>7.0686</v>
      </c>
      <c r="H25" s="53">
        <f t="shared" si="11"/>
        <v>9.4247999999999994</v>
      </c>
      <c r="I25" s="53">
        <f t="shared" si="12"/>
        <v>0.75</v>
      </c>
      <c r="J25" s="53">
        <f t="shared" si="13"/>
        <v>6.3481802731275545</v>
      </c>
      <c r="K25" s="53">
        <f t="shared" si="14"/>
        <v>0</v>
      </c>
      <c r="L25" s="53">
        <v>0.2</v>
      </c>
      <c r="M25" s="58">
        <f t="shared" si="15"/>
        <v>0.12515339372709886</v>
      </c>
      <c r="N25" s="58">
        <f t="shared" si="16"/>
        <v>0.12515339372709886</v>
      </c>
      <c r="O25" s="59">
        <f t="shared" si="17"/>
        <v>7.1871644062106208</v>
      </c>
    </row>
    <row r="26" spans="1:15" x14ac:dyDescent="0.2">
      <c r="A26" s="37">
        <v>1320</v>
      </c>
      <c r="B26" s="55">
        <v>36</v>
      </c>
      <c r="C26" s="69" t="s">
        <v>23</v>
      </c>
      <c r="D26" s="57">
        <f>'Headloss Calcs'!$A$49</f>
        <v>29</v>
      </c>
      <c r="E26" s="53">
        <f t="shared" si="9"/>
        <v>44.87274707862943</v>
      </c>
      <c r="F26" s="38">
        <f>'Headloss Calcs'!$H$18</f>
        <v>100</v>
      </c>
      <c r="G26" s="53">
        <f t="shared" si="10"/>
        <v>7.0686</v>
      </c>
      <c r="H26" s="53">
        <f t="shared" si="11"/>
        <v>9.4247999999999994</v>
      </c>
      <c r="I26" s="53">
        <f t="shared" si="12"/>
        <v>0.75</v>
      </c>
      <c r="J26" s="53">
        <f t="shared" si="13"/>
        <v>6.3481802731275545</v>
      </c>
      <c r="K26" s="53">
        <f t="shared" si="14"/>
        <v>6.7491275281657748</v>
      </c>
      <c r="L26" s="53"/>
      <c r="M26" s="58">
        <f t="shared" si="15"/>
        <v>0</v>
      </c>
      <c r="N26" s="58">
        <f t="shared" si="16"/>
        <v>6.7491275281657748</v>
      </c>
      <c r="O26" s="59">
        <f t="shared" si="17"/>
        <v>13.936291934376396</v>
      </c>
    </row>
    <row r="27" spans="1:15" x14ac:dyDescent="0.2">
      <c r="A27" s="37"/>
      <c r="B27" s="55">
        <v>36</v>
      </c>
      <c r="C27" s="56" t="s">
        <v>39</v>
      </c>
      <c r="D27" s="57">
        <f>'Headloss Calcs'!$A$49</f>
        <v>29</v>
      </c>
      <c r="E27" s="53">
        <f t="shared" si="9"/>
        <v>44.87274707862943</v>
      </c>
      <c r="F27" s="38">
        <f>'Headloss Calcs'!$H$18</f>
        <v>100</v>
      </c>
      <c r="G27" s="53">
        <f t="shared" si="10"/>
        <v>7.0686</v>
      </c>
      <c r="H27" s="53">
        <f t="shared" si="11"/>
        <v>9.4247999999999994</v>
      </c>
      <c r="I27" s="53">
        <f t="shared" si="12"/>
        <v>0.75</v>
      </c>
      <c r="J27" s="53">
        <f t="shared" si="13"/>
        <v>6.3481802731275545</v>
      </c>
      <c r="K27" s="53">
        <f t="shared" si="14"/>
        <v>0</v>
      </c>
      <c r="L27" s="53">
        <v>0.4</v>
      </c>
      <c r="M27" s="58">
        <f t="shared" si="15"/>
        <v>0.25030678745419771</v>
      </c>
      <c r="N27" s="58">
        <f t="shared" si="16"/>
        <v>0.25030678745419771</v>
      </c>
      <c r="O27" s="59">
        <f t="shared" si="17"/>
        <v>14.186598721830594</v>
      </c>
    </row>
    <row r="28" spans="1:15" x14ac:dyDescent="0.2">
      <c r="A28" s="37">
        <v>1320</v>
      </c>
      <c r="B28" s="55">
        <v>36</v>
      </c>
      <c r="C28" s="56" t="s">
        <v>23</v>
      </c>
      <c r="D28" s="57">
        <f>'Headloss Calcs'!$A$49</f>
        <v>29</v>
      </c>
      <c r="E28" s="53">
        <f t="shared" si="9"/>
        <v>44.87274707862943</v>
      </c>
      <c r="F28" s="38">
        <f>'Headloss Calcs'!$H$18</f>
        <v>100</v>
      </c>
      <c r="G28" s="53">
        <f t="shared" si="10"/>
        <v>7.0686</v>
      </c>
      <c r="H28" s="53">
        <f t="shared" si="11"/>
        <v>9.4247999999999994</v>
      </c>
      <c r="I28" s="53">
        <f t="shared" si="12"/>
        <v>0.75</v>
      </c>
      <c r="J28" s="53">
        <f t="shared" si="13"/>
        <v>6.3481802731275545</v>
      </c>
      <c r="K28" s="53">
        <f t="shared" si="14"/>
        <v>6.7491275281657748</v>
      </c>
      <c r="L28" s="53"/>
      <c r="M28" s="58">
        <f t="shared" si="15"/>
        <v>0</v>
      </c>
      <c r="N28" s="58">
        <f t="shared" si="16"/>
        <v>6.7491275281657748</v>
      </c>
      <c r="O28" s="59">
        <f t="shared" si="17"/>
        <v>20.935726249996367</v>
      </c>
    </row>
    <row r="29" spans="1:15" x14ac:dyDescent="0.2">
      <c r="A29" s="37"/>
      <c r="B29" s="55">
        <v>36</v>
      </c>
      <c r="C29" s="56" t="s">
        <v>39</v>
      </c>
      <c r="D29" s="57">
        <f>'Headloss Calcs'!$A$49</f>
        <v>29</v>
      </c>
      <c r="E29" s="53">
        <f t="shared" si="9"/>
        <v>44.87274707862943</v>
      </c>
      <c r="F29" s="38">
        <f>'Headloss Calcs'!$H$18</f>
        <v>100</v>
      </c>
      <c r="G29" s="53">
        <f t="shared" si="10"/>
        <v>7.0686</v>
      </c>
      <c r="H29" s="53">
        <f t="shared" si="11"/>
        <v>9.4247999999999994</v>
      </c>
      <c r="I29" s="53">
        <f t="shared" si="12"/>
        <v>0.75</v>
      </c>
      <c r="J29" s="53">
        <f t="shared" si="13"/>
        <v>6.3481802731275545</v>
      </c>
      <c r="K29" s="53">
        <f t="shared" si="14"/>
        <v>0</v>
      </c>
      <c r="L29" s="53">
        <v>0.4</v>
      </c>
      <c r="M29" s="58">
        <f t="shared" si="15"/>
        <v>0.25030678745419771</v>
      </c>
      <c r="N29" s="58">
        <f t="shared" si="16"/>
        <v>0.25030678745419771</v>
      </c>
      <c r="O29" s="59">
        <f t="shared" si="17"/>
        <v>21.186033037450564</v>
      </c>
    </row>
    <row r="30" spans="1:15" x14ac:dyDescent="0.2">
      <c r="A30" s="37">
        <v>1320</v>
      </c>
      <c r="B30" s="55">
        <v>36</v>
      </c>
      <c r="C30" s="56" t="s">
        <v>23</v>
      </c>
      <c r="D30" s="57">
        <f>'Headloss Calcs'!$A$49</f>
        <v>29</v>
      </c>
      <c r="E30" s="53">
        <f t="shared" si="9"/>
        <v>44.87274707862943</v>
      </c>
      <c r="F30" s="38">
        <f>'Headloss Calcs'!$H$18</f>
        <v>100</v>
      </c>
      <c r="G30" s="53">
        <f t="shared" si="10"/>
        <v>7.0686</v>
      </c>
      <c r="H30" s="53">
        <f t="shared" si="11"/>
        <v>9.4247999999999994</v>
      </c>
      <c r="I30" s="53">
        <f t="shared" si="12"/>
        <v>0.75</v>
      </c>
      <c r="J30" s="53">
        <f t="shared" si="13"/>
        <v>6.3481802731275545</v>
      </c>
      <c r="K30" s="53">
        <f t="shared" si="14"/>
        <v>6.7491275281657748</v>
      </c>
      <c r="L30" s="53"/>
      <c r="M30" s="58">
        <f t="shared" si="15"/>
        <v>0</v>
      </c>
      <c r="N30" s="58">
        <f t="shared" si="16"/>
        <v>6.7491275281657748</v>
      </c>
      <c r="O30" s="59">
        <f t="shared" si="17"/>
        <v>27.935160565616339</v>
      </c>
    </row>
    <row r="31" spans="1:15" x14ac:dyDescent="0.2">
      <c r="A31" s="37"/>
      <c r="B31" s="55">
        <v>36</v>
      </c>
      <c r="C31" s="56" t="s">
        <v>48</v>
      </c>
      <c r="D31" s="57">
        <f>'Headloss Calcs'!$A$49</f>
        <v>29</v>
      </c>
      <c r="E31" s="53">
        <f t="shared" si="9"/>
        <v>44.87274707862943</v>
      </c>
      <c r="F31" s="38">
        <f>'Headloss Calcs'!$H$18</f>
        <v>100</v>
      </c>
      <c r="G31" s="53">
        <f t="shared" si="10"/>
        <v>7.0686</v>
      </c>
      <c r="H31" s="53">
        <f t="shared" si="11"/>
        <v>9.4247999999999994</v>
      </c>
      <c r="I31" s="53">
        <f t="shared" si="12"/>
        <v>0.75</v>
      </c>
      <c r="J31" s="53">
        <f t="shared" si="13"/>
        <v>6.3481802731275545</v>
      </c>
      <c r="K31" s="53">
        <f t="shared" si="14"/>
        <v>0</v>
      </c>
      <c r="L31" s="53">
        <v>0.4</v>
      </c>
      <c r="M31" s="58">
        <f t="shared" si="15"/>
        <v>0.25030678745419771</v>
      </c>
      <c r="N31" s="58">
        <f t="shared" si="16"/>
        <v>0.25030678745419771</v>
      </c>
      <c r="O31" s="59">
        <f t="shared" si="17"/>
        <v>28.185467353070536</v>
      </c>
    </row>
    <row r="32" spans="1:15" x14ac:dyDescent="0.2">
      <c r="A32" s="37">
        <v>1320</v>
      </c>
      <c r="B32" s="55">
        <v>36</v>
      </c>
      <c r="C32" s="56" t="s">
        <v>23</v>
      </c>
      <c r="D32" s="57">
        <f>'Headloss Calcs'!$A$49</f>
        <v>29</v>
      </c>
      <c r="E32" s="53">
        <f t="shared" si="9"/>
        <v>44.87274707862943</v>
      </c>
      <c r="F32" s="38">
        <f>'Headloss Calcs'!$H$18</f>
        <v>100</v>
      </c>
      <c r="G32" s="53">
        <f t="shared" si="10"/>
        <v>7.0686</v>
      </c>
      <c r="H32" s="53">
        <f t="shared" si="11"/>
        <v>9.4247999999999994</v>
      </c>
      <c r="I32" s="53">
        <f t="shared" si="12"/>
        <v>0.75</v>
      </c>
      <c r="J32" s="53">
        <f t="shared" si="13"/>
        <v>6.3481802731275545</v>
      </c>
      <c r="K32" s="53">
        <f t="shared" si="14"/>
        <v>6.7491275281657748</v>
      </c>
      <c r="L32" s="53"/>
      <c r="M32" s="58">
        <f t="shared" si="15"/>
        <v>0</v>
      </c>
      <c r="N32" s="58">
        <f t="shared" si="16"/>
        <v>6.7491275281657748</v>
      </c>
      <c r="O32" s="59">
        <f t="shared" si="17"/>
        <v>34.934594881236308</v>
      </c>
    </row>
    <row r="33" spans="1:15" x14ac:dyDescent="0.2">
      <c r="A33" s="37"/>
      <c r="B33" s="55">
        <v>36</v>
      </c>
      <c r="C33" s="56" t="s">
        <v>39</v>
      </c>
      <c r="D33" s="57">
        <f>'Headloss Calcs'!$A$49</f>
        <v>29</v>
      </c>
      <c r="E33" s="53">
        <f t="shared" si="9"/>
        <v>44.87274707862943</v>
      </c>
      <c r="F33" s="38">
        <f>'Headloss Calcs'!$H$18</f>
        <v>100</v>
      </c>
      <c r="G33" s="53">
        <f t="shared" si="10"/>
        <v>7.0686</v>
      </c>
      <c r="H33" s="53">
        <f t="shared" si="11"/>
        <v>9.4247999999999994</v>
      </c>
      <c r="I33" s="53">
        <f t="shared" si="12"/>
        <v>0.75</v>
      </c>
      <c r="J33" s="53">
        <f t="shared" si="13"/>
        <v>6.3481802731275545</v>
      </c>
      <c r="K33" s="53">
        <f t="shared" si="14"/>
        <v>0</v>
      </c>
      <c r="L33" s="53">
        <v>0.4</v>
      </c>
      <c r="M33" s="58">
        <f t="shared" si="15"/>
        <v>0.25030678745419771</v>
      </c>
      <c r="N33" s="58">
        <f t="shared" si="16"/>
        <v>0.25030678745419771</v>
      </c>
      <c r="O33" s="59">
        <f t="shared" si="17"/>
        <v>35.184901668690507</v>
      </c>
    </row>
    <row r="34" spans="1:15" x14ac:dyDescent="0.2">
      <c r="A34" s="37">
        <v>1320</v>
      </c>
      <c r="B34" s="55">
        <v>36</v>
      </c>
      <c r="C34" s="56" t="s">
        <v>23</v>
      </c>
      <c r="D34" s="57">
        <f>'Headloss Calcs'!$A$49</f>
        <v>29</v>
      </c>
      <c r="E34" s="53">
        <f t="shared" si="9"/>
        <v>44.87274707862943</v>
      </c>
      <c r="F34" s="38">
        <f>'Headloss Calcs'!$H$18</f>
        <v>100</v>
      </c>
      <c r="G34" s="53">
        <f t="shared" si="10"/>
        <v>7.0686</v>
      </c>
      <c r="H34" s="53">
        <f t="shared" si="11"/>
        <v>9.4247999999999994</v>
      </c>
      <c r="I34" s="53">
        <f t="shared" si="12"/>
        <v>0.75</v>
      </c>
      <c r="J34" s="53">
        <f t="shared" si="13"/>
        <v>6.3481802731275545</v>
      </c>
      <c r="K34" s="53">
        <f t="shared" si="14"/>
        <v>6.7491275281657748</v>
      </c>
      <c r="L34" s="53"/>
      <c r="M34" s="58">
        <f t="shared" si="15"/>
        <v>0</v>
      </c>
      <c r="N34" s="58">
        <f t="shared" si="16"/>
        <v>6.7491275281657748</v>
      </c>
      <c r="O34" s="59">
        <f t="shared" si="17"/>
        <v>41.934029196856279</v>
      </c>
    </row>
    <row r="35" spans="1:15" x14ac:dyDescent="0.2">
      <c r="A35" s="37"/>
      <c r="B35" s="55">
        <v>36</v>
      </c>
      <c r="C35" s="56" t="s">
        <v>45</v>
      </c>
      <c r="D35" s="57">
        <f>'Headloss Calcs'!$A$49</f>
        <v>29</v>
      </c>
      <c r="E35" s="53">
        <f t="shared" si="9"/>
        <v>44.87274707862943</v>
      </c>
      <c r="F35" s="38">
        <f>'Headloss Calcs'!$H$18</f>
        <v>100</v>
      </c>
      <c r="G35" s="53">
        <f t="shared" si="10"/>
        <v>7.0686</v>
      </c>
      <c r="H35" s="53">
        <f t="shared" si="11"/>
        <v>9.4247999999999994</v>
      </c>
      <c r="I35" s="53">
        <f t="shared" si="12"/>
        <v>0.75</v>
      </c>
      <c r="J35" s="53">
        <f t="shared" si="13"/>
        <v>6.3481802731275545</v>
      </c>
      <c r="K35" s="53">
        <f t="shared" si="14"/>
        <v>0</v>
      </c>
      <c r="L35" s="53">
        <v>0.2</v>
      </c>
      <c r="M35" s="58">
        <f t="shared" si="15"/>
        <v>0.12515339372709886</v>
      </c>
      <c r="N35" s="58">
        <f t="shared" si="16"/>
        <v>0.12515339372709886</v>
      </c>
      <c r="O35" s="59">
        <f t="shared" si="17"/>
        <v>42.059182590583376</v>
      </c>
    </row>
    <row r="36" spans="1:15" x14ac:dyDescent="0.2">
      <c r="A36" s="37">
        <v>1320</v>
      </c>
      <c r="B36" s="55">
        <v>36</v>
      </c>
      <c r="C36" s="56" t="s">
        <v>23</v>
      </c>
      <c r="D36" s="57">
        <f>'Headloss Calcs'!$A$49</f>
        <v>29</v>
      </c>
      <c r="E36" s="53">
        <f t="shared" si="9"/>
        <v>44.87274707862943</v>
      </c>
      <c r="F36" s="38">
        <f>'Headloss Calcs'!$H$18</f>
        <v>100</v>
      </c>
      <c r="G36" s="53">
        <f t="shared" si="10"/>
        <v>7.0686</v>
      </c>
      <c r="H36" s="53">
        <f t="shared" si="11"/>
        <v>9.4247999999999994</v>
      </c>
      <c r="I36" s="53">
        <f t="shared" si="12"/>
        <v>0.75</v>
      </c>
      <c r="J36" s="53">
        <f t="shared" si="13"/>
        <v>6.3481802731275545</v>
      </c>
      <c r="K36" s="53">
        <f t="shared" si="14"/>
        <v>6.7491275281657748</v>
      </c>
      <c r="L36" s="53"/>
      <c r="M36" s="58">
        <f t="shared" si="15"/>
        <v>0</v>
      </c>
      <c r="N36" s="58">
        <f t="shared" si="16"/>
        <v>6.7491275281657748</v>
      </c>
      <c r="O36" s="59">
        <f t="shared" si="17"/>
        <v>48.808310118749148</v>
      </c>
    </row>
    <row r="37" spans="1:15" ht="12" customHeight="1" x14ac:dyDescent="0.2">
      <c r="A37" s="37"/>
      <c r="B37" s="55">
        <v>36</v>
      </c>
      <c r="C37" s="56" t="s">
        <v>44</v>
      </c>
      <c r="D37" s="57">
        <f>'Headloss Calcs'!$A$49</f>
        <v>29</v>
      </c>
      <c r="E37" s="53">
        <f t="shared" si="9"/>
        <v>44.87274707862943</v>
      </c>
      <c r="F37" s="38">
        <f>'Headloss Calcs'!$H$18</f>
        <v>100</v>
      </c>
      <c r="G37" s="53">
        <f t="shared" si="10"/>
        <v>7.0686</v>
      </c>
      <c r="H37" s="53">
        <f t="shared" si="11"/>
        <v>9.4247999999999994</v>
      </c>
      <c r="I37" s="53">
        <f t="shared" si="12"/>
        <v>0.75</v>
      </c>
      <c r="J37" s="53">
        <f t="shared" si="13"/>
        <v>6.3481802731275545</v>
      </c>
      <c r="K37" s="53">
        <f t="shared" si="14"/>
        <v>0</v>
      </c>
      <c r="L37" s="53">
        <v>1</v>
      </c>
      <c r="M37" s="58">
        <f t="shared" si="15"/>
        <v>0.6257669686354943</v>
      </c>
      <c r="N37" s="58">
        <f t="shared" si="16"/>
        <v>0.6257669686354943</v>
      </c>
      <c r="O37" s="59">
        <f t="shared" si="17"/>
        <v>49.434077087384644</v>
      </c>
    </row>
    <row r="38" spans="1:15" ht="13.5" thickBot="1" x14ac:dyDescent="0.25">
      <c r="A38" s="39"/>
      <c r="B38" s="40"/>
      <c r="C38" s="41"/>
      <c r="D38" s="40"/>
      <c r="E38" s="42"/>
      <c r="F38" s="40"/>
      <c r="G38" s="54"/>
      <c r="H38" s="54"/>
      <c r="I38" s="54"/>
      <c r="J38" s="54"/>
      <c r="K38" s="54"/>
      <c r="L38" s="54"/>
      <c r="M38" s="60"/>
      <c r="N38" s="60" t="s">
        <v>40</v>
      </c>
      <c r="O38" s="61">
        <f>O37</f>
        <v>49.434077087384644</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50"/>
  <sheetViews>
    <sheetView topLeftCell="A18"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Calcs'!$A$50</f>
        <v>30</v>
      </c>
      <c r="E3" s="53">
        <f t="shared" ref="E3:E18" si="0">D3*1000000/(7.48*24*60*60)</f>
        <v>46.420083184789064</v>
      </c>
      <c r="F3" s="38">
        <f>'Headloss Calcs'!$E$18</f>
        <v>140</v>
      </c>
      <c r="G3" s="53">
        <f t="shared" ref="G3:G18" si="1">3.1416/4*(B3/12)^2</f>
        <v>7.0686</v>
      </c>
      <c r="H3" s="53">
        <f t="shared" ref="H3:H18" si="2">3.1416*(B3/12)</f>
        <v>9.4247999999999994</v>
      </c>
      <c r="I3" s="53">
        <f t="shared" ref="I3:I18" si="3">G3/H3</f>
        <v>0.75</v>
      </c>
      <c r="J3" s="53">
        <f t="shared" ref="J3:J18" si="4">E3/G3</f>
        <v>6.5670830411664349</v>
      </c>
      <c r="K3" s="53">
        <f t="shared" ref="K3:K18" si="5">(J3/(1.318*F3*I3^0.63))^1.85*A3</f>
        <v>0</v>
      </c>
      <c r="L3" s="53">
        <v>0.25</v>
      </c>
      <c r="M3" s="58">
        <f t="shared" ref="M3:M18" si="6">L3*(J3^2)/(2*32.2)</f>
        <v>0.16741684654338426</v>
      </c>
      <c r="N3" s="58">
        <f t="shared" ref="N3:N18" si="7">K3+M3</f>
        <v>0.16741684654338426</v>
      </c>
      <c r="O3" s="59">
        <f>N3</f>
        <v>0.16741684654338426</v>
      </c>
    </row>
    <row r="4" spans="1:15" x14ac:dyDescent="0.2">
      <c r="A4" s="37"/>
      <c r="B4" s="55">
        <v>36</v>
      </c>
      <c r="C4" s="56" t="s">
        <v>47</v>
      </c>
      <c r="D4" s="57">
        <f>'Headloss Calcs'!$A$50</f>
        <v>30</v>
      </c>
      <c r="E4" s="53">
        <f t="shared" si="0"/>
        <v>46.420083184789064</v>
      </c>
      <c r="F4" s="38">
        <f>'Headloss Calcs'!$E$18</f>
        <v>140</v>
      </c>
      <c r="G4" s="53">
        <f t="shared" si="1"/>
        <v>7.0686</v>
      </c>
      <c r="H4" s="53">
        <f t="shared" si="2"/>
        <v>9.4247999999999994</v>
      </c>
      <c r="I4" s="53">
        <f t="shared" si="3"/>
        <v>0.75</v>
      </c>
      <c r="J4" s="53">
        <f t="shared" si="4"/>
        <v>6.5670830411664349</v>
      </c>
      <c r="K4" s="53">
        <f t="shared" si="5"/>
        <v>0</v>
      </c>
      <c r="L4" s="53">
        <v>0.25</v>
      </c>
      <c r="M4" s="58">
        <f t="shared" si="6"/>
        <v>0.16741684654338426</v>
      </c>
      <c r="N4" s="58">
        <f t="shared" si="7"/>
        <v>0.16741684654338426</v>
      </c>
      <c r="O4" s="59">
        <f t="shared" ref="O4:O18" si="8">N4+O3</f>
        <v>0.33483369308676852</v>
      </c>
    </row>
    <row r="5" spans="1:15" x14ac:dyDescent="0.2">
      <c r="A5" s="37">
        <v>1320</v>
      </c>
      <c r="B5" s="55">
        <v>36</v>
      </c>
      <c r="C5" s="56" t="s">
        <v>23</v>
      </c>
      <c r="D5" s="57">
        <f>'Headloss Calcs'!$A$50</f>
        <v>30</v>
      </c>
      <c r="E5" s="53">
        <f t="shared" si="0"/>
        <v>46.420083184789064</v>
      </c>
      <c r="F5" s="38">
        <f>'Headloss Calcs'!$E$18</f>
        <v>140</v>
      </c>
      <c r="G5" s="53">
        <f t="shared" si="1"/>
        <v>7.0686</v>
      </c>
      <c r="H5" s="53">
        <f t="shared" si="2"/>
        <v>9.4247999999999994</v>
      </c>
      <c r="I5" s="53">
        <f t="shared" si="3"/>
        <v>0.75</v>
      </c>
      <c r="J5" s="53">
        <f t="shared" si="4"/>
        <v>6.5670830411664349</v>
      </c>
      <c r="K5" s="53">
        <f t="shared" si="5"/>
        <v>3.8561044895538261</v>
      </c>
      <c r="L5" s="53"/>
      <c r="M5" s="58">
        <f t="shared" si="6"/>
        <v>0</v>
      </c>
      <c r="N5" s="58">
        <f t="shared" si="7"/>
        <v>3.8561044895538261</v>
      </c>
      <c r="O5" s="59">
        <f t="shared" si="8"/>
        <v>4.1909381826405943</v>
      </c>
    </row>
    <row r="6" spans="1:15" x14ac:dyDescent="0.2">
      <c r="A6" s="37"/>
      <c r="B6" s="55">
        <v>36</v>
      </c>
      <c r="C6" s="56" t="s">
        <v>45</v>
      </c>
      <c r="D6" s="57">
        <f>'Headloss Calcs'!$A$50</f>
        <v>30</v>
      </c>
      <c r="E6" s="53">
        <f t="shared" si="0"/>
        <v>46.420083184789064</v>
      </c>
      <c r="F6" s="38">
        <f>'Headloss Calcs'!$E$18</f>
        <v>140</v>
      </c>
      <c r="G6" s="53">
        <f t="shared" si="1"/>
        <v>7.0686</v>
      </c>
      <c r="H6" s="53">
        <f t="shared" si="2"/>
        <v>9.4247999999999994</v>
      </c>
      <c r="I6" s="53">
        <f t="shared" si="3"/>
        <v>0.75</v>
      </c>
      <c r="J6" s="53">
        <f t="shared" si="4"/>
        <v>6.5670830411664349</v>
      </c>
      <c r="K6" s="53">
        <f t="shared" si="5"/>
        <v>0</v>
      </c>
      <c r="L6" s="53">
        <v>0.2</v>
      </c>
      <c r="M6" s="58">
        <f t="shared" si="6"/>
        <v>0.13393347723470742</v>
      </c>
      <c r="N6" s="58">
        <f t="shared" si="7"/>
        <v>0.13393347723470742</v>
      </c>
      <c r="O6" s="59">
        <f t="shared" si="8"/>
        <v>4.3248716598753019</v>
      </c>
    </row>
    <row r="7" spans="1:15" x14ac:dyDescent="0.2">
      <c r="A7" s="37">
        <v>1320</v>
      </c>
      <c r="B7" s="55">
        <v>36</v>
      </c>
      <c r="C7" s="69" t="s">
        <v>23</v>
      </c>
      <c r="D7" s="57">
        <f>'Headloss Calcs'!$A$50</f>
        <v>30</v>
      </c>
      <c r="E7" s="53">
        <f t="shared" si="0"/>
        <v>46.420083184789064</v>
      </c>
      <c r="F7" s="38">
        <f>'Headloss Calcs'!$E$18</f>
        <v>140</v>
      </c>
      <c r="G7" s="53">
        <f t="shared" si="1"/>
        <v>7.0686</v>
      </c>
      <c r="H7" s="53">
        <f t="shared" si="2"/>
        <v>9.4247999999999994</v>
      </c>
      <c r="I7" s="53">
        <f t="shared" si="3"/>
        <v>0.75</v>
      </c>
      <c r="J7" s="53">
        <f t="shared" si="4"/>
        <v>6.5670830411664349</v>
      </c>
      <c r="K7" s="53">
        <f t="shared" si="5"/>
        <v>3.8561044895538261</v>
      </c>
      <c r="L7" s="53"/>
      <c r="M7" s="58">
        <f t="shared" si="6"/>
        <v>0</v>
      </c>
      <c r="N7" s="58">
        <f t="shared" si="7"/>
        <v>3.8561044895538261</v>
      </c>
      <c r="O7" s="59">
        <f t="shared" si="8"/>
        <v>8.180976149429128</v>
      </c>
    </row>
    <row r="8" spans="1:15" x14ac:dyDescent="0.2">
      <c r="A8" s="37"/>
      <c r="B8" s="55">
        <v>36</v>
      </c>
      <c r="C8" s="56" t="s">
        <v>39</v>
      </c>
      <c r="D8" s="57">
        <f>'Headloss Calcs'!$A$50</f>
        <v>30</v>
      </c>
      <c r="E8" s="53">
        <f t="shared" si="0"/>
        <v>46.420083184789064</v>
      </c>
      <c r="F8" s="38">
        <f>'Headloss Calcs'!$E$18</f>
        <v>140</v>
      </c>
      <c r="G8" s="53">
        <f t="shared" si="1"/>
        <v>7.0686</v>
      </c>
      <c r="H8" s="53">
        <f t="shared" si="2"/>
        <v>9.4247999999999994</v>
      </c>
      <c r="I8" s="53">
        <f t="shared" si="3"/>
        <v>0.75</v>
      </c>
      <c r="J8" s="53">
        <f t="shared" si="4"/>
        <v>6.5670830411664349</v>
      </c>
      <c r="K8" s="53">
        <f t="shared" si="5"/>
        <v>0</v>
      </c>
      <c r="L8" s="53">
        <v>0.4</v>
      </c>
      <c r="M8" s="58">
        <f t="shared" si="6"/>
        <v>0.26786695446941483</v>
      </c>
      <c r="N8" s="58">
        <f t="shared" si="7"/>
        <v>0.26786695446941483</v>
      </c>
      <c r="O8" s="59">
        <f t="shared" si="8"/>
        <v>8.4488431038985432</v>
      </c>
    </row>
    <row r="9" spans="1:15" x14ac:dyDescent="0.2">
      <c r="A9" s="37">
        <v>1320</v>
      </c>
      <c r="B9" s="55">
        <v>36</v>
      </c>
      <c r="C9" s="56" t="s">
        <v>23</v>
      </c>
      <c r="D9" s="57">
        <f>'Headloss Calcs'!$A$50</f>
        <v>30</v>
      </c>
      <c r="E9" s="53">
        <f t="shared" si="0"/>
        <v>46.420083184789064</v>
      </c>
      <c r="F9" s="38">
        <f>'Headloss Calcs'!$E$18</f>
        <v>140</v>
      </c>
      <c r="G9" s="53">
        <f t="shared" si="1"/>
        <v>7.0686</v>
      </c>
      <c r="H9" s="53">
        <f t="shared" si="2"/>
        <v>9.4247999999999994</v>
      </c>
      <c r="I9" s="53">
        <f t="shared" si="3"/>
        <v>0.75</v>
      </c>
      <c r="J9" s="53">
        <f t="shared" si="4"/>
        <v>6.5670830411664349</v>
      </c>
      <c r="K9" s="53">
        <f t="shared" si="5"/>
        <v>3.8561044895538261</v>
      </c>
      <c r="L9" s="53"/>
      <c r="M9" s="58">
        <f t="shared" si="6"/>
        <v>0</v>
      </c>
      <c r="N9" s="58">
        <f t="shared" si="7"/>
        <v>3.8561044895538261</v>
      </c>
      <c r="O9" s="59">
        <f t="shared" si="8"/>
        <v>12.304947593452368</v>
      </c>
    </row>
    <row r="10" spans="1:15" x14ac:dyDescent="0.2">
      <c r="A10" s="37"/>
      <c r="B10" s="55">
        <v>36</v>
      </c>
      <c r="C10" s="56" t="s">
        <v>39</v>
      </c>
      <c r="D10" s="57">
        <f>'Headloss Calcs'!$A$50</f>
        <v>30</v>
      </c>
      <c r="E10" s="53">
        <f t="shared" si="0"/>
        <v>46.420083184789064</v>
      </c>
      <c r="F10" s="38">
        <f>'Headloss Calcs'!$E$18</f>
        <v>140</v>
      </c>
      <c r="G10" s="53">
        <f t="shared" si="1"/>
        <v>7.0686</v>
      </c>
      <c r="H10" s="53">
        <f t="shared" si="2"/>
        <v>9.4247999999999994</v>
      </c>
      <c r="I10" s="53">
        <f t="shared" si="3"/>
        <v>0.75</v>
      </c>
      <c r="J10" s="53">
        <f t="shared" si="4"/>
        <v>6.5670830411664349</v>
      </c>
      <c r="K10" s="53">
        <f t="shared" si="5"/>
        <v>0</v>
      </c>
      <c r="L10" s="53">
        <v>0.4</v>
      </c>
      <c r="M10" s="58">
        <f t="shared" si="6"/>
        <v>0.26786695446941483</v>
      </c>
      <c r="N10" s="58">
        <f t="shared" si="7"/>
        <v>0.26786695446941483</v>
      </c>
      <c r="O10" s="59">
        <f t="shared" si="8"/>
        <v>12.572814547921784</v>
      </c>
    </row>
    <row r="11" spans="1:15" x14ac:dyDescent="0.2">
      <c r="A11" s="37">
        <v>1320</v>
      </c>
      <c r="B11" s="55">
        <v>36</v>
      </c>
      <c r="C11" s="56" t="s">
        <v>23</v>
      </c>
      <c r="D11" s="57">
        <f>'Headloss Calcs'!$A$50</f>
        <v>30</v>
      </c>
      <c r="E11" s="53">
        <f t="shared" si="0"/>
        <v>46.420083184789064</v>
      </c>
      <c r="F11" s="38">
        <f>'Headloss Calcs'!$E$18</f>
        <v>140</v>
      </c>
      <c r="G11" s="53">
        <f t="shared" si="1"/>
        <v>7.0686</v>
      </c>
      <c r="H11" s="53">
        <f t="shared" si="2"/>
        <v>9.4247999999999994</v>
      </c>
      <c r="I11" s="53">
        <f t="shared" si="3"/>
        <v>0.75</v>
      </c>
      <c r="J11" s="53">
        <f t="shared" si="4"/>
        <v>6.5670830411664349</v>
      </c>
      <c r="K11" s="53">
        <f t="shared" si="5"/>
        <v>3.8561044895538261</v>
      </c>
      <c r="L11" s="53"/>
      <c r="M11" s="58">
        <f t="shared" si="6"/>
        <v>0</v>
      </c>
      <c r="N11" s="58">
        <f t="shared" si="7"/>
        <v>3.8561044895538261</v>
      </c>
      <c r="O11" s="59">
        <f t="shared" si="8"/>
        <v>16.428919037475609</v>
      </c>
    </row>
    <row r="12" spans="1:15" x14ac:dyDescent="0.2">
      <c r="A12" s="37"/>
      <c r="B12" s="55">
        <v>36</v>
      </c>
      <c r="C12" s="56" t="s">
        <v>48</v>
      </c>
      <c r="D12" s="57">
        <f>'Headloss Calcs'!$A$50</f>
        <v>30</v>
      </c>
      <c r="E12" s="53">
        <f t="shared" si="0"/>
        <v>46.420083184789064</v>
      </c>
      <c r="F12" s="38">
        <f>'Headloss Calcs'!$E$18</f>
        <v>140</v>
      </c>
      <c r="G12" s="53">
        <f t="shared" si="1"/>
        <v>7.0686</v>
      </c>
      <c r="H12" s="53">
        <f t="shared" si="2"/>
        <v>9.4247999999999994</v>
      </c>
      <c r="I12" s="53">
        <f t="shared" si="3"/>
        <v>0.75</v>
      </c>
      <c r="J12" s="53">
        <f t="shared" si="4"/>
        <v>6.5670830411664349</v>
      </c>
      <c r="K12" s="53">
        <f t="shared" si="5"/>
        <v>0</v>
      </c>
      <c r="L12" s="53">
        <v>0.4</v>
      </c>
      <c r="M12" s="58">
        <f t="shared" si="6"/>
        <v>0.26786695446941483</v>
      </c>
      <c r="N12" s="58">
        <f t="shared" si="7"/>
        <v>0.26786695446941483</v>
      </c>
      <c r="O12" s="59">
        <f t="shared" si="8"/>
        <v>16.696785991945024</v>
      </c>
    </row>
    <row r="13" spans="1:15" x14ac:dyDescent="0.2">
      <c r="A13" s="37">
        <v>1320</v>
      </c>
      <c r="B13" s="55">
        <v>36</v>
      </c>
      <c r="C13" s="56" t="s">
        <v>23</v>
      </c>
      <c r="D13" s="57">
        <f>'Headloss Calcs'!$A$50</f>
        <v>30</v>
      </c>
      <c r="E13" s="53">
        <f t="shared" si="0"/>
        <v>46.420083184789064</v>
      </c>
      <c r="F13" s="38">
        <f>'Headloss Calcs'!$E$18</f>
        <v>140</v>
      </c>
      <c r="G13" s="53">
        <f t="shared" si="1"/>
        <v>7.0686</v>
      </c>
      <c r="H13" s="53">
        <f t="shared" si="2"/>
        <v>9.4247999999999994</v>
      </c>
      <c r="I13" s="53">
        <f t="shared" si="3"/>
        <v>0.75</v>
      </c>
      <c r="J13" s="53">
        <f t="shared" si="4"/>
        <v>6.5670830411664349</v>
      </c>
      <c r="K13" s="53">
        <f t="shared" si="5"/>
        <v>3.8561044895538261</v>
      </c>
      <c r="L13" s="53"/>
      <c r="M13" s="58">
        <f t="shared" si="6"/>
        <v>0</v>
      </c>
      <c r="N13" s="58">
        <f t="shared" si="7"/>
        <v>3.8561044895538261</v>
      </c>
      <c r="O13" s="59">
        <f t="shared" si="8"/>
        <v>20.552890481498849</v>
      </c>
    </row>
    <row r="14" spans="1:15" x14ac:dyDescent="0.2">
      <c r="A14" s="37"/>
      <c r="B14" s="55">
        <v>36</v>
      </c>
      <c r="C14" s="56" t="s">
        <v>39</v>
      </c>
      <c r="D14" s="57">
        <f>'Headloss Calcs'!$A$50</f>
        <v>30</v>
      </c>
      <c r="E14" s="53">
        <f t="shared" si="0"/>
        <v>46.420083184789064</v>
      </c>
      <c r="F14" s="38">
        <f>'Headloss Calcs'!$E$18</f>
        <v>140</v>
      </c>
      <c r="G14" s="53">
        <f t="shared" si="1"/>
        <v>7.0686</v>
      </c>
      <c r="H14" s="53">
        <f t="shared" si="2"/>
        <v>9.4247999999999994</v>
      </c>
      <c r="I14" s="53">
        <f t="shared" si="3"/>
        <v>0.75</v>
      </c>
      <c r="J14" s="53">
        <f t="shared" si="4"/>
        <v>6.5670830411664349</v>
      </c>
      <c r="K14" s="53">
        <f t="shared" si="5"/>
        <v>0</v>
      </c>
      <c r="L14" s="53">
        <v>0.4</v>
      </c>
      <c r="M14" s="58">
        <f t="shared" si="6"/>
        <v>0.26786695446941483</v>
      </c>
      <c r="N14" s="58">
        <f t="shared" si="7"/>
        <v>0.26786695446941483</v>
      </c>
      <c r="O14" s="59">
        <f t="shared" si="8"/>
        <v>20.820757435968265</v>
      </c>
    </row>
    <row r="15" spans="1:15" x14ac:dyDescent="0.2">
      <c r="A15" s="37">
        <v>1320</v>
      </c>
      <c r="B15" s="55">
        <v>36</v>
      </c>
      <c r="C15" s="56" t="s">
        <v>23</v>
      </c>
      <c r="D15" s="57">
        <f>'Headloss Calcs'!$A$50</f>
        <v>30</v>
      </c>
      <c r="E15" s="53">
        <f t="shared" si="0"/>
        <v>46.420083184789064</v>
      </c>
      <c r="F15" s="38">
        <f>'Headloss Calcs'!$E$18</f>
        <v>140</v>
      </c>
      <c r="G15" s="53">
        <f t="shared" si="1"/>
        <v>7.0686</v>
      </c>
      <c r="H15" s="53">
        <f t="shared" si="2"/>
        <v>9.4247999999999994</v>
      </c>
      <c r="I15" s="53">
        <f t="shared" si="3"/>
        <v>0.75</v>
      </c>
      <c r="J15" s="53">
        <f t="shared" si="4"/>
        <v>6.5670830411664349</v>
      </c>
      <c r="K15" s="53">
        <f t="shared" si="5"/>
        <v>3.8561044895538261</v>
      </c>
      <c r="L15" s="53"/>
      <c r="M15" s="58">
        <f t="shared" si="6"/>
        <v>0</v>
      </c>
      <c r="N15" s="58">
        <f t="shared" si="7"/>
        <v>3.8561044895538261</v>
      </c>
      <c r="O15" s="59">
        <f t="shared" si="8"/>
        <v>24.67686192552209</v>
      </c>
    </row>
    <row r="16" spans="1:15" x14ac:dyDescent="0.2">
      <c r="A16" s="37"/>
      <c r="B16" s="55">
        <v>36</v>
      </c>
      <c r="C16" s="56" t="s">
        <v>45</v>
      </c>
      <c r="D16" s="57">
        <f>'Headloss Calcs'!$A$50</f>
        <v>30</v>
      </c>
      <c r="E16" s="53">
        <f t="shared" si="0"/>
        <v>46.420083184789064</v>
      </c>
      <c r="F16" s="38">
        <f>'Headloss Calcs'!$E$18</f>
        <v>140</v>
      </c>
      <c r="G16" s="53">
        <f t="shared" si="1"/>
        <v>7.0686</v>
      </c>
      <c r="H16" s="53">
        <f t="shared" si="2"/>
        <v>9.4247999999999994</v>
      </c>
      <c r="I16" s="53">
        <f t="shared" si="3"/>
        <v>0.75</v>
      </c>
      <c r="J16" s="53">
        <f t="shared" si="4"/>
        <v>6.5670830411664349</v>
      </c>
      <c r="K16" s="53">
        <f t="shared" si="5"/>
        <v>0</v>
      </c>
      <c r="L16" s="53">
        <v>0.2</v>
      </c>
      <c r="M16" s="58">
        <f t="shared" si="6"/>
        <v>0.13393347723470742</v>
      </c>
      <c r="N16" s="58">
        <f t="shared" si="7"/>
        <v>0.13393347723470742</v>
      </c>
      <c r="O16" s="59">
        <f t="shared" si="8"/>
        <v>24.810795402756796</v>
      </c>
    </row>
    <row r="17" spans="1:15" x14ac:dyDescent="0.2">
      <c r="A17" s="37">
        <v>1320</v>
      </c>
      <c r="B17" s="55">
        <v>36</v>
      </c>
      <c r="C17" s="56" t="s">
        <v>23</v>
      </c>
      <c r="D17" s="57">
        <f>'Headloss Calcs'!$A$50</f>
        <v>30</v>
      </c>
      <c r="E17" s="53">
        <f t="shared" si="0"/>
        <v>46.420083184789064</v>
      </c>
      <c r="F17" s="38">
        <f>'Headloss Calcs'!$E$18</f>
        <v>140</v>
      </c>
      <c r="G17" s="53">
        <f t="shared" si="1"/>
        <v>7.0686</v>
      </c>
      <c r="H17" s="53">
        <f t="shared" si="2"/>
        <v>9.4247999999999994</v>
      </c>
      <c r="I17" s="53">
        <f t="shared" si="3"/>
        <v>0.75</v>
      </c>
      <c r="J17" s="53">
        <f t="shared" si="4"/>
        <v>6.5670830411664349</v>
      </c>
      <c r="K17" s="53">
        <f t="shared" si="5"/>
        <v>3.8561044895538261</v>
      </c>
      <c r="L17" s="53"/>
      <c r="M17" s="58">
        <f t="shared" si="6"/>
        <v>0</v>
      </c>
      <c r="N17" s="58">
        <f t="shared" si="7"/>
        <v>3.8561044895538261</v>
      </c>
      <c r="O17" s="59">
        <f t="shared" si="8"/>
        <v>28.666899892310621</v>
      </c>
    </row>
    <row r="18" spans="1:15" ht="12" customHeight="1" x14ac:dyDescent="0.2">
      <c r="A18" s="37"/>
      <c r="B18" s="55">
        <v>36</v>
      </c>
      <c r="C18" s="56" t="s">
        <v>44</v>
      </c>
      <c r="D18" s="57">
        <f>'Headloss Calcs'!$A$50</f>
        <v>30</v>
      </c>
      <c r="E18" s="53">
        <f t="shared" si="0"/>
        <v>46.420083184789064</v>
      </c>
      <c r="F18" s="38">
        <f>'Headloss Calcs'!$E$18</f>
        <v>140</v>
      </c>
      <c r="G18" s="53">
        <f t="shared" si="1"/>
        <v>7.0686</v>
      </c>
      <c r="H18" s="53">
        <f t="shared" si="2"/>
        <v>9.4247999999999994</v>
      </c>
      <c r="I18" s="53">
        <f t="shared" si="3"/>
        <v>0.75</v>
      </c>
      <c r="J18" s="53">
        <f t="shared" si="4"/>
        <v>6.5670830411664349</v>
      </c>
      <c r="K18" s="53">
        <f t="shared" si="5"/>
        <v>0</v>
      </c>
      <c r="L18" s="53">
        <v>1</v>
      </c>
      <c r="M18" s="58">
        <f t="shared" si="6"/>
        <v>0.66966738617353705</v>
      </c>
      <c r="N18" s="58">
        <f t="shared" si="7"/>
        <v>0.66966738617353705</v>
      </c>
      <c r="O18" s="59">
        <f t="shared" si="8"/>
        <v>29.336567278484157</v>
      </c>
    </row>
    <row r="19" spans="1:15" ht="13.5" thickBot="1" x14ac:dyDescent="0.25">
      <c r="A19" s="39"/>
      <c r="B19" s="40"/>
      <c r="C19" s="41"/>
      <c r="D19" s="40"/>
      <c r="E19" s="42"/>
      <c r="F19" s="40"/>
      <c r="G19" s="54"/>
      <c r="H19" s="54"/>
      <c r="I19" s="54"/>
      <c r="J19" s="54"/>
      <c r="K19" s="54"/>
      <c r="L19" s="54"/>
      <c r="M19" s="60"/>
      <c r="N19" s="60" t="s">
        <v>40</v>
      </c>
      <c r="O19" s="61">
        <f>O18</f>
        <v>29.336567278484157</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Calcs'!$A$50</f>
        <v>30</v>
      </c>
      <c r="E22" s="53">
        <f t="shared" ref="E22:E37" si="9">D22*1000000/(7.48*24*60*60)</f>
        <v>46.420083184789064</v>
      </c>
      <c r="F22" s="38">
        <f>'Headloss Calcs'!$H$18</f>
        <v>100</v>
      </c>
      <c r="G22" s="53">
        <f t="shared" ref="G22:G37" si="10">3.1416/4*(B22/12)^2</f>
        <v>7.0686</v>
      </c>
      <c r="H22" s="53">
        <f t="shared" ref="H22:H37" si="11">3.1416*(B22/12)</f>
        <v>9.4247999999999994</v>
      </c>
      <c r="I22" s="53">
        <f t="shared" ref="I22:I37" si="12">G22/H22</f>
        <v>0.75</v>
      </c>
      <c r="J22" s="53">
        <f t="shared" ref="J22:J37" si="13">E22/G22</f>
        <v>6.5670830411664349</v>
      </c>
      <c r="K22" s="53">
        <f t="shared" ref="K22:K37" si="14">(J22/(1.318*F22*I22^0.63))^1.85*A22</f>
        <v>0</v>
      </c>
      <c r="L22" s="53">
        <v>0.25</v>
      </c>
      <c r="M22" s="58">
        <f t="shared" ref="M22:M37" si="15">L22*(J22^2)/(2*32.2)</f>
        <v>0.16741684654338426</v>
      </c>
      <c r="N22" s="58">
        <f t="shared" ref="N22:N37" si="16">K22+M22</f>
        <v>0.16741684654338426</v>
      </c>
      <c r="O22" s="59">
        <f>N22</f>
        <v>0.16741684654338426</v>
      </c>
    </row>
    <row r="23" spans="1:15" x14ac:dyDescent="0.2">
      <c r="A23" s="37"/>
      <c r="B23" s="55">
        <v>36</v>
      </c>
      <c r="C23" s="56" t="s">
        <v>47</v>
      </c>
      <c r="D23" s="57">
        <f>'Headloss Calcs'!$A$50</f>
        <v>30</v>
      </c>
      <c r="E23" s="53">
        <f t="shared" si="9"/>
        <v>46.420083184789064</v>
      </c>
      <c r="F23" s="38">
        <f>'Headloss Calcs'!$H$18</f>
        <v>100</v>
      </c>
      <c r="G23" s="53">
        <f t="shared" si="10"/>
        <v>7.0686</v>
      </c>
      <c r="H23" s="53">
        <f t="shared" si="11"/>
        <v>9.4247999999999994</v>
      </c>
      <c r="I23" s="53">
        <f t="shared" si="12"/>
        <v>0.75</v>
      </c>
      <c r="J23" s="53">
        <f t="shared" si="13"/>
        <v>6.5670830411664349</v>
      </c>
      <c r="K23" s="53">
        <f t="shared" si="14"/>
        <v>0</v>
      </c>
      <c r="L23" s="53">
        <v>0.25</v>
      </c>
      <c r="M23" s="58">
        <f t="shared" si="15"/>
        <v>0.16741684654338426</v>
      </c>
      <c r="N23" s="58">
        <f t="shared" si="16"/>
        <v>0.16741684654338426</v>
      </c>
      <c r="O23" s="59">
        <f t="shared" ref="O23:O37" si="17">N23+O22</f>
        <v>0.33483369308676852</v>
      </c>
    </row>
    <row r="24" spans="1:15" x14ac:dyDescent="0.2">
      <c r="A24" s="37">
        <v>1320</v>
      </c>
      <c r="B24" s="55">
        <v>36</v>
      </c>
      <c r="C24" s="56" t="s">
        <v>23</v>
      </c>
      <c r="D24" s="57">
        <f>'Headloss Calcs'!$A$50</f>
        <v>30</v>
      </c>
      <c r="E24" s="53">
        <f t="shared" si="9"/>
        <v>46.420083184789064</v>
      </c>
      <c r="F24" s="38">
        <f>'Headloss Calcs'!$H$18</f>
        <v>100</v>
      </c>
      <c r="G24" s="53">
        <f t="shared" si="10"/>
        <v>7.0686</v>
      </c>
      <c r="H24" s="53">
        <f t="shared" si="11"/>
        <v>9.4247999999999994</v>
      </c>
      <c r="I24" s="53">
        <f t="shared" si="12"/>
        <v>0.75</v>
      </c>
      <c r="J24" s="53">
        <f t="shared" si="13"/>
        <v>6.5670830411664349</v>
      </c>
      <c r="K24" s="53">
        <f t="shared" si="14"/>
        <v>7.1859742982563892</v>
      </c>
      <c r="L24" s="53"/>
      <c r="M24" s="58">
        <f t="shared" si="15"/>
        <v>0</v>
      </c>
      <c r="N24" s="58">
        <f t="shared" si="16"/>
        <v>7.1859742982563892</v>
      </c>
      <c r="O24" s="59">
        <f t="shared" si="17"/>
        <v>7.5208079913431574</v>
      </c>
    </row>
    <row r="25" spans="1:15" x14ac:dyDescent="0.2">
      <c r="A25" s="37"/>
      <c r="B25" s="55">
        <v>36</v>
      </c>
      <c r="C25" s="56" t="s">
        <v>45</v>
      </c>
      <c r="D25" s="57">
        <f>'Headloss Calcs'!$A$50</f>
        <v>30</v>
      </c>
      <c r="E25" s="53">
        <f t="shared" si="9"/>
        <v>46.420083184789064</v>
      </c>
      <c r="F25" s="38">
        <f>'Headloss Calcs'!$H$18</f>
        <v>100</v>
      </c>
      <c r="G25" s="53">
        <f t="shared" si="10"/>
        <v>7.0686</v>
      </c>
      <c r="H25" s="53">
        <f t="shared" si="11"/>
        <v>9.4247999999999994</v>
      </c>
      <c r="I25" s="53">
        <f t="shared" si="12"/>
        <v>0.75</v>
      </c>
      <c r="J25" s="53">
        <f t="shared" si="13"/>
        <v>6.5670830411664349</v>
      </c>
      <c r="K25" s="53">
        <f t="shared" si="14"/>
        <v>0</v>
      </c>
      <c r="L25" s="53">
        <v>0.2</v>
      </c>
      <c r="M25" s="58">
        <f t="shared" si="15"/>
        <v>0.13393347723470742</v>
      </c>
      <c r="N25" s="58">
        <f t="shared" si="16"/>
        <v>0.13393347723470742</v>
      </c>
      <c r="O25" s="59">
        <f t="shared" si="17"/>
        <v>7.654741468577865</v>
      </c>
    </row>
    <row r="26" spans="1:15" x14ac:dyDescent="0.2">
      <c r="A26" s="37">
        <v>1320</v>
      </c>
      <c r="B26" s="55">
        <v>36</v>
      </c>
      <c r="C26" s="69" t="s">
        <v>23</v>
      </c>
      <c r="D26" s="57">
        <f>'Headloss Calcs'!$A$50</f>
        <v>30</v>
      </c>
      <c r="E26" s="53">
        <f t="shared" si="9"/>
        <v>46.420083184789064</v>
      </c>
      <c r="F26" s="38">
        <f>'Headloss Calcs'!$H$18</f>
        <v>100</v>
      </c>
      <c r="G26" s="53">
        <f t="shared" si="10"/>
        <v>7.0686</v>
      </c>
      <c r="H26" s="53">
        <f t="shared" si="11"/>
        <v>9.4247999999999994</v>
      </c>
      <c r="I26" s="53">
        <f t="shared" si="12"/>
        <v>0.75</v>
      </c>
      <c r="J26" s="53">
        <f t="shared" si="13"/>
        <v>6.5670830411664349</v>
      </c>
      <c r="K26" s="53">
        <f t="shared" si="14"/>
        <v>7.1859742982563892</v>
      </c>
      <c r="L26" s="53"/>
      <c r="M26" s="58">
        <f t="shared" si="15"/>
        <v>0</v>
      </c>
      <c r="N26" s="58">
        <f t="shared" si="16"/>
        <v>7.1859742982563892</v>
      </c>
      <c r="O26" s="59">
        <f t="shared" si="17"/>
        <v>14.840715766834254</v>
      </c>
    </row>
    <row r="27" spans="1:15" x14ac:dyDescent="0.2">
      <c r="A27" s="37"/>
      <c r="B27" s="55">
        <v>36</v>
      </c>
      <c r="C27" s="56" t="s">
        <v>39</v>
      </c>
      <c r="D27" s="57">
        <f>'Headloss Calcs'!$A$50</f>
        <v>30</v>
      </c>
      <c r="E27" s="53">
        <f t="shared" si="9"/>
        <v>46.420083184789064</v>
      </c>
      <c r="F27" s="38">
        <f>'Headloss Calcs'!$H$18</f>
        <v>100</v>
      </c>
      <c r="G27" s="53">
        <f t="shared" si="10"/>
        <v>7.0686</v>
      </c>
      <c r="H27" s="53">
        <f t="shared" si="11"/>
        <v>9.4247999999999994</v>
      </c>
      <c r="I27" s="53">
        <f t="shared" si="12"/>
        <v>0.75</v>
      </c>
      <c r="J27" s="53">
        <f t="shared" si="13"/>
        <v>6.5670830411664349</v>
      </c>
      <c r="K27" s="53">
        <f t="shared" si="14"/>
        <v>0</v>
      </c>
      <c r="L27" s="53">
        <v>0.4</v>
      </c>
      <c r="M27" s="58">
        <f t="shared" si="15"/>
        <v>0.26786695446941483</v>
      </c>
      <c r="N27" s="58">
        <f t="shared" si="16"/>
        <v>0.26786695446941483</v>
      </c>
      <c r="O27" s="59">
        <f t="shared" si="17"/>
        <v>15.108582721303669</v>
      </c>
    </row>
    <row r="28" spans="1:15" x14ac:dyDescent="0.2">
      <c r="A28" s="37">
        <v>1320</v>
      </c>
      <c r="B28" s="55">
        <v>36</v>
      </c>
      <c r="C28" s="56" t="s">
        <v>23</v>
      </c>
      <c r="D28" s="57">
        <f>'Headloss Calcs'!$A$50</f>
        <v>30</v>
      </c>
      <c r="E28" s="53">
        <f t="shared" si="9"/>
        <v>46.420083184789064</v>
      </c>
      <c r="F28" s="38">
        <f>'Headloss Calcs'!$H$18</f>
        <v>100</v>
      </c>
      <c r="G28" s="53">
        <f t="shared" si="10"/>
        <v>7.0686</v>
      </c>
      <c r="H28" s="53">
        <f t="shared" si="11"/>
        <v>9.4247999999999994</v>
      </c>
      <c r="I28" s="53">
        <f t="shared" si="12"/>
        <v>0.75</v>
      </c>
      <c r="J28" s="53">
        <f t="shared" si="13"/>
        <v>6.5670830411664349</v>
      </c>
      <c r="K28" s="53">
        <f t="shared" si="14"/>
        <v>7.1859742982563892</v>
      </c>
      <c r="L28" s="53"/>
      <c r="M28" s="58">
        <f t="shared" si="15"/>
        <v>0</v>
      </c>
      <c r="N28" s="58">
        <f t="shared" si="16"/>
        <v>7.1859742982563892</v>
      </c>
      <c r="O28" s="59">
        <f t="shared" si="17"/>
        <v>22.29455701956006</v>
      </c>
    </row>
    <row r="29" spans="1:15" x14ac:dyDescent="0.2">
      <c r="A29" s="37"/>
      <c r="B29" s="55">
        <v>36</v>
      </c>
      <c r="C29" s="56" t="s">
        <v>39</v>
      </c>
      <c r="D29" s="57">
        <f>'Headloss Calcs'!$A$50</f>
        <v>30</v>
      </c>
      <c r="E29" s="53">
        <f t="shared" si="9"/>
        <v>46.420083184789064</v>
      </c>
      <c r="F29" s="38">
        <f>'Headloss Calcs'!$H$18</f>
        <v>100</v>
      </c>
      <c r="G29" s="53">
        <f t="shared" si="10"/>
        <v>7.0686</v>
      </c>
      <c r="H29" s="53">
        <f t="shared" si="11"/>
        <v>9.4247999999999994</v>
      </c>
      <c r="I29" s="53">
        <f t="shared" si="12"/>
        <v>0.75</v>
      </c>
      <c r="J29" s="53">
        <f t="shared" si="13"/>
        <v>6.5670830411664349</v>
      </c>
      <c r="K29" s="53">
        <f t="shared" si="14"/>
        <v>0</v>
      </c>
      <c r="L29" s="53">
        <v>0.4</v>
      </c>
      <c r="M29" s="58">
        <f t="shared" si="15"/>
        <v>0.26786695446941483</v>
      </c>
      <c r="N29" s="58">
        <f t="shared" si="16"/>
        <v>0.26786695446941483</v>
      </c>
      <c r="O29" s="59">
        <f t="shared" si="17"/>
        <v>22.562423974029475</v>
      </c>
    </row>
    <row r="30" spans="1:15" x14ac:dyDescent="0.2">
      <c r="A30" s="37">
        <v>1320</v>
      </c>
      <c r="B30" s="55">
        <v>36</v>
      </c>
      <c r="C30" s="56" t="s">
        <v>23</v>
      </c>
      <c r="D30" s="57">
        <f>'Headloss Calcs'!$A$50</f>
        <v>30</v>
      </c>
      <c r="E30" s="53">
        <f t="shared" si="9"/>
        <v>46.420083184789064</v>
      </c>
      <c r="F30" s="38">
        <f>'Headloss Calcs'!$H$18</f>
        <v>100</v>
      </c>
      <c r="G30" s="53">
        <f t="shared" si="10"/>
        <v>7.0686</v>
      </c>
      <c r="H30" s="53">
        <f t="shared" si="11"/>
        <v>9.4247999999999994</v>
      </c>
      <c r="I30" s="53">
        <f t="shared" si="12"/>
        <v>0.75</v>
      </c>
      <c r="J30" s="53">
        <f t="shared" si="13"/>
        <v>6.5670830411664349</v>
      </c>
      <c r="K30" s="53">
        <f t="shared" si="14"/>
        <v>7.1859742982563892</v>
      </c>
      <c r="L30" s="53"/>
      <c r="M30" s="58">
        <f t="shared" si="15"/>
        <v>0</v>
      </c>
      <c r="N30" s="58">
        <f t="shared" si="16"/>
        <v>7.1859742982563892</v>
      </c>
      <c r="O30" s="59">
        <f t="shared" si="17"/>
        <v>29.748398272285865</v>
      </c>
    </row>
    <row r="31" spans="1:15" x14ac:dyDescent="0.2">
      <c r="A31" s="37"/>
      <c r="B31" s="55">
        <v>36</v>
      </c>
      <c r="C31" s="56" t="s">
        <v>48</v>
      </c>
      <c r="D31" s="57">
        <f>'Headloss Calcs'!$A$50</f>
        <v>30</v>
      </c>
      <c r="E31" s="53">
        <f t="shared" si="9"/>
        <v>46.420083184789064</v>
      </c>
      <c r="F31" s="38">
        <f>'Headloss Calcs'!$H$18</f>
        <v>100</v>
      </c>
      <c r="G31" s="53">
        <f t="shared" si="10"/>
        <v>7.0686</v>
      </c>
      <c r="H31" s="53">
        <f t="shared" si="11"/>
        <v>9.4247999999999994</v>
      </c>
      <c r="I31" s="53">
        <f t="shared" si="12"/>
        <v>0.75</v>
      </c>
      <c r="J31" s="53">
        <f t="shared" si="13"/>
        <v>6.5670830411664349</v>
      </c>
      <c r="K31" s="53">
        <f t="shared" si="14"/>
        <v>0</v>
      </c>
      <c r="L31" s="53">
        <v>0.4</v>
      </c>
      <c r="M31" s="58">
        <f t="shared" si="15"/>
        <v>0.26786695446941483</v>
      </c>
      <c r="N31" s="58">
        <f t="shared" si="16"/>
        <v>0.26786695446941483</v>
      </c>
      <c r="O31" s="59">
        <f t="shared" si="17"/>
        <v>30.01626522675528</v>
      </c>
    </row>
    <row r="32" spans="1:15" x14ac:dyDescent="0.2">
      <c r="A32" s="37">
        <v>1320</v>
      </c>
      <c r="B32" s="55">
        <v>36</v>
      </c>
      <c r="C32" s="56" t="s">
        <v>23</v>
      </c>
      <c r="D32" s="57">
        <f>'Headloss Calcs'!$A$50</f>
        <v>30</v>
      </c>
      <c r="E32" s="53">
        <f t="shared" si="9"/>
        <v>46.420083184789064</v>
      </c>
      <c r="F32" s="38">
        <f>'Headloss Calcs'!$H$18</f>
        <v>100</v>
      </c>
      <c r="G32" s="53">
        <f t="shared" si="10"/>
        <v>7.0686</v>
      </c>
      <c r="H32" s="53">
        <f t="shared" si="11"/>
        <v>9.4247999999999994</v>
      </c>
      <c r="I32" s="53">
        <f t="shared" si="12"/>
        <v>0.75</v>
      </c>
      <c r="J32" s="53">
        <f t="shared" si="13"/>
        <v>6.5670830411664349</v>
      </c>
      <c r="K32" s="53">
        <f t="shared" si="14"/>
        <v>7.1859742982563892</v>
      </c>
      <c r="L32" s="53"/>
      <c r="M32" s="58">
        <f t="shared" si="15"/>
        <v>0</v>
      </c>
      <c r="N32" s="58">
        <f t="shared" si="16"/>
        <v>7.1859742982563892</v>
      </c>
      <c r="O32" s="59">
        <f t="shared" si="17"/>
        <v>37.20223952501167</v>
      </c>
    </row>
    <row r="33" spans="1:15" x14ac:dyDescent="0.2">
      <c r="A33" s="37"/>
      <c r="B33" s="55">
        <v>36</v>
      </c>
      <c r="C33" s="56" t="s">
        <v>39</v>
      </c>
      <c r="D33" s="57">
        <f>'Headloss Calcs'!$A$50</f>
        <v>30</v>
      </c>
      <c r="E33" s="53">
        <f t="shared" si="9"/>
        <v>46.420083184789064</v>
      </c>
      <c r="F33" s="38">
        <f>'Headloss Calcs'!$H$18</f>
        <v>100</v>
      </c>
      <c r="G33" s="53">
        <f t="shared" si="10"/>
        <v>7.0686</v>
      </c>
      <c r="H33" s="53">
        <f t="shared" si="11"/>
        <v>9.4247999999999994</v>
      </c>
      <c r="I33" s="53">
        <f t="shared" si="12"/>
        <v>0.75</v>
      </c>
      <c r="J33" s="53">
        <f t="shared" si="13"/>
        <v>6.5670830411664349</v>
      </c>
      <c r="K33" s="53">
        <f t="shared" si="14"/>
        <v>0</v>
      </c>
      <c r="L33" s="53">
        <v>0.4</v>
      </c>
      <c r="M33" s="58">
        <f t="shared" si="15"/>
        <v>0.26786695446941483</v>
      </c>
      <c r="N33" s="58">
        <f t="shared" si="16"/>
        <v>0.26786695446941483</v>
      </c>
      <c r="O33" s="59">
        <f t="shared" si="17"/>
        <v>37.470106479481082</v>
      </c>
    </row>
    <row r="34" spans="1:15" x14ac:dyDescent="0.2">
      <c r="A34" s="37">
        <v>1320</v>
      </c>
      <c r="B34" s="55">
        <v>36</v>
      </c>
      <c r="C34" s="56" t="s">
        <v>23</v>
      </c>
      <c r="D34" s="57">
        <f>'Headloss Calcs'!$A$50</f>
        <v>30</v>
      </c>
      <c r="E34" s="53">
        <f t="shared" si="9"/>
        <v>46.420083184789064</v>
      </c>
      <c r="F34" s="38">
        <f>'Headloss Calcs'!$H$18</f>
        <v>100</v>
      </c>
      <c r="G34" s="53">
        <f t="shared" si="10"/>
        <v>7.0686</v>
      </c>
      <c r="H34" s="53">
        <f t="shared" si="11"/>
        <v>9.4247999999999994</v>
      </c>
      <c r="I34" s="53">
        <f t="shared" si="12"/>
        <v>0.75</v>
      </c>
      <c r="J34" s="53">
        <f t="shared" si="13"/>
        <v>6.5670830411664349</v>
      </c>
      <c r="K34" s="53">
        <f t="shared" si="14"/>
        <v>7.1859742982563892</v>
      </c>
      <c r="L34" s="53"/>
      <c r="M34" s="58">
        <f t="shared" si="15"/>
        <v>0</v>
      </c>
      <c r="N34" s="58">
        <f t="shared" si="16"/>
        <v>7.1859742982563892</v>
      </c>
      <c r="O34" s="59">
        <f t="shared" si="17"/>
        <v>44.656080777737472</v>
      </c>
    </row>
    <row r="35" spans="1:15" x14ac:dyDescent="0.2">
      <c r="A35" s="37"/>
      <c r="B35" s="55">
        <v>36</v>
      </c>
      <c r="C35" s="56" t="s">
        <v>45</v>
      </c>
      <c r="D35" s="57">
        <f>'Headloss Calcs'!$A$50</f>
        <v>30</v>
      </c>
      <c r="E35" s="53">
        <f t="shared" si="9"/>
        <v>46.420083184789064</v>
      </c>
      <c r="F35" s="38">
        <f>'Headloss Calcs'!$H$18</f>
        <v>100</v>
      </c>
      <c r="G35" s="53">
        <f t="shared" si="10"/>
        <v>7.0686</v>
      </c>
      <c r="H35" s="53">
        <f t="shared" si="11"/>
        <v>9.4247999999999994</v>
      </c>
      <c r="I35" s="53">
        <f t="shared" si="12"/>
        <v>0.75</v>
      </c>
      <c r="J35" s="53">
        <f t="shared" si="13"/>
        <v>6.5670830411664349</v>
      </c>
      <c r="K35" s="53">
        <f t="shared" si="14"/>
        <v>0</v>
      </c>
      <c r="L35" s="53">
        <v>0.2</v>
      </c>
      <c r="M35" s="58">
        <f t="shared" si="15"/>
        <v>0.13393347723470742</v>
      </c>
      <c r="N35" s="58">
        <f t="shared" si="16"/>
        <v>0.13393347723470742</v>
      </c>
      <c r="O35" s="59">
        <f t="shared" si="17"/>
        <v>44.790014254972178</v>
      </c>
    </row>
    <row r="36" spans="1:15" x14ac:dyDescent="0.2">
      <c r="A36" s="37">
        <v>1320</v>
      </c>
      <c r="B36" s="55">
        <v>36</v>
      </c>
      <c r="C36" s="56" t="s">
        <v>23</v>
      </c>
      <c r="D36" s="57">
        <f>'Headloss Calcs'!$A$50</f>
        <v>30</v>
      </c>
      <c r="E36" s="53">
        <f t="shared" si="9"/>
        <v>46.420083184789064</v>
      </c>
      <c r="F36" s="38">
        <f>'Headloss Calcs'!$H$18</f>
        <v>100</v>
      </c>
      <c r="G36" s="53">
        <f t="shared" si="10"/>
        <v>7.0686</v>
      </c>
      <c r="H36" s="53">
        <f t="shared" si="11"/>
        <v>9.4247999999999994</v>
      </c>
      <c r="I36" s="53">
        <f t="shared" si="12"/>
        <v>0.75</v>
      </c>
      <c r="J36" s="53">
        <f t="shared" si="13"/>
        <v>6.5670830411664349</v>
      </c>
      <c r="K36" s="53">
        <f t="shared" si="14"/>
        <v>7.1859742982563892</v>
      </c>
      <c r="L36" s="53"/>
      <c r="M36" s="58">
        <f t="shared" si="15"/>
        <v>0</v>
      </c>
      <c r="N36" s="58">
        <f t="shared" si="16"/>
        <v>7.1859742982563892</v>
      </c>
      <c r="O36" s="59">
        <f t="shared" si="17"/>
        <v>51.975988553228568</v>
      </c>
    </row>
    <row r="37" spans="1:15" ht="12" customHeight="1" x14ac:dyDescent="0.2">
      <c r="A37" s="37"/>
      <c r="B37" s="55">
        <v>36</v>
      </c>
      <c r="C37" s="56" t="s">
        <v>44</v>
      </c>
      <c r="D37" s="57">
        <f>'Headloss Calcs'!$A$50</f>
        <v>30</v>
      </c>
      <c r="E37" s="53">
        <f t="shared" si="9"/>
        <v>46.420083184789064</v>
      </c>
      <c r="F37" s="38">
        <f>'Headloss Calcs'!$H$18</f>
        <v>100</v>
      </c>
      <c r="G37" s="53">
        <f t="shared" si="10"/>
        <v>7.0686</v>
      </c>
      <c r="H37" s="53">
        <f t="shared" si="11"/>
        <v>9.4247999999999994</v>
      </c>
      <c r="I37" s="53">
        <f t="shared" si="12"/>
        <v>0.75</v>
      </c>
      <c r="J37" s="53">
        <f t="shared" si="13"/>
        <v>6.5670830411664349</v>
      </c>
      <c r="K37" s="53">
        <f t="shared" si="14"/>
        <v>0</v>
      </c>
      <c r="L37" s="53">
        <v>1</v>
      </c>
      <c r="M37" s="58">
        <f t="shared" si="15"/>
        <v>0.66966738617353705</v>
      </c>
      <c r="N37" s="58">
        <f t="shared" si="16"/>
        <v>0.66966738617353705</v>
      </c>
      <c r="O37" s="59">
        <f t="shared" si="17"/>
        <v>52.645655939402104</v>
      </c>
    </row>
    <row r="38" spans="1:15" ht="13.5" thickBot="1" x14ac:dyDescent="0.25">
      <c r="A38" s="39"/>
      <c r="B38" s="40"/>
      <c r="C38" s="41"/>
      <c r="D38" s="40"/>
      <c r="E38" s="42"/>
      <c r="F38" s="40"/>
      <c r="G38" s="54"/>
      <c r="H38" s="54"/>
      <c r="I38" s="54"/>
      <c r="J38" s="54"/>
      <c r="K38" s="54"/>
      <c r="L38" s="54"/>
      <c r="M38" s="60"/>
      <c r="N38" s="60" t="s">
        <v>40</v>
      </c>
      <c r="O38" s="61">
        <f>O37</f>
        <v>52.645655939402104</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50"/>
  <sheetViews>
    <sheetView topLeftCell="A2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Calcs'!$A$51</f>
        <v>31</v>
      </c>
      <c r="E3" s="53">
        <f t="shared" ref="E3:E18" si="0">D3*1000000/(7.48*24*60*60)</f>
        <v>47.967419290948705</v>
      </c>
      <c r="F3" s="38">
        <f>'Headloss Calcs'!$E$18</f>
        <v>140</v>
      </c>
      <c r="G3" s="53">
        <f t="shared" ref="G3:G18" si="1">3.1416/4*(B3/12)^2</f>
        <v>7.0686</v>
      </c>
      <c r="H3" s="53">
        <f t="shared" ref="H3:H18" si="2">3.1416*(B3/12)</f>
        <v>9.4247999999999994</v>
      </c>
      <c r="I3" s="53">
        <f t="shared" ref="I3:I18" si="3">G3/H3</f>
        <v>0.75</v>
      </c>
      <c r="J3" s="53">
        <f t="shared" ref="J3:J18" si="4">E3/G3</f>
        <v>6.7859858092053171</v>
      </c>
      <c r="K3" s="53">
        <f t="shared" ref="K3:K18" si="5">(J3/(1.318*F3*I3^0.63))^1.85*A3</f>
        <v>0</v>
      </c>
      <c r="L3" s="53">
        <v>0.25</v>
      </c>
      <c r="M3" s="58">
        <f t="shared" ref="M3:M18" si="6">L3*(J3^2)/(2*32.2)</f>
        <v>0.17876398836465815</v>
      </c>
      <c r="N3" s="58">
        <f t="shared" ref="N3:N18" si="7">K3+M3</f>
        <v>0.17876398836465815</v>
      </c>
      <c r="O3" s="59">
        <f>N3</f>
        <v>0.17876398836465815</v>
      </c>
    </row>
    <row r="4" spans="1:15" x14ac:dyDescent="0.2">
      <c r="A4" s="37"/>
      <c r="B4" s="55">
        <v>36</v>
      </c>
      <c r="C4" s="56" t="s">
        <v>47</v>
      </c>
      <c r="D4" s="57">
        <f>'Headloss Calcs'!$A$51</f>
        <v>31</v>
      </c>
      <c r="E4" s="53">
        <f t="shared" si="0"/>
        <v>47.967419290948705</v>
      </c>
      <c r="F4" s="38">
        <f>'Headloss Calcs'!$E$18</f>
        <v>140</v>
      </c>
      <c r="G4" s="53">
        <f t="shared" si="1"/>
        <v>7.0686</v>
      </c>
      <c r="H4" s="53">
        <f t="shared" si="2"/>
        <v>9.4247999999999994</v>
      </c>
      <c r="I4" s="53">
        <f t="shared" si="3"/>
        <v>0.75</v>
      </c>
      <c r="J4" s="53">
        <f t="shared" si="4"/>
        <v>6.7859858092053171</v>
      </c>
      <c r="K4" s="53">
        <f t="shared" si="5"/>
        <v>0</v>
      </c>
      <c r="L4" s="53">
        <v>0.25</v>
      </c>
      <c r="M4" s="58">
        <f t="shared" si="6"/>
        <v>0.17876398836465815</v>
      </c>
      <c r="N4" s="58">
        <f t="shared" si="7"/>
        <v>0.17876398836465815</v>
      </c>
      <c r="O4" s="59">
        <f t="shared" ref="O4:O18" si="8">N4+O3</f>
        <v>0.3575279767293163</v>
      </c>
    </row>
    <row r="5" spans="1:15" x14ac:dyDescent="0.2">
      <c r="A5" s="37">
        <v>1320</v>
      </c>
      <c r="B5" s="55">
        <v>36</v>
      </c>
      <c r="C5" s="56" t="s">
        <v>23</v>
      </c>
      <c r="D5" s="57">
        <f>'Headloss Calcs'!$A$51</f>
        <v>31</v>
      </c>
      <c r="E5" s="53">
        <f t="shared" si="0"/>
        <v>47.967419290948705</v>
      </c>
      <c r="F5" s="38">
        <f>'Headloss Calcs'!$E$18</f>
        <v>140</v>
      </c>
      <c r="G5" s="53">
        <f t="shared" si="1"/>
        <v>7.0686</v>
      </c>
      <c r="H5" s="53">
        <f t="shared" si="2"/>
        <v>9.4247999999999994</v>
      </c>
      <c r="I5" s="53">
        <f t="shared" si="3"/>
        <v>0.75</v>
      </c>
      <c r="J5" s="53">
        <f t="shared" si="4"/>
        <v>6.7859858092053171</v>
      </c>
      <c r="K5" s="53">
        <f t="shared" si="5"/>
        <v>4.0972607739593236</v>
      </c>
      <c r="L5" s="53"/>
      <c r="M5" s="58">
        <f t="shared" si="6"/>
        <v>0</v>
      </c>
      <c r="N5" s="58">
        <f t="shared" si="7"/>
        <v>4.0972607739593236</v>
      </c>
      <c r="O5" s="59">
        <f t="shared" si="8"/>
        <v>4.4547887506886399</v>
      </c>
    </row>
    <row r="6" spans="1:15" x14ac:dyDescent="0.2">
      <c r="A6" s="37"/>
      <c r="B6" s="55">
        <v>36</v>
      </c>
      <c r="C6" s="56" t="s">
        <v>45</v>
      </c>
      <c r="D6" s="57">
        <f>'Headloss Calcs'!$A$51</f>
        <v>31</v>
      </c>
      <c r="E6" s="53">
        <f t="shared" si="0"/>
        <v>47.967419290948705</v>
      </c>
      <c r="F6" s="38">
        <f>'Headloss Calcs'!$E$18</f>
        <v>140</v>
      </c>
      <c r="G6" s="53">
        <f t="shared" si="1"/>
        <v>7.0686</v>
      </c>
      <c r="H6" s="53">
        <f t="shared" si="2"/>
        <v>9.4247999999999994</v>
      </c>
      <c r="I6" s="53">
        <f t="shared" si="3"/>
        <v>0.75</v>
      </c>
      <c r="J6" s="53">
        <f t="shared" si="4"/>
        <v>6.7859858092053171</v>
      </c>
      <c r="K6" s="53">
        <f t="shared" si="5"/>
        <v>0</v>
      </c>
      <c r="L6" s="53">
        <v>0.2</v>
      </c>
      <c r="M6" s="58">
        <f t="shared" si="6"/>
        <v>0.14301119069172652</v>
      </c>
      <c r="N6" s="58">
        <f t="shared" si="7"/>
        <v>0.14301119069172652</v>
      </c>
      <c r="O6" s="59">
        <f t="shared" si="8"/>
        <v>4.5977999413803667</v>
      </c>
    </row>
    <row r="7" spans="1:15" x14ac:dyDescent="0.2">
      <c r="A7" s="37">
        <v>1320</v>
      </c>
      <c r="B7" s="55">
        <v>36</v>
      </c>
      <c r="C7" s="69" t="s">
        <v>23</v>
      </c>
      <c r="D7" s="57">
        <f>'Headloss Calcs'!$A$51</f>
        <v>31</v>
      </c>
      <c r="E7" s="53">
        <f t="shared" si="0"/>
        <v>47.967419290948705</v>
      </c>
      <c r="F7" s="38">
        <f>'Headloss Calcs'!$E$18</f>
        <v>140</v>
      </c>
      <c r="G7" s="53">
        <f t="shared" si="1"/>
        <v>7.0686</v>
      </c>
      <c r="H7" s="53">
        <f t="shared" si="2"/>
        <v>9.4247999999999994</v>
      </c>
      <c r="I7" s="53">
        <f t="shared" si="3"/>
        <v>0.75</v>
      </c>
      <c r="J7" s="53">
        <f t="shared" si="4"/>
        <v>6.7859858092053171</v>
      </c>
      <c r="K7" s="53">
        <f t="shared" si="5"/>
        <v>4.0972607739593236</v>
      </c>
      <c r="L7" s="53"/>
      <c r="M7" s="58">
        <f t="shared" si="6"/>
        <v>0</v>
      </c>
      <c r="N7" s="58">
        <f t="shared" si="7"/>
        <v>4.0972607739593236</v>
      </c>
      <c r="O7" s="59">
        <f t="shared" si="8"/>
        <v>8.6950607153396895</v>
      </c>
    </row>
    <row r="8" spans="1:15" x14ac:dyDescent="0.2">
      <c r="A8" s="37"/>
      <c r="B8" s="55">
        <v>36</v>
      </c>
      <c r="C8" s="56" t="s">
        <v>39</v>
      </c>
      <c r="D8" s="57">
        <f>'Headloss Calcs'!$A$51</f>
        <v>31</v>
      </c>
      <c r="E8" s="53">
        <f t="shared" si="0"/>
        <v>47.967419290948705</v>
      </c>
      <c r="F8" s="38">
        <f>'Headloss Calcs'!$E$18</f>
        <v>140</v>
      </c>
      <c r="G8" s="53">
        <f t="shared" si="1"/>
        <v>7.0686</v>
      </c>
      <c r="H8" s="53">
        <f t="shared" si="2"/>
        <v>9.4247999999999994</v>
      </c>
      <c r="I8" s="53">
        <f t="shared" si="3"/>
        <v>0.75</v>
      </c>
      <c r="J8" s="53">
        <f t="shared" si="4"/>
        <v>6.7859858092053171</v>
      </c>
      <c r="K8" s="53">
        <f t="shared" si="5"/>
        <v>0</v>
      </c>
      <c r="L8" s="53">
        <v>0.4</v>
      </c>
      <c r="M8" s="58">
        <f t="shared" si="6"/>
        <v>0.28602238138345304</v>
      </c>
      <c r="N8" s="58">
        <f t="shared" si="7"/>
        <v>0.28602238138345304</v>
      </c>
      <c r="O8" s="59">
        <f t="shared" si="8"/>
        <v>8.9810830967231432</v>
      </c>
    </row>
    <row r="9" spans="1:15" x14ac:dyDescent="0.2">
      <c r="A9" s="37">
        <v>1320</v>
      </c>
      <c r="B9" s="55">
        <v>36</v>
      </c>
      <c r="C9" s="56" t="s">
        <v>23</v>
      </c>
      <c r="D9" s="57">
        <f>'Headloss Calcs'!$A$51</f>
        <v>31</v>
      </c>
      <c r="E9" s="53">
        <f t="shared" si="0"/>
        <v>47.967419290948705</v>
      </c>
      <c r="F9" s="38">
        <f>'Headloss Calcs'!$E$18</f>
        <v>140</v>
      </c>
      <c r="G9" s="53">
        <f t="shared" si="1"/>
        <v>7.0686</v>
      </c>
      <c r="H9" s="53">
        <f t="shared" si="2"/>
        <v>9.4247999999999994</v>
      </c>
      <c r="I9" s="53">
        <f t="shared" si="3"/>
        <v>0.75</v>
      </c>
      <c r="J9" s="53">
        <f t="shared" si="4"/>
        <v>6.7859858092053171</v>
      </c>
      <c r="K9" s="53">
        <f t="shared" si="5"/>
        <v>4.0972607739593236</v>
      </c>
      <c r="L9" s="53"/>
      <c r="M9" s="58">
        <f t="shared" si="6"/>
        <v>0</v>
      </c>
      <c r="N9" s="58">
        <f t="shared" si="7"/>
        <v>4.0972607739593236</v>
      </c>
      <c r="O9" s="59">
        <f t="shared" si="8"/>
        <v>13.078343870682467</v>
      </c>
    </row>
    <row r="10" spans="1:15" x14ac:dyDescent="0.2">
      <c r="A10" s="37"/>
      <c r="B10" s="55">
        <v>36</v>
      </c>
      <c r="C10" s="56" t="s">
        <v>39</v>
      </c>
      <c r="D10" s="57">
        <f>'Headloss Calcs'!$A$51</f>
        <v>31</v>
      </c>
      <c r="E10" s="53">
        <f t="shared" si="0"/>
        <v>47.967419290948705</v>
      </c>
      <c r="F10" s="38">
        <f>'Headloss Calcs'!$E$18</f>
        <v>140</v>
      </c>
      <c r="G10" s="53">
        <f t="shared" si="1"/>
        <v>7.0686</v>
      </c>
      <c r="H10" s="53">
        <f t="shared" si="2"/>
        <v>9.4247999999999994</v>
      </c>
      <c r="I10" s="53">
        <f t="shared" si="3"/>
        <v>0.75</v>
      </c>
      <c r="J10" s="53">
        <f t="shared" si="4"/>
        <v>6.7859858092053171</v>
      </c>
      <c r="K10" s="53">
        <f t="shared" si="5"/>
        <v>0</v>
      </c>
      <c r="L10" s="53">
        <v>0.4</v>
      </c>
      <c r="M10" s="58">
        <f t="shared" si="6"/>
        <v>0.28602238138345304</v>
      </c>
      <c r="N10" s="58">
        <f t="shared" si="7"/>
        <v>0.28602238138345304</v>
      </c>
      <c r="O10" s="59">
        <f t="shared" si="8"/>
        <v>13.364366252065921</v>
      </c>
    </row>
    <row r="11" spans="1:15" x14ac:dyDescent="0.2">
      <c r="A11" s="37">
        <v>1320</v>
      </c>
      <c r="B11" s="55">
        <v>36</v>
      </c>
      <c r="C11" s="56" t="s">
        <v>23</v>
      </c>
      <c r="D11" s="57">
        <f>'Headloss Calcs'!$A$51</f>
        <v>31</v>
      </c>
      <c r="E11" s="53">
        <f t="shared" si="0"/>
        <v>47.967419290948705</v>
      </c>
      <c r="F11" s="38">
        <f>'Headloss Calcs'!$E$18</f>
        <v>140</v>
      </c>
      <c r="G11" s="53">
        <f t="shared" si="1"/>
        <v>7.0686</v>
      </c>
      <c r="H11" s="53">
        <f t="shared" si="2"/>
        <v>9.4247999999999994</v>
      </c>
      <c r="I11" s="53">
        <f t="shared" si="3"/>
        <v>0.75</v>
      </c>
      <c r="J11" s="53">
        <f t="shared" si="4"/>
        <v>6.7859858092053171</v>
      </c>
      <c r="K11" s="53">
        <f t="shared" si="5"/>
        <v>4.0972607739593236</v>
      </c>
      <c r="L11" s="53"/>
      <c r="M11" s="58">
        <f t="shared" si="6"/>
        <v>0</v>
      </c>
      <c r="N11" s="58">
        <f t="shared" si="7"/>
        <v>4.0972607739593236</v>
      </c>
      <c r="O11" s="59">
        <f t="shared" si="8"/>
        <v>17.461627026025244</v>
      </c>
    </row>
    <row r="12" spans="1:15" x14ac:dyDescent="0.2">
      <c r="A12" s="37"/>
      <c r="B12" s="55">
        <v>36</v>
      </c>
      <c r="C12" s="56" t="s">
        <v>48</v>
      </c>
      <c r="D12" s="57">
        <f>'Headloss Calcs'!$A$51</f>
        <v>31</v>
      </c>
      <c r="E12" s="53">
        <f t="shared" si="0"/>
        <v>47.967419290948705</v>
      </c>
      <c r="F12" s="38">
        <f>'Headloss Calcs'!$E$18</f>
        <v>140</v>
      </c>
      <c r="G12" s="53">
        <f t="shared" si="1"/>
        <v>7.0686</v>
      </c>
      <c r="H12" s="53">
        <f t="shared" si="2"/>
        <v>9.4247999999999994</v>
      </c>
      <c r="I12" s="53">
        <f t="shared" si="3"/>
        <v>0.75</v>
      </c>
      <c r="J12" s="53">
        <f t="shared" si="4"/>
        <v>6.7859858092053171</v>
      </c>
      <c r="K12" s="53">
        <f t="shared" si="5"/>
        <v>0</v>
      </c>
      <c r="L12" s="53">
        <v>0.4</v>
      </c>
      <c r="M12" s="58">
        <f t="shared" si="6"/>
        <v>0.28602238138345304</v>
      </c>
      <c r="N12" s="58">
        <f t="shared" si="7"/>
        <v>0.28602238138345304</v>
      </c>
      <c r="O12" s="59">
        <f t="shared" si="8"/>
        <v>17.747649407408698</v>
      </c>
    </row>
    <row r="13" spans="1:15" x14ac:dyDescent="0.2">
      <c r="A13" s="37">
        <v>1320</v>
      </c>
      <c r="B13" s="55">
        <v>36</v>
      </c>
      <c r="C13" s="56" t="s">
        <v>23</v>
      </c>
      <c r="D13" s="57">
        <f>'Headloss Calcs'!$A$51</f>
        <v>31</v>
      </c>
      <c r="E13" s="53">
        <f t="shared" si="0"/>
        <v>47.967419290948705</v>
      </c>
      <c r="F13" s="38">
        <f>'Headloss Calcs'!$E$18</f>
        <v>140</v>
      </c>
      <c r="G13" s="53">
        <f t="shared" si="1"/>
        <v>7.0686</v>
      </c>
      <c r="H13" s="53">
        <f t="shared" si="2"/>
        <v>9.4247999999999994</v>
      </c>
      <c r="I13" s="53">
        <f t="shared" si="3"/>
        <v>0.75</v>
      </c>
      <c r="J13" s="53">
        <f t="shared" si="4"/>
        <v>6.7859858092053171</v>
      </c>
      <c r="K13" s="53">
        <f t="shared" si="5"/>
        <v>4.0972607739593236</v>
      </c>
      <c r="L13" s="53"/>
      <c r="M13" s="58">
        <f t="shared" si="6"/>
        <v>0</v>
      </c>
      <c r="N13" s="58">
        <f t="shared" si="7"/>
        <v>4.0972607739593236</v>
      </c>
      <c r="O13" s="59">
        <f t="shared" si="8"/>
        <v>21.844910181368022</v>
      </c>
    </row>
    <row r="14" spans="1:15" x14ac:dyDescent="0.2">
      <c r="A14" s="37"/>
      <c r="B14" s="55">
        <v>36</v>
      </c>
      <c r="C14" s="56" t="s">
        <v>39</v>
      </c>
      <c r="D14" s="57">
        <f>'Headloss Calcs'!$A$51</f>
        <v>31</v>
      </c>
      <c r="E14" s="53">
        <f t="shared" si="0"/>
        <v>47.967419290948705</v>
      </c>
      <c r="F14" s="38">
        <f>'Headloss Calcs'!$E$18</f>
        <v>140</v>
      </c>
      <c r="G14" s="53">
        <f t="shared" si="1"/>
        <v>7.0686</v>
      </c>
      <c r="H14" s="53">
        <f t="shared" si="2"/>
        <v>9.4247999999999994</v>
      </c>
      <c r="I14" s="53">
        <f t="shared" si="3"/>
        <v>0.75</v>
      </c>
      <c r="J14" s="53">
        <f t="shared" si="4"/>
        <v>6.7859858092053171</v>
      </c>
      <c r="K14" s="53">
        <f t="shared" si="5"/>
        <v>0</v>
      </c>
      <c r="L14" s="53">
        <v>0.4</v>
      </c>
      <c r="M14" s="58">
        <f t="shared" si="6"/>
        <v>0.28602238138345304</v>
      </c>
      <c r="N14" s="58">
        <f t="shared" si="7"/>
        <v>0.28602238138345304</v>
      </c>
      <c r="O14" s="59">
        <f t="shared" si="8"/>
        <v>22.130932562751475</v>
      </c>
    </row>
    <row r="15" spans="1:15" x14ac:dyDescent="0.2">
      <c r="A15" s="37">
        <v>1320</v>
      </c>
      <c r="B15" s="55">
        <v>36</v>
      </c>
      <c r="C15" s="56" t="s">
        <v>23</v>
      </c>
      <c r="D15" s="57">
        <f>'Headloss Calcs'!$A$51</f>
        <v>31</v>
      </c>
      <c r="E15" s="53">
        <f t="shared" si="0"/>
        <v>47.967419290948705</v>
      </c>
      <c r="F15" s="38">
        <f>'Headloss Calcs'!$E$18</f>
        <v>140</v>
      </c>
      <c r="G15" s="53">
        <f t="shared" si="1"/>
        <v>7.0686</v>
      </c>
      <c r="H15" s="53">
        <f t="shared" si="2"/>
        <v>9.4247999999999994</v>
      </c>
      <c r="I15" s="53">
        <f t="shared" si="3"/>
        <v>0.75</v>
      </c>
      <c r="J15" s="53">
        <f t="shared" si="4"/>
        <v>6.7859858092053171</v>
      </c>
      <c r="K15" s="53">
        <f t="shared" si="5"/>
        <v>4.0972607739593236</v>
      </c>
      <c r="L15" s="53"/>
      <c r="M15" s="58">
        <f t="shared" si="6"/>
        <v>0</v>
      </c>
      <c r="N15" s="58">
        <f t="shared" si="7"/>
        <v>4.0972607739593236</v>
      </c>
      <c r="O15" s="59">
        <f t="shared" si="8"/>
        <v>26.228193336710799</v>
      </c>
    </row>
    <row r="16" spans="1:15" x14ac:dyDescent="0.2">
      <c r="A16" s="37"/>
      <c r="B16" s="55">
        <v>36</v>
      </c>
      <c r="C16" s="56" t="s">
        <v>45</v>
      </c>
      <c r="D16" s="57">
        <f>'Headloss Calcs'!$A$51</f>
        <v>31</v>
      </c>
      <c r="E16" s="53">
        <f t="shared" si="0"/>
        <v>47.967419290948705</v>
      </c>
      <c r="F16" s="38">
        <f>'Headloss Calcs'!$E$18</f>
        <v>140</v>
      </c>
      <c r="G16" s="53">
        <f t="shared" si="1"/>
        <v>7.0686</v>
      </c>
      <c r="H16" s="53">
        <f t="shared" si="2"/>
        <v>9.4247999999999994</v>
      </c>
      <c r="I16" s="53">
        <f t="shared" si="3"/>
        <v>0.75</v>
      </c>
      <c r="J16" s="53">
        <f t="shared" si="4"/>
        <v>6.7859858092053171</v>
      </c>
      <c r="K16" s="53">
        <f t="shared" si="5"/>
        <v>0</v>
      </c>
      <c r="L16" s="53">
        <v>0.2</v>
      </c>
      <c r="M16" s="58">
        <f t="shared" si="6"/>
        <v>0.14301119069172652</v>
      </c>
      <c r="N16" s="58">
        <f t="shared" si="7"/>
        <v>0.14301119069172652</v>
      </c>
      <c r="O16" s="59">
        <f t="shared" si="8"/>
        <v>26.371204527402526</v>
      </c>
    </row>
    <row r="17" spans="1:15" x14ac:dyDescent="0.2">
      <c r="A17" s="37">
        <v>1320</v>
      </c>
      <c r="B17" s="55">
        <v>36</v>
      </c>
      <c r="C17" s="56" t="s">
        <v>23</v>
      </c>
      <c r="D17" s="57">
        <f>'Headloss Calcs'!$A$51</f>
        <v>31</v>
      </c>
      <c r="E17" s="53">
        <f t="shared" si="0"/>
        <v>47.967419290948705</v>
      </c>
      <c r="F17" s="38">
        <f>'Headloss Calcs'!$E$18</f>
        <v>140</v>
      </c>
      <c r="G17" s="53">
        <f t="shared" si="1"/>
        <v>7.0686</v>
      </c>
      <c r="H17" s="53">
        <f t="shared" si="2"/>
        <v>9.4247999999999994</v>
      </c>
      <c r="I17" s="53">
        <f t="shared" si="3"/>
        <v>0.75</v>
      </c>
      <c r="J17" s="53">
        <f t="shared" si="4"/>
        <v>6.7859858092053171</v>
      </c>
      <c r="K17" s="53">
        <f t="shared" si="5"/>
        <v>4.0972607739593236</v>
      </c>
      <c r="L17" s="53"/>
      <c r="M17" s="58">
        <f t="shared" si="6"/>
        <v>0</v>
      </c>
      <c r="N17" s="58">
        <f t="shared" si="7"/>
        <v>4.0972607739593236</v>
      </c>
      <c r="O17" s="59">
        <f t="shared" si="8"/>
        <v>30.468465301361849</v>
      </c>
    </row>
    <row r="18" spans="1:15" ht="12" customHeight="1" x14ac:dyDescent="0.2">
      <c r="A18" s="37"/>
      <c r="B18" s="55">
        <v>36</v>
      </c>
      <c r="C18" s="56" t="s">
        <v>44</v>
      </c>
      <c r="D18" s="57">
        <f>'Headloss Calcs'!$A$51</f>
        <v>31</v>
      </c>
      <c r="E18" s="53">
        <f t="shared" si="0"/>
        <v>47.967419290948705</v>
      </c>
      <c r="F18" s="38">
        <f>'Headloss Calcs'!$E$18</f>
        <v>140</v>
      </c>
      <c r="G18" s="53">
        <f t="shared" si="1"/>
        <v>7.0686</v>
      </c>
      <c r="H18" s="53">
        <f t="shared" si="2"/>
        <v>9.4247999999999994</v>
      </c>
      <c r="I18" s="53">
        <f t="shared" si="3"/>
        <v>0.75</v>
      </c>
      <c r="J18" s="53">
        <f t="shared" si="4"/>
        <v>6.7859858092053171</v>
      </c>
      <c r="K18" s="53">
        <f t="shared" si="5"/>
        <v>0</v>
      </c>
      <c r="L18" s="53">
        <v>1</v>
      </c>
      <c r="M18" s="58">
        <f t="shared" si="6"/>
        <v>0.7150559534586326</v>
      </c>
      <c r="N18" s="58">
        <f t="shared" si="7"/>
        <v>0.7150559534586326</v>
      </c>
      <c r="O18" s="59">
        <f t="shared" si="8"/>
        <v>31.183521254820484</v>
      </c>
    </row>
    <row r="19" spans="1:15" ht="13.5" thickBot="1" x14ac:dyDescent="0.25">
      <c r="A19" s="39"/>
      <c r="B19" s="40"/>
      <c r="C19" s="41"/>
      <c r="D19" s="40"/>
      <c r="E19" s="42"/>
      <c r="F19" s="40"/>
      <c r="G19" s="54"/>
      <c r="H19" s="54"/>
      <c r="I19" s="54"/>
      <c r="J19" s="54"/>
      <c r="K19" s="54"/>
      <c r="L19" s="54"/>
      <c r="M19" s="60"/>
      <c r="N19" s="60" t="s">
        <v>40</v>
      </c>
      <c r="O19" s="61">
        <f>O18</f>
        <v>31.183521254820484</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Calcs'!$A$51</f>
        <v>31</v>
      </c>
      <c r="E22" s="53">
        <f t="shared" ref="E22:E37" si="9">D22*1000000/(7.48*24*60*60)</f>
        <v>47.967419290948705</v>
      </c>
      <c r="F22" s="38">
        <f>'Headloss Calcs'!$H$18</f>
        <v>100</v>
      </c>
      <c r="G22" s="53">
        <f t="shared" ref="G22:G37" si="10">3.1416/4*(B22/12)^2</f>
        <v>7.0686</v>
      </c>
      <c r="H22" s="53">
        <f t="shared" ref="H22:H37" si="11">3.1416*(B22/12)</f>
        <v>9.4247999999999994</v>
      </c>
      <c r="I22" s="53">
        <f t="shared" ref="I22:I37" si="12">G22/H22</f>
        <v>0.75</v>
      </c>
      <c r="J22" s="53">
        <f t="shared" ref="J22:J37" si="13">E22/G22</f>
        <v>6.7859858092053171</v>
      </c>
      <c r="K22" s="53">
        <f t="shared" ref="K22:K37" si="14">(J22/(1.318*F22*I22^0.63))^1.85*A22</f>
        <v>0</v>
      </c>
      <c r="L22" s="53">
        <v>0.25</v>
      </c>
      <c r="M22" s="58">
        <f t="shared" ref="M22:M37" si="15">L22*(J22^2)/(2*32.2)</f>
        <v>0.17876398836465815</v>
      </c>
      <c r="N22" s="58">
        <f t="shared" ref="N22:N37" si="16">K22+M22</f>
        <v>0.17876398836465815</v>
      </c>
      <c r="O22" s="59">
        <f>N22</f>
        <v>0.17876398836465815</v>
      </c>
    </row>
    <row r="23" spans="1:15" x14ac:dyDescent="0.2">
      <c r="A23" s="37"/>
      <c r="B23" s="55">
        <v>36</v>
      </c>
      <c r="C23" s="56" t="s">
        <v>47</v>
      </c>
      <c r="D23" s="57">
        <f>'Headloss Calcs'!$A$51</f>
        <v>31</v>
      </c>
      <c r="E23" s="53">
        <f t="shared" si="9"/>
        <v>47.967419290948705</v>
      </c>
      <c r="F23" s="38">
        <f>'Headloss Calcs'!$H$18</f>
        <v>100</v>
      </c>
      <c r="G23" s="53">
        <f t="shared" si="10"/>
        <v>7.0686</v>
      </c>
      <c r="H23" s="53">
        <f t="shared" si="11"/>
        <v>9.4247999999999994</v>
      </c>
      <c r="I23" s="53">
        <f t="shared" si="12"/>
        <v>0.75</v>
      </c>
      <c r="J23" s="53">
        <f t="shared" si="13"/>
        <v>6.7859858092053171</v>
      </c>
      <c r="K23" s="53">
        <f t="shared" si="14"/>
        <v>0</v>
      </c>
      <c r="L23" s="53">
        <v>0.25</v>
      </c>
      <c r="M23" s="58">
        <f t="shared" si="15"/>
        <v>0.17876398836465815</v>
      </c>
      <c r="N23" s="58">
        <f t="shared" si="16"/>
        <v>0.17876398836465815</v>
      </c>
      <c r="O23" s="59">
        <f t="shared" ref="O23:O37" si="17">N23+O22</f>
        <v>0.3575279767293163</v>
      </c>
    </row>
    <row r="24" spans="1:15" x14ac:dyDescent="0.2">
      <c r="A24" s="37">
        <v>1320</v>
      </c>
      <c r="B24" s="55">
        <v>36</v>
      </c>
      <c r="C24" s="56" t="s">
        <v>23</v>
      </c>
      <c r="D24" s="57">
        <f>'Headloss Calcs'!$A$51</f>
        <v>31</v>
      </c>
      <c r="E24" s="53">
        <f t="shared" si="9"/>
        <v>47.967419290948705</v>
      </c>
      <c r="F24" s="38">
        <f>'Headloss Calcs'!$H$18</f>
        <v>100</v>
      </c>
      <c r="G24" s="53">
        <f t="shared" si="10"/>
        <v>7.0686</v>
      </c>
      <c r="H24" s="53">
        <f t="shared" si="11"/>
        <v>9.4247999999999994</v>
      </c>
      <c r="I24" s="53">
        <f t="shared" si="12"/>
        <v>0.75</v>
      </c>
      <c r="J24" s="53">
        <f t="shared" si="13"/>
        <v>6.7859858092053171</v>
      </c>
      <c r="K24" s="53">
        <f t="shared" si="14"/>
        <v>7.635376762918705</v>
      </c>
      <c r="L24" s="53"/>
      <c r="M24" s="58">
        <f t="shared" si="15"/>
        <v>0</v>
      </c>
      <c r="N24" s="58">
        <f t="shared" si="16"/>
        <v>7.635376762918705</v>
      </c>
      <c r="O24" s="59">
        <f t="shared" si="17"/>
        <v>7.9929047396480213</v>
      </c>
    </row>
    <row r="25" spans="1:15" x14ac:dyDescent="0.2">
      <c r="A25" s="37"/>
      <c r="B25" s="55">
        <v>36</v>
      </c>
      <c r="C25" s="56" t="s">
        <v>45</v>
      </c>
      <c r="D25" s="57">
        <f>'Headloss Calcs'!$A$51</f>
        <v>31</v>
      </c>
      <c r="E25" s="53">
        <f t="shared" si="9"/>
        <v>47.967419290948705</v>
      </c>
      <c r="F25" s="38">
        <f>'Headloss Calcs'!$H$18</f>
        <v>100</v>
      </c>
      <c r="G25" s="53">
        <f t="shared" si="10"/>
        <v>7.0686</v>
      </c>
      <c r="H25" s="53">
        <f t="shared" si="11"/>
        <v>9.4247999999999994</v>
      </c>
      <c r="I25" s="53">
        <f t="shared" si="12"/>
        <v>0.75</v>
      </c>
      <c r="J25" s="53">
        <f t="shared" si="13"/>
        <v>6.7859858092053171</v>
      </c>
      <c r="K25" s="53">
        <f t="shared" si="14"/>
        <v>0</v>
      </c>
      <c r="L25" s="53">
        <v>0.2</v>
      </c>
      <c r="M25" s="58">
        <f t="shared" si="15"/>
        <v>0.14301119069172652</v>
      </c>
      <c r="N25" s="58">
        <f t="shared" si="16"/>
        <v>0.14301119069172652</v>
      </c>
      <c r="O25" s="59">
        <f t="shared" si="17"/>
        <v>8.1359159303397472</v>
      </c>
    </row>
    <row r="26" spans="1:15" x14ac:dyDescent="0.2">
      <c r="A26" s="37">
        <v>1320</v>
      </c>
      <c r="B26" s="55">
        <v>36</v>
      </c>
      <c r="C26" s="69" t="s">
        <v>23</v>
      </c>
      <c r="D26" s="57">
        <f>'Headloss Calcs'!$A$51</f>
        <v>31</v>
      </c>
      <c r="E26" s="53">
        <f t="shared" si="9"/>
        <v>47.967419290948705</v>
      </c>
      <c r="F26" s="38">
        <f>'Headloss Calcs'!$H$18</f>
        <v>100</v>
      </c>
      <c r="G26" s="53">
        <f t="shared" si="10"/>
        <v>7.0686</v>
      </c>
      <c r="H26" s="53">
        <f t="shared" si="11"/>
        <v>9.4247999999999994</v>
      </c>
      <c r="I26" s="53">
        <f t="shared" si="12"/>
        <v>0.75</v>
      </c>
      <c r="J26" s="53">
        <f t="shared" si="13"/>
        <v>6.7859858092053171</v>
      </c>
      <c r="K26" s="53">
        <f t="shared" si="14"/>
        <v>7.635376762918705</v>
      </c>
      <c r="L26" s="53"/>
      <c r="M26" s="58">
        <f t="shared" si="15"/>
        <v>0</v>
      </c>
      <c r="N26" s="58">
        <f t="shared" si="16"/>
        <v>7.635376762918705</v>
      </c>
      <c r="O26" s="59">
        <f t="shared" si="17"/>
        <v>15.771292693258452</v>
      </c>
    </row>
    <row r="27" spans="1:15" x14ac:dyDescent="0.2">
      <c r="A27" s="37"/>
      <c r="B27" s="55">
        <v>36</v>
      </c>
      <c r="C27" s="56" t="s">
        <v>39</v>
      </c>
      <c r="D27" s="57">
        <f>'Headloss Calcs'!$A$51</f>
        <v>31</v>
      </c>
      <c r="E27" s="53">
        <f t="shared" si="9"/>
        <v>47.967419290948705</v>
      </c>
      <c r="F27" s="38">
        <f>'Headloss Calcs'!$H$18</f>
        <v>100</v>
      </c>
      <c r="G27" s="53">
        <f t="shared" si="10"/>
        <v>7.0686</v>
      </c>
      <c r="H27" s="53">
        <f t="shared" si="11"/>
        <v>9.4247999999999994</v>
      </c>
      <c r="I27" s="53">
        <f t="shared" si="12"/>
        <v>0.75</v>
      </c>
      <c r="J27" s="53">
        <f t="shared" si="13"/>
        <v>6.7859858092053171</v>
      </c>
      <c r="K27" s="53">
        <f t="shared" si="14"/>
        <v>0</v>
      </c>
      <c r="L27" s="53">
        <v>0.4</v>
      </c>
      <c r="M27" s="58">
        <f t="shared" si="15"/>
        <v>0.28602238138345304</v>
      </c>
      <c r="N27" s="58">
        <f t="shared" si="16"/>
        <v>0.28602238138345304</v>
      </c>
      <c r="O27" s="59">
        <f t="shared" si="17"/>
        <v>16.057315074641906</v>
      </c>
    </row>
    <row r="28" spans="1:15" x14ac:dyDescent="0.2">
      <c r="A28" s="37">
        <v>1320</v>
      </c>
      <c r="B28" s="55">
        <v>36</v>
      </c>
      <c r="C28" s="56" t="s">
        <v>23</v>
      </c>
      <c r="D28" s="57">
        <f>'Headloss Calcs'!$A$51</f>
        <v>31</v>
      </c>
      <c r="E28" s="53">
        <f t="shared" si="9"/>
        <v>47.967419290948705</v>
      </c>
      <c r="F28" s="38">
        <f>'Headloss Calcs'!$H$18</f>
        <v>100</v>
      </c>
      <c r="G28" s="53">
        <f t="shared" si="10"/>
        <v>7.0686</v>
      </c>
      <c r="H28" s="53">
        <f t="shared" si="11"/>
        <v>9.4247999999999994</v>
      </c>
      <c r="I28" s="53">
        <f t="shared" si="12"/>
        <v>0.75</v>
      </c>
      <c r="J28" s="53">
        <f t="shared" si="13"/>
        <v>6.7859858092053171</v>
      </c>
      <c r="K28" s="53">
        <f t="shared" si="14"/>
        <v>7.635376762918705</v>
      </c>
      <c r="L28" s="53"/>
      <c r="M28" s="58">
        <f t="shared" si="15"/>
        <v>0</v>
      </c>
      <c r="N28" s="58">
        <f t="shared" si="16"/>
        <v>7.635376762918705</v>
      </c>
      <c r="O28" s="59">
        <f t="shared" si="17"/>
        <v>23.692691837560609</v>
      </c>
    </row>
    <row r="29" spans="1:15" x14ac:dyDescent="0.2">
      <c r="A29" s="37"/>
      <c r="B29" s="55">
        <v>36</v>
      </c>
      <c r="C29" s="56" t="s">
        <v>39</v>
      </c>
      <c r="D29" s="57">
        <f>'Headloss Calcs'!$A$51</f>
        <v>31</v>
      </c>
      <c r="E29" s="53">
        <f t="shared" si="9"/>
        <v>47.967419290948705</v>
      </c>
      <c r="F29" s="38">
        <f>'Headloss Calcs'!$H$18</f>
        <v>100</v>
      </c>
      <c r="G29" s="53">
        <f t="shared" si="10"/>
        <v>7.0686</v>
      </c>
      <c r="H29" s="53">
        <f t="shared" si="11"/>
        <v>9.4247999999999994</v>
      </c>
      <c r="I29" s="53">
        <f t="shared" si="12"/>
        <v>0.75</v>
      </c>
      <c r="J29" s="53">
        <f t="shared" si="13"/>
        <v>6.7859858092053171</v>
      </c>
      <c r="K29" s="53">
        <f t="shared" si="14"/>
        <v>0</v>
      </c>
      <c r="L29" s="53">
        <v>0.4</v>
      </c>
      <c r="M29" s="58">
        <f t="shared" si="15"/>
        <v>0.28602238138345304</v>
      </c>
      <c r="N29" s="58">
        <f t="shared" si="16"/>
        <v>0.28602238138345304</v>
      </c>
      <c r="O29" s="59">
        <f t="shared" si="17"/>
        <v>23.978714218944063</v>
      </c>
    </row>
    <row r="30" spans="1:15" x14ac:dyDescent="0.2">
      <c r="A30" s="37">
        <v>1320</v>
      </c>
      <c r="B30" s="55">
        <v>36</v>
      </c>
      <c r="C30" s="56" t="s">
        <v>23</v>
      </c>
      <c r="D30" s="57">
        <f>'Headloss Calcs'!$A$51</f>
        <v>31</v>
      </c>
      <c r="E30" s="53">
        <f t="shared" si="9"/>
        <v>47.967419290948705</v>
      </c>
      <c r="F30" s="38">
        <f>'Headloss Calcs'!$H$18</f>
        <v>100</v>
      </c>
      <c r="G30" s="53">
        <f t="shared" si="10"/>
        <v>7.0686</v>
      </c>
      <c r="H30" s="53">
        <f t="shared" si="11"/>
        <v>9.4247999999999994</v>
      </c>
      <c r="I30" s="53">
        <f t="shared" si="12"/>
        <v>0.75</v>
      </c>
      <c r="J30" s="53">
        <f t="shared" si="13"/>
        <v>6.7859858092053171</v>
      </c>
      <c r="K30" s="53">
        <f t="shared" si="14"/>
        <v>7.635376762918705</v>
      </c>
      <c r="L30" s="53"/>
      <c r="M30" s="58">
        <f t="shared" si="15"/>
        <v>0</v>
      </c>
      <c r="N30" s="58">
        <f t="shared" si="16"/>
        <v>7.635376762918705</v>
      </c>
      <c r="O30" s="59">
        <f t="shared" si="17"/>
        <v>31.614090981862766</v>
      </c>
    </row>
    <row r="31" spans="1:15" x14ac:dyDescent="0.2">
      <c r="A31" s="37"/>
      <c r="B31" s="55">
        <v>36</v>
      </c>
      <c r="C31" s="56" t="s">
        <v>48</v>
      </c>
      <c r="D31" s="57">
        <f>'Headloss Calcs'!$A$51</f>
        <v>31</v>
      </c>
      <c r="E31" s="53">
        <f t="shared" si="9"/>
        <v>47.967419290948705</v>
      </c>
      <c r="F31" s="38">
        <f>'Headloss Calcs'!$H$18</f>
        <v>100</v>
      </c>
      <c r="G31" s="53">
        <f t="shared" si="10"/>
        <v>7.0686</v>
      </c>
      <c r="H31" s="53">
        <f t="shared" si="11"/>
        <v>9.4247999999999994</v>
      </c>
      <c r="I31" s="53">
        <f t="shared" si="12"/>
        <v>0.75</v>
      </c>
      <c r="J31" s="53">
        <f t="shared" si="13"/>
        <v>6.7859858092053171</v>
      </c>
      <c r="K31" s="53">
        <f t="shared" si="14"/>
        <v>0</v>
      </c>
      <c r="L31" s="53">
        <v>0.4</v>
      </c>
      <c r="M31" s="58">
        <f t="shared" si="15"/>
        <v>0.28602238138345304</v>
      </c>
      <c r="N31" s="58">
        <f t="shared" si="16"/>
        <v>0.28602238138345304</v>
      </c>
      <c r="O31" s="59">
        <f t="shared" si="17"/>
        <v>31.90011336324622</v>
      </c>
    </row>
    <row r="32" spans="1:15" x14ac:dyDescent="0.2">
      <c r="A32" s="37">
        <v>1320</v>
      </c>
      <c r="B32" s="55">
        <v>36</v>
      </c>
      <c r="C32" s="56" t="s">
        <v>23</v>
      </c>
      <c r="D32" s="57">
        <f>'Headloss Calcs'!$A$51</f>
        <v>31</v>
      </c>
      <c r="E32" s="53">
        <f t="shared" si="9"/>
        <v>47.967419290948705</v>
      </c>
      <c r="F32" s="38">
        <f>'Headloss Calcs'!$H$18</f>
        <v>100</v>
      </c>
      <c r="G32" s="53">
        <f t="shared" si="10"/>
        <v>7.0686</v>
      </c>
      <c r="H32" s="53">
        <f t="shared" si="11"/>
        <v>9.4247999999999994</v>
      </c>
      <c r="I32" s="53">
        <f t="shared" si="12"/>
        <v>0.75</v>
      </c>
      <c r="J32" s="53">
        <f t="shared" si="13"/>
        <v>6.7859858092053171</v>
      </c>
      <c r="K32" s="53">
        <f t="shared" si="14"/>
        <v>7.635376762918705</v>
      </c>
      <c r="L32" s="53"/>
      <c r="M32" s="58">
        <f t="shared" si="15"/>
        <v>0</v>
      </c>
      <c r="N32" s="58">
        <f t="shared" si="16"/>
        <v>7.635376762918705</v>
      </c>
      <c r="O32" s="59">
        <f t="shared" si="17"/>
        <v>39.535490126164923</v>
      </c>
    </row>
    <row r="33" spans="1:15" x14ac:dyDescent="0.2">
      <c r="A33" s="37"/>
      <c r="B33" s="55">
        <v>36</v>
      </c>
      <c r="C33" s="56" t="s">
        <v>39</v>
      </c>
      <c r="D33" s="57">
        <f>'Headloss Calcs'!$A$51</f>
        <v>31</v>
      </c>
      <c r="E33" s="53">
        <f t="shared" si="9"/>
        <v>47.967419290948705</v>
      </c>
      <c r="F33" s="38">
        <f>'Headloss Calcs'!$H$18</f>
        <v>100</v>
      </c>
      <c r="G33" s="53">
        <f t="shared" si="10"/>
        <v>7.0686</v>
      </c>
      <c r="H33" s="53">
        <f t="shared" si="11"/>
        <v>9.4247999999999994</v>
      </c>
      <c r="I33" s="53">
        <f t="shared" si="12"/>
        <v>0.75</v>
      </c>
      <c r="J33" s="53">
        <f t="shared" si="13"/>
        <v>6.7859858092053171</v>
      </c>
      <c r="K33" s="53">
        <f t="shared" si="14"/>
        <v>0</v>
      </c>
      <c r="L33" s="53">
        <v>0.4</v>
      </c>
      <c r="M33" s="58">
        <f t="shared" si="15"/>
        <v>0.28602238138345304</v>
      </c>
      <c r="N33" s="58">
        <f t="shared" si="16"/>
        <v>0.28602238138345304</v>
      </c>
      <c r="O33" s="59">
        <f t="shared" si="17"/>
        <v>39.821512507548377</v>
      </c>
    </row>
    <row r="34" spans="1:15" x14ac:dyDescent="0.2">
      <c r="A34" s="37">
        <v>1320</v>
      </c>
      <c r="B34" s="55">
        <v>36</v>
      </c>
      <c r="C34" s="56" t="s">
        <v>23</v>
      </c>
      <c r="D34" s="57">
        <f>'Headloss Calcs'!$A$51</f>
        <v>31</v>
      </c>
      <c r="E34" s="53">
        <f t="shared" si="9"/>
        <v>47.967419290948705</v>
      </c>
      <c r="F34" s="38">
        <f>'Headloss Calcs'!$H$18</f>
        <v>100</v>
      </c>
      <c r="G34" s="53">
        <f t="shared" si="10"/>
        <v>7.0686</v>
      </c>
      <c r="H34" s="53">
        <f t="shared" si="11"/>
        <v>9.4247999999999994</v>
      </c>
      <c r="I34" s="53">
        <f t="shared" si="12"/>
        <v>0.75</v>
      </c>
      <c r="J34" s="53">
        <f t="shared" si="13"/>
        <v>6.7859858092053171</v>
      </c>
      <c r="K34" s="53">
        <f t="shared" si="14"/>
        <v>7.635376762918705</v>
      </c>
      <c r="L34" s="53"/>
      <c r="M34" s="58">
        <f t="shared" si="15"/>
        <v>0</v>
      </c>
      <c r="N34" s="58">
        <f t="shared" si="16"/>
        <v>7.635376762918705</v>
      </c>
      <c r="O34" s="59">
        <f t="shared" si="17"/>
        <v>47.45688927046708</v>
      </c>
    </row>
    <row r="35" spans="1:15" x14ac:dyDescent="0.2">
      <c r="A35" s="37"/>
      <c r="B35" s="55">
        <v>36</v>
      </c>
      <c r="C35" s="56" t="s">
        <v>45</v>
      </c>
      <c r="D35" s="57">
        <f>'Headloss Calcs'!$A$51</f>
        <v>31</v>
      </c>
      <c r="E35" s="53">
        <f t="shared" si="9"/>
        <v>47.967419290948705</v>
      </c>
      <c r="F35" s="38">
        <f>'Headloss Calcs'!$H$18</f>
        <v>100</v>
      </c>
      <c r="G35" s="53">
        <f t="shared" si="10"/>
        <v>7.0686</v>
      </c>
      <c r="H35" s="53">
        <f t="shared" si="11"/>
        <v>9.4247999999999994</v>
      </c>
      <c r="I35" s="53">
        <f t="shared" si="12"/>
        <v>0.75</v>
      </c>
      <c r="J35" s="53">
        <f t="shared" si="13"/>
        <v>6.7859858092053171</v>
      </c>
      <c r="K35" s="53">
        <f t="shared" si="14"/>
        <v>0</v>
      </c>
      <c r="L35" s="53">
        <v>0.2</v>
      </c>
      <c r="M35" s="58">
        <f t="shared" si="15"/>
        <v>0.14301119069172652</v>
      </c>
      <c r="N35" s="58">
        <f t="shared" si="16"/>
        <v>0.14301119069172652</v>
      </c>
      <c r="O35" s="59">
        <f t="shared" si="17"/>
        <v>47.599900461158803</v>
      </c>
    </row>
    <row r="36" spans="1:15" x14ac:dyDescent="0.2">
      <c r="A36" s="37">
        <v>1320</v>
      </c>
      <c r="B36" s="55">
        <v>36</v>
      </c>
      <c r="C36" s="56" t="s">
        <v>23</v>
      </c>
      <c r="D36" s="57">
        <f>'Headloss Calcs'!$A$51</f>
        <v>31</v>
      </c>
      <c r="E36" s="53">
        <f t="shared" si="9"/>
        <v>47.967419290948705</v>
      </c>
      <c r="F36" s="38">
        <f>'Headloss Calcs'!$H$18</f>
        <v>100</v>
      </c>
      <c r="G36" s="53">
        <f t="shared" si="10"/>
        <v>7.0686</v>
      </c>
      <c r="H36" s="53">
        <f t="shared" si="11"/>
        <v>9.4247999999999994</v>
      </c>
      <c r="I36" s="53">
        <f t="shared" si="12"/>
        <v>0.75</v>
      </c>
      <c r="J36" s="53">
        <f t="shared" si="13"/>
        <v>6.7859858092053171</v>
      </c>
      <c r="K36" s="53">
        <f t="shared" si="14"/>
        <v>7.635376762918705</v>
      </c>
      <c r="L36" s="53"/>
      <c r="M36" s="58">
        <f t="shared" si="15"/>
        <v>0</v>
      </c>
      <c r="N36" s="58">
        <f t="shared" si="16"/>
        <v>7.635376762918705</v>
      </c>
      <c r="O36" s="59">
        <f t="shared" si="17"/>
        <v>55.235277224077507</v>
      </c>
    </row>
    <row r="37" spans="1:15" ht="12" customHeight="1" x14ac:dyDescent="0.2">
      <c r="A37" s="37"/>
      <c r="B37" s="55">
        <v>36</v>
      </c>
      <c r="C37" s="56" t="s">
        <v>44</v>
      </c>
      <c r="D37" s="57">
        <f>'Headloss Calcs'!$A$51</f>
        <v>31</v>
      </c>
      <c r="E37" s="53">
        <f t="shared" si="9"/>
        <v>47.967419290948705</v>
      </c>
      <c r="F37" s="38">
        <f>'Headloss Calcs'!$H$18</f>
        <v>100</v>
      </c>
      <c r="G37" s="53">
        <f t="shared" si="10"/>
        <v>7.0686</v>
      </c>
      <c r="H37" s="53">
        <f t="shared" si="11"/>
        <v>9.4247999999999994</v>
      </c>
      <c r="I37" s="53">
        <f t="shared" si="12"/>
        <v>0.75</v>
      </c>
      <c r="J37" s="53">
        <f t="shared" si="13"/>
        <v>6.7859858092053171</v>
      </c>
      <c r="K37" s="53">
        <f t="shared" si="14"/>
        <v>0</v>
      </c>
      <c r="L37" s="53">
        <v>1</v>
      </c>
      <c r="M37" s="58">
        <f t="shared" si="15"/>
        <v>0.7150559534586326</v>
      </c>
      <c r="N37" s="58">
        <f t="shared" si="16"/>
        <v>0.7150559534586326</v>
      </c>
      <c r="O37" s="59">
        <f t="shared" si="17"/>
        <v>55.950333177536137</v>
      </c>
    </row>
    <row r="38" spans="1:15" ht="13.5" thickBot="1" x14ac:dyDescent="0.25">
      <c r="A38" s="39"/>
      <c r="B38" s="40"/>
      <c r="C38" s="41"/>
      <c r="D38" s="40"/>
      <c r="E38" s="42"/>
      <c r="F38" s="40"/>
      <c r="G38" s="54"/>
      <c r="H38" s="54"/>
      <c r="I38" s="54"/>
      <c r="J38" s="54"/>
      <c r="K38" s="54"/>
      <c r="L38" s="54"/>
      <c r="M38" s="60"/>
      <c r="N38" s="60" t="s">
        <v>40</v>
      </c>
      <c r="O38" s="61">
        <f>O37</f>
        <v>55.950333177536137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50"/>
  <sheetViews>
    <sheetView topLeftCell="A17"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Calcs'!$A$52</f>
        <v>32</v>
      </c>
      <c r="E3" s="53">
        <f t="shared" ref="E3:E18" si="0">D3*1000000/(7.48*24*60*60)</f>
        <v>49.514755397108338</v>
      </c>
      <c r="F3" s="38">
        <f>'Headloss Calcs'!$E$18</f>
        <v>140</v>
      </c>
      <c r="G3" s="53">
        <f t="shared" ref="G3:G18" si="1">3.1416/4*(B3/12)^2</f>
        <v>7.0686</v>
      </c>
      <c r="H3" s="53">
        <f t="shared" ref="H3:H18" si="2">3.1416*(B3/12)</f>
        <v>9.4247999999999994</v>
      </c>
      <c r="I3" s="53">
        <f t="shared" ref="I3:I18" si="3">G3/H3</f>
        <v>0.75</v>
      </c>
      <c r="J3" s="53">
        <f t="shared" ref="J3:J18" si="4">E3/G3</f>
        <v>7.0048885772441984</v>
      </c>
      <c r="K3" s="53">
        <f t="shared" ref="K3:K18" si="5">(J3/(1.318*F3*I3^0.63))^1.85*A3</f>
        <v>0</v>
      </c>
      <c r="L3" s="53">
        <v>0.25</v>
      </c>
      <c r="M3" s="58">
        <f t="shared" ref="M3:M18" si="6">L3*(J3^2)/(2*32.2)</f>
        <v>0.19048316762269504</v>
      </c>
      <c r="N3" s="58">
        <f t="shared" ref="N3:N18" si="7">K3+M3</f>
        <v>0.19048316762269504</v>
      </c>
      <c r="O3" s="59">
        <f>N3</f>
        <v>0.19048316762269504</v>
      </c>
    </row>
    <row r="4" spans="1:15" x14ac:dyDescent="0.2">
      <c r="A4" s="37"/>
      <c r="B4" s="55">
        <v>36</v>
      </c>
      <c r="C4" s="56" t="s">
        <v>47</v>
      </c>
      <c r="D4" s="57">
        <f>'Headloss Calcs'!$A$52</f>
        <v>32</v>
      </c>
      <c r="E4" s="53">
        <f t="shared" si="0"/>
        <v>49.514755397108338</v>
      </c>
      <c r="F4" s="38">
        <f>'Headloss Calcs'!$E$18</f>
        <v>140</v>
      </c>
      <c r="G4" s="53">
        <f t="shared" si="1"/>
        <v>7.0686</v>
      </c>
      <c r="H4" s="53">
        <f t="shared" si="2"/>
        <v>9.4247999999999994</v>
      </c>
      <c r="I4" s="53">
        <f t="shared" si="3"/>
        <v>0.75</v>
      </c>
      <c r="J4" s="53">
        <f t="shared" si="4"/>
        <v>7.0048885772441984</v>
      </c>
      <c r="K4" s="53">
        <f t="shared" si="5"/>
        <v>0</v>
      </c>
      <c r="L4" s="53">
        <v>0.25</v>
      </c>
      <c r="M4" s="58">
        <f t="shared" si="6"/>
        <v>0.19048316762269504</v>
      </c>
      <c r="N4" s="58">
        <f t="shared" si="7"/>
        <v>0.19048316762269504</v>
      </c>
      <c r="O4" s="59">
        <f t="shared" ref="O4:O18" si="8">N4+O3</f>
        <v>0.38096633524539009</v>
      </c>
    </row>
    <row r="5" spans="1:15" x14ac:dyDescent="0.2">
      <c r="A5" s="37">
        <v>1320</v>
      </c>
      <c r="B5" s="55">
        <v>36</v>
      </c>
      <c r="C5" s="56" t="s">
        <v>23</v>
      </c>
      <c r="D5" s="57">
        <f>'Headloss Calcs'!$A$52</f>
        <v>32</v>
      </c>
      <c r="E5" s="53">
        <f t="shared" si="0"/>
        <v>49.514755397108338</v>
      </c>
      <c r="F5" s="38">
        <f>'Headloss Calcs'!$E$18</f>
        <v>140</v>
      </c>
      <c r="G5" s="53">
        <f t="shared" si="1"/>
        <v>7.0686</v>
      </c>
      <c r="H5" s="53">
        <f t="shared" si="2"/>
        <v>9.4247999999999994</v>
      </c>
      <c r="I5" s="53">
        <f t="shared" si="3"/>
        <v>0.75</v>
      </c>
      <c r="J5" s="53">
        <f t="shared" si="4"/>
        <v>7.0048885772441984</v>
      </c>
      <c r="K5" s="53">
        <f t="shared" si="5"/>
        <v>4.3451215734175364</v>
      </c>
      <c r="L5" s="53"/>
      <c r="M5" s="58">
        <f t="shared" si="6"/>
        <v>0</v>
      </c>
      <c r="N5" s="58">
        <f t="shared" si="7"/>
        <v>4.3451215734175364</v>
      </c>
      <c r="O5" s="59">
        <f t="shared" si="8"/>
        <v>4.7260879086629268</v>
      </c>
    </row>
    <row r="6" spans="1:15" x14ac:dyDescent="0.2">
      <c r="A6" s="37"/>
      <c r="B6" s="55">
        <v>36</v>
      </c>
      <c r="C6" s="56" t="s">
        <v>45</v>
      </c>
      <c r="D6" s="57">
        <f>'Headloss Calcs'!$A$52</f>
        <v>32</v>
      </c>
      <c r="E6" s="53">
        <f t="shared" si="0"/>
        <v>49.514755397108338</v>
      </c>
      <c r="F6" s="38">
        <f>'Headloss Calcs'!$E$18</f>
        <v>140</v>
      </c>
      <c r="G6" s="53">
        <f t="shared" si="1"/>
        <v>7.0686</v>
      </c>
      <c r="H6" s="53">
        <f t="shared" si="2"/>
        <v>9.4247999999999994</v>
      </c>
      <c r="I6" s="53">
        <f t="shared" si="3"/>
        <v>0.75</v>
      </c>
      <c r="J6" s="53">
        <f t="shared" si="4"/>
        <v>7.0048885772441984</v>
      </c>
      <c r="K6" s="53">
        <f t="shared" si="5"/>
        <v>0</v>
      </c>
      <c r="L6" s="53">
        <v>0.2</v>
      </c>
      <c r="M6" s="58">
        <f t="shared" si="6"/>
        <v>0.15238653409815606</v>
      </c>
      <c r="N6" s="58">
        <f t="shared" si="7"/>
        <v>0.15238653409815606</v>
      </c>
      <c r="O6" s="59">
        <f t="shared" si="8"/>
        <v>4.8784744427610827</v>
      </c>
    </row>
    <row r="7" spans="1:15" x14ac:dyDescent="0.2">
      <c r="A7" s="37">
        <v>1320</v>
      </c>
      <c r="B7" s="55">
        <v>36</v>
      </c>
      <c r="C7" s="69" t="s">
        <v>23</v>
      </c>
      <c r="D7" s="57">
        <f>'Headloss Calcs'!$A$52</f>
        <v>32</v>
      </c>
      <c r="E7" s="53">
        <f t="shared" si="0"/>
        <v>49.514755397108338</v>
      </c>
      <c r="F7" s="38">
        <f>'Headloss Calcs'!$E$18</f>
        <v>140</v>
      </c>
      <c r="G7" s="53">
        <f t="shared" si="1"/>
        <v>7.0686</v>
      </c>
      <c r="H7" s="53">
        <f t="shared" si="2"/>
        <v>9.4247999999999994</v>
      </c>
      <c r="I7" s="53">
        <f t="shared" si="3"/>
        <v>0.75</v>
      </c>
      <c r="J7" s="53">
        <f t="shared" si="4"/>
        <v>7.0048885772441984</v>
      </c>
      <c r="K7" s="53">
        <f t="shared" si="5"/>
        <v>4.3451215734175364</v>
      </c>
      <c r="L7" s="53"/>
      <c r="M7" s="58">
        <f t="shared" si="6"/>
        <v>0</v>
      </c>
      <c r="N7" s="58">
        <f t="shared" si="7"/>
        <v>4.3451215734175364</v>
      </c>
      <c r="O7" s="59">
        <f t="shared" si="8"/>
        <v>9.2235960161786181</v>
      </c>
    </row>
    <row r="8" spans="1:15" x14ac:dyDescent="0.2">
      <c r="A8" s="37"/>
      <c r="B8" s="55">
        <v>36</v>
      </c>
      <c r="C8" s="56" t="s">
        <v>39</v>
      </c>
      <c r="D8" s="57">
        <f>'Headloss Calcs'!$A$52</f>
        <v>32</v>
      </c>
      <c r="E8" s="53">
        <f t="shared" si="0"/>
        <v>49.514755397108338</v>
      </c>
      <c r="F8" s="38">
        <f>'Headloss Calcs'!$E$18</f>
        <v>140</v>
      </c>
      <c r="G8" s="53">
        <f t="shared" si="1"/>
        <v>7.0686</v>
      </c>
      <c r="H8" s="53">
        <f t="shared" si="2"/>
        <v>9.4247999999999994</v>
      </c>
      <c r="I8" s="53">
        <f t="shared" si="3"/>
        <v>0.75</v>
      </c>
      <c r="J8" s="53">
        <f t="shared" si="4"/>
        <v>7.0048885772441984</v>
      </c>
      <c r="K8" s="53">
        <f t="shared" si="5"/>
        <v>0</v>
      </c>
      <c r="L8" s="53">
        <v>0.4</v>
      </c>
      <c r="M8" s="58">
        <f t="shared" si="6"/>
        <v>0.30477306819631211</v>
      </c>
      <c r="N8" s="58">
        <f t="shared" si="7"/>
        <v>0.30477306819631211</v>
      </c>
      <c r="O8" s="59">
        <f t="shared" si="8"/>
        <v>9.5283690843749298</v>
      </c>
    </row>
    <row r="9" spans="1:15" x14ac:dyDescent="0.2">
      <c r="A9" s="37">
        <v>1320</v>
      </c>
      <c r="B9" s="55">
        <v>36</v>
      </c>
      <c r="C9" s="56" t="s">
        <v>23</v>
      </c>
      <c r="D9" s="57">
        <f>'Headloss Calcs'!$A$52</f>
        <v>32</v>
      </c>
      <c r="E9" s="53">
        <f t="shared" si="0"/>
        <v>49.514755397108338</v>
      </c>
      <c r="F9" s="38">
        <f>'Headloss Calcs'!$E$18</f>
        <v>140</v>
      </c>
      <c r="G9" s="53">
        <f t="shared" si="1"/>
        <v>7.0686</v>
      </c>
      <c r="H9" s="53">
        <f t="shared" si="2"/>
        <v>9.4247999999999994</v>
      </c>
      <c r="I9" s="53">
        <f t="shared" si="3"/>
        <v>0.75</v>
      </c>
      <c r="J9" s="53">
        <f t="shared" si="4"/>
        <v>7.0048885772441984</v>
      </c>
      <c r="K9" s="53">
        <f t="shared" si="5"/>
        <v>4.3451215734175364</v>
      </c>
      <c r="L9" s="53"/>
      <c r="M9" s="58">
        <f t="shared" si="6"/>
        <v>0</v>
      </c>
      <c r="N9" s="58">
        <f t="shared" si="7"/>
        <v>4.3451215734175364</v>
      </c>
      <c r="O9" s="59">
        <f t="shared" si="8"/>
        <v>13.873490657792466</v>
      </c>
    </row>
    <row r="10" spans="1:15" x14ac:dyDescent="0.2">
      <c r="A10" s="37"/>
      <c r="B10" s="55">
        <v>36</v>
      </c>
      <c r="C10" s="56" t="s">
        <v>39</v>
      </c>
      <c r="D10" s="57">
        <f>'Headloss Calcs'!$A$52</f>
        <v>32</v>
      </c>
      <c r="E10" s="53">
        <f t="shared" si="0"/>
        <v>49.514755397108338</v>
      </c>
      <c r="F10" s="38">
        <f>'Headloss Calcs'!$E$18</f>
        <v>140</v>
      </c>
      <c r="G10" s="53">
        <f t="shared" si="1"/>
        <v>7.0686</v>
      </c>
      <c r="H10" s="53">
        <f t="shared" si="2"/>
        <v>9.4247999999999994</v>
      </c>
      <c r="I10" s="53">
        <f t="shared" si="3"/>
        <v>0.75</v>
      </c>
      <c r="J10" s="53">
        <f t="shared" si="4"/>
        <v>7.0048885772441984</v>
      </c>
      <c r="K10" s="53">
        <f t="shared" si="5"/>
        <v>0</v>
      </c>
      <c r="L10" s="53">
        <v>0.4</v>
      </c>
      <c r="M10" s="58">
        <f t="shared" si="6"/>
        <v>0.30477306819631211</v>
      </c>
      <c r="N10" s="58">
        <f t="shared" si="7"/>
        <v>0.30477306819631211</v>
      </c>
      <c r="O10" s="59">
        <f t="shared" si="8"/>
        <v>14.178263725988778</v>
      </c>
    </row>
    <row r="11" spans="1:15" x14ac:dyDescent="0.2">
      <c r="A11" s="37">
        <v>1320</v>
      </c>
      <c r="B11" s="55">
        <v>36</v>
      </c>
      <c r="C11" s="56" t="s">
        <v>23</v>
      </c>
      <c r="D11" s="57">
        <f>'Headloss Calcs'!$A$52</f>
        <v>32</v>
      </c>
      <c r="E11" s="53">
        <f t="shared" si="0"/>
        <v>49.514755397108338</v>
      </c>
      <c r="F11" s="38">
        <f>'Headloss Calcs'!$E$18</f>
        <v>140</v>
      </c>
      <c r="G11" s="53">
        <f t="shared" si="1"/>
        <v>7.0686</v>
      </c>
      <c r="H11" s="53">
        <f t="shared" si="2"/>
        <v>9.4247999999999994</v>
      </c>
      <c r="I11" s="53">
        <f t="shared" si="3"/>
        <v>0.75</v>
      </c>
      <c r="J11" s="53">
        <f t="shared" si="4"/>
        <v>7.0048885772441984</v>
      </c>
      <c r="K11" s="53">
        <f t="shared" si="5"/>
        <v>4.3451215734175364</v>
      </c>
      <c r="L11" s="53"/>
      <c r="M11" s="58">
        <f t="shared" si="6"/>
        <v>0</v>
      </c>
      <c r="N11" s="58">
        <f t="shared" si="7"/>
        <v>4.3451215734175364</v>
      </c>
      <c r="O11" s="59">
        <f t="shared" si="8"/>
        <v>18.523385299406314</v>
      </c>
    </row>
    <row r="12" spans="1:15" x14ac:dyDescent="0.2">
      <c r="A12" s="37"/>
      <c r="B12" s="55">
        <v>36</v>
      </c>
      <c r="C12" s="56" t="s">
        <v>48</v>
      </c>
      <c r="D12" s="57">
        <f>'Headloss Calcs'!$A$52</f>
        <v>32</v>
      </c>
      <c r="E12" s="53">
        <f t="shared" si="0"/>
        <v>49.514755397108338</v>
      </c>
      <c r="F12" s="38">
        <f>'Headloss Calcs'!$E$18</f>
        <v>140</v>
      </c>
      <c r="G12" s="53">
        <f t="shared" si="1"/>
        <v>7.0686</v>
      </c>
      <c r="H12" s="53">
        <f t="shared" si="2"/>
        <v>9.4247999999999994</v>
      </c>
      <c r="I12" s="53">
        <f t="shared" si="3"/>
        <v>0.75</v>
      </c>
      <c r="J12" s="53">
        <f t="shared" si="4"/>
        <v>7.0048885772441984</v>
      </c>
      <c r="K12" s="53">
        <f t="shared" si="5"/>
        <v>0</v>
      </c>
      <c r="L12" s="53">
        <v>0.4</v>
      </c>
      <c r="M12" s="58">
        <f t="shared" si="6"/>
        <v>0.30477306819631211</v>
      </c>
      <c r="N12" s="58">
        <f t="shared" si="7"/>
        <v>0.30477306819631211</v>
      </c>
      <c r="O12" s="59">
        <f t="shared" si="8"/>
        <v>18.828158367602626</v>
      </c>
    </row>
    <row r="13" spans="1:15" x14ac:dyDescent="0.2">
      <c r="A13" s="37">
        <v>1320</v>
      </c>
      <c r="B13" s="55">
        <v>36</v>
      </c>
      <c r="C13" s="56" t="s">
        <v>23</v>
      </c>
      <c r="D13" s="57">
        <f>'Headloss Calcs'!$A$52</f>
        <v>32</v>
      </c>
      <c r="E13" s="53">
        <f t="shared" si="0"/>
        <v>49.514755397108338</v>
      </c>
      <c r="F13" s="38">
        <f>'Headloss Calcs'!$E$18</f>
        <v>140</v>
      </c>
      <c r="G13" s="53">
        <f t="shared" si="1"/>
        <v>7.0686</v>
      </c>
      <c r="H13" s="53">
        <f t="shared" si="2"/>
        <v>9.4247999999999994</v>
      </c>
      <c r="I13" s="53">
        <f t="shared" si="3"/>
        <v>0.75</v>
      </c>
      <c r="J13" s="53">
        <f t="shared" si="4"/>
        <v>7.0048885772441984</v>
      </c>
      <c r="K13" s="53">
        <f t="shared" si="5"/>
        <v>4.3451215734175364</v>
      </c>
      <c r="L13" s="53"/>
      <c r="M13" s="58">
        <f t="shared" si="6"/>
        <v>0</v>
      </c>
      <c r="N13" s="58">
        <f t="shared" si="7"/>
        <v>4.3451215734175364</v>
      </c>
      <c r="O13" s="59">
        <f t="shared" si="8"/>
        <v>23.173279941020162</v>
      </c>
    </row>
    <row r="14" spans="1:15" x14ac:dyDescent="0.2">
      <c r="A14" s="37"/>
      <c r="B14" s="55">
        <v>36</v>
      </c>
      <c r="C14" s="56" t="s">
        <v>39</v>
      </c>
      <c r="D14" s="57">
        <f>'Headloss Calcs'!$A$52</f>
        <v>32</v>
      </c>
      <c r="E14" s="53">
        <f t="shared" si="0"/>
        <v>49.514755397108338</v>
      </c>
      <c r="F14" s="38">
        <f>'Headloss Calcs'!$E$18</f>
        <v>140</v>
      </c>
      <c r="G14" s="53">
        <f t="shared" si="1"/>
        <v>7.0686</v>
      </c>
      <c r="H14" s="53">
        <f t="shared" si="2"/>
        <v>9.4247999999999994</v>
      </c>
      <c r="I14" s="53">
        <f t="shared" si="3"/>
        <v>0.75</v>
      </c>
      <c r="J14" s="53">
        <f t="shared" si="4"/>
        <v>7.0048885772441984</v>
      </c>
      <c r="K14" s="53">
        <f t="shared" si="5"/>
        <v>0</v>
      </c>
      <c r="L14" s="53">
        <v>0.4</v>
      </c>
      <c r="M14" s="58">
        <f t="shared" si="6"/>
        <v>0.30477306819631211</v>
      </c>
      <c r="N14" s="58">
        <f t="shared" si="7"/>
        <v>0.30477306819631211</v>
      </c>
      <c r="O14" s="59">
        <f t="shared" si="8"/>
        <v>23.478053009216474</v>
      </c>
    </row>
    <row r="15" spans="1:15" x14ac:dyDescent="0.2">
      <c r="A15" s="37">
        <v>1320</v>
      </c>
      <c r="B15" s="55">
        <v>36</v>
      </c>
      <c r="C15" s="56" t="s">
        <v>23</v>
      </c>
      <c r="D15" s="57">
        <f>'Headloss Calcs'!$A$52</f>
        <v>32</v>
      </c>
      <c r="E15" s="53">
        <f t="shared" si="0"/>
        <v>49.514755397108338</v>
      </c>
      <c r="F15" s="38">
        <f>'Headloss Calcs'!$E$18</f>
        <v>140</v>
      </c>
      <c r="G15" s="53">
        <f t="shared" si="1"/>
        <v>7.0686</v>
      </c>
      <c r="H15" s="53">
        <f t="shared" si="2"/>
        <v>9.4247999999999994</v>
      </c>
      <c r="I15" s="53">
        <f t="shared" si="3"/>
        <v>0.75</v>
      </c>
      <c r="J15" s="53">
        <f t="shared" si="4"/>
        <v>7.0048885772441984</v>
      </c>
      <c r="K15" s="53">
        <f t="shared" si="5"/>
        <v>4.3451215734175364</v>
      </c>
      <c r="L15" s="53"/>
      <c r="M15" s="58">
        <f t="shared" si="6"/>
        <v>0</v>
      </c>
      <c r="N15" s="58">
        <f t="shared" si="7"/>
        <v>4.3451215734175364</v>
      </c>
      <c r="O15" s="59">
        <f t="shared" si="8"/>
        <v>27.82317458263401</v>
      </c>
    </row>
    <row r="16" spans="1:15" x14ac:dyDescent="0.2">
      <c r="A16" s="37"/>
      <c r="B16" s="55">
        <v>36</v>
      </c>
      <c r="C16" s="56" t="s">
        <v>45</v>
      </c>
      <c r="D16" s="57">
        <f>'Headloss Calcs'!$A$52</f>
        <v>32</v>
      </c>
      <c r="E16" s="53">
        <f t="shared" si="0"/>
        <v>49.514755397108338</v>
      </c>
      <c r="F16" s="38">
        <f>'Headloss Calcs'!$E$18</f>
        <v>140</v>
      </c>
      <c r="G16" s="53">
        <f t="shared" si="1"/>
        <v>7.0686</v>
      </c>
      <c r="H16" s="53">
        <f t="shared" si="2"/>
        <v>9.4247999999999994</v>
      </c>
      <c r="I16" s="53">
        <f t="shared" si="3"/>
        <v>0.75</v>
      </c>
      <c r="J16" s="53">
        <f t="shared" si="4"/>
        <v>7.0048885772441984</v>
      </c>
      <c r="K16" s="53">
        <f t="shared" si="5"/>
        <v>0</v>
      </c>
      <c r="L16" s="53">
        <v>0.2</v>
      </c>
      <c r="M16" s="58">
        <f t="shared" si="6"/>
        <v>0.15238653409815606</v>
      </c>
      <c r="N16" s="58">
        <f t="shared" si="7"/>
        <v>0.15238653409815606</v>
      </c>
      <c r="O16" s="59">
        <f t="shared" si="8"/>
        <v>27.975561116732166</v>
      </c>
    </row>
    <row r="17" spans="1:15" x14ac:dyDescent="0.2">
      <c r="A17" s="37">
        <v>1320</v>
      </c>
      <c r="B17" s="55">
        <v>36</v>
      </c>
      <c r="C17" s="56" t="s">
        <v>23</v>
      </c>
      <c r="D17" s="57">
        <f>'Headloss Calcs'!$A$52</f>
        <v>32</v>
      </c>
      <c r="E17" s="53">
        <f t="shared" si="0"/>
        <v>49.514755397108338</v>
      </c>
      <c r="F17" s="38">
        <f>'Headloss Calcs'!$E$18</f>
        <v>140</v>
      </c>
      <c r="G17" s="53">
        <f t="shared" si="1"/>
        <v>7.0686</v>
      </c>
      <c r="H17" s="53">
        <f t="shared" si="2"/>
        <v>9.4247999999999994</v>
      </c>
      <c r="I17" s="53">
        <f t="shared" si="3"/>
        <v>0.75</v>
      </c>
      <c r="J17" s="53">
        <f t="shared" si="4"/>
        <v>7.0048885772441984</v>
      </c>
      <c r="K17" s="53">
        <f t="shared" si="5"/>
        <v>4.3451215734175364</v>
      </c>
      <c r="L17" s="53"/>
      <c r="M17" s="58">
        <f t="shared" si="6"/>
        <v>0</v>
      </c>
      <c r="N17" s="58">
        <f t="shared" si="7"/>
        <v>4.3451215734175364</v>
      </c>
      <c r="O17" s="59">
        <f t="shared" si="8"/>
        <v>32.320682690149702</v>
      </c>
    </row>
    <row r="18" spans="1:15" ht="12" customHeight="1" x14ac:dyDescent="0.2">
      <c r="A18" s="37"/>
      <c r="B18" s="55">
        <v>36</v>
      </c>
      <c r="C18" s="56" t="s">
        <v>44</v>
      </c>
      <c r="D18" s="57">
        <f>'Headloss Calcs'!$A$52</f>
        <v>32</v>
      </c>
      <c r="E18" s="53">
        <f t="shared" si="0"/>
        <v>49.514755397108338</v>
      </c>
      <c r="F18" s="38">
        <f>'Headloss Calcs'!$E$18</f>
        <v>140</v>
      </c>
      <c r="G18" s="53">
        <f t="shared" si="1"/>
        <v>7.0686</v>
      </c>
      <c r="H18" s="53">
        <f t="shared" si="2"/>
        <v>9.4247999999999994</v>
      </c>
      <c r="I18" s="53">
        <f t="shared" si="3"/>
        <v>0.75</v>
      </c>
      <c r="J18" s="53">
        <f t="shared" si="4"/>
        <v>7.0048885772441984</v>
      </c>
      <c r="K18" s="53">
        <f t="shared" si="5"/>
        <v>0</v>
      </c>
      <c r="L18" s="53">
        <v>1</v>
      </c>
      <c r="M18" s="58">
        <f t="shared" si="6"/>
        <v>0.76193267049078017</v>
      </c>
      <c r="N18" s="58">
        <f t="shared" si="7"/>
        <v>0.76193267049078017</v>
      </c>
      <c r="O18" s="59">
        <f t="shared" si="8"/>
        <v>33.082615360640482</v>
      </c>
    </row>
    <row r="19" spans="1:15" ht="13.5" thickBot="1" x14ac:dyDescent="0.25">
      <c r="A19" s="39"/>
      <c r="B19" s="40"/>
      <c r="C19" s="41"/>
      <c r="D19" s="40"/>
      <c r="E19" s="42"/>
      <c r="F19" s="40"/>
      <c r="G19" s="54"/>
      <c r="H19" s="54"/>
      <c r="I19" s="54"/>
      <c r="J19" s="54"/>
      <c r="K19" s="54"/>
      <c r="L19" s="54"/>
      <c r="M19" s="60"/>
      <c r="N19" s="60" t="s">
        <v>40</v>
      </c>
      <c r="O19" s="61">
        <f>O18</f>
        <v>33.082615360640482</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Calcs'!$A$52</f>
        <v>32</v>
      </c>
      <c r="E22" s="53">
        <f t="shared" ref="E22:E37" si="9">D22*1000000/(7.48*24*60*60)</f>
        <v>49.514755397108338</v>
      </c>
      <c r="F22" s="38">
        <f>'Headloss Calcs'!$H$18</f>
        <v>100</v>
      </c>
      <c r="G22" s="53">
        <f t="shared" ref="G22:G37" si="10">3.1416/4*(B22/12)^2</f>
        <v>7.0686</v>
      </c>
      <c r="H22" s="53">
        <f t="shared" ref="H22:H37" si="11">3.1416*(B22/12)</f>
        <v>9.4247999999999994</v>
      </c>
      <c r="I22" s="53">
        <f t="shared" ref="I22:I37" si="12">G22/H22</f>
        <v>0.75</v>
      </c>
      <c r="J22" s="53">
        <f t="shared" ref="J22:J37" si="13">E22/G22</f>
        <v>7.0048885772441984</v>
      </c>
      <c r="K22" s="53">
        <f t="shared" ref="K22:K37" si="14">(J22/(1.318*F22*I22^0.63))^1.85*A22</f>
        <v>0</v>
      </c>
      <c r="L22" s="53">
        <v>0.25</v>
      </c>
      <c r="M22" s="58">
        <f t="shared" ref="M22:M37" si="15">L22*(J22^2)/(2*32.2)</f>
        <v>0.19048316762269504</v>
      </c>
      <c r="N22" s="58">
        <f t="shared" ref="N22:N37" si="16">K22+M22</f>
        <v>0.19048316762269504</v>
      </c>
      <c r="O22" s="59">
        <f>N22</f>
        <v>0.19048316762269504</v>
      </c>
    </row>
    <row r="23" spans="1:15" x14ac:dyDescent="0.2">
      <c r="A23" s="37"/>
      <c r="B23" s="55">
        <v>36</v>
      </c>
      <c r="C23" s="56" t="s">
        <v>47</v>
      </c>
      <c r="D23" s="57">
        <f>'Headloss Calcs'!$A$52</f>
        <v>32</v>
      </c>
      <c r="E23" s="53">
        <f t="shared" si="9"/>
        <v>49.514755397108338</v>
      </c>
      <c r="F23" s="38">
        <f>'Headloss Calcs'!$H$18</f>
        <v>100</v>
      </c>
      <c r="G23" s="53">
        <f t="shared" si="10"/>
        <v>7.0686</v>
      </c>
      <c r="H23" s="53">
        <f t="shared" si="11"/>
        <v>9.4247999999999994</v>
      </c>
      <c r="I23" s="53">
        <f t="shared" si="12"/>
        <v>0.75</v>
      </c>
      <c r="J23" s="53">
        <f t="shared" si="13"/>
        <v>7.0048885772441984</v>
      </c>
      <c r="K23" s="53">
        <f t="shared" si="14"/>
        <v>0</v>
      </c>
      <c r="L23" s="53">
        <v>0.25</v>
      </c>
      <c r="M23" s="58">
        <f t="shared" si="15"/>
        <v>0.19048316762269504</v>
      </c>
      <c r="N23" s="58">
        <f t="shared" si="16"/>
        <v>0.19048316762269504</v>
      </c>
      <c r="O23" s="59">
        <f t="shared" ref="O23:O37" si="17">N23+O22</f>
        <v>0.38096633524539009</v>
      </c>
    </row>
    <row r="24" spans="1:15" x14ac:dyDescent="0.2">
      <c r="A24" s="37">
        <v>1320</v>
      </c>
      <c r="B24" s="55">
        <v>36</v>
      </c>
      <c r="C24" s="56" t="s">
        <v>23</v>
      </c>
      <c r="D24" s="57">
        <f>'Headloss Calcs'!$A$52</f>
        <v>32</v>
      </c>
      <c r="E24" s="53">
        <f t="shared" si="9"/>
        <v>49.514755397108338</v>
      </c>
      <c r="F24" s="38">
        <f>'Headloss Calcs'!$H$18</f>
        <v>100</v>
      </c>
      <c r="G24" s="53">
        <f t="shared" si="10"/>
        <v>7.0686</v>
      </c>
      <c r="H24" s="53">
        <f t="shared" si="11"/>
        <v>9.4247999999999994</v>
      </c>
      <c r="I24" s="53">
        <f t="shared" si="12"/>
        <v>0.75</v>
      </c>
      <c r="J24" s="53">
        <f t="shared" si="13"/>
        <v>7.0048885772441984</v>
      </c>
      <c r="K24" s="53">
        <f t="shared" si="14"/>
        <v>8.0972733062507256</v>
      </c>
      <c r="L24" s="53"/>
      <c r="M24" s="58">
        <f t="shared" si="15"/>
        <v>0</v>
      </c>
      <c r="N24" s="58">
        <f t="shared" si="16"/>
        <v>8.0972733062507256</v>
      </c>
      <c r="O24" s="59">
        <f t="shared" si="17"/>
        <v>8.4782396414961152</v>
      </c>
    </row>
    <row r="25" spans="1:15" x14ac:dyDescent="0.2">
      <c r="A25" s="37"/>
      <c r="B25" s="55">
        <v>36</v>
      </c>
      <c r="C25" s="56" t="s">
        <v>45</v>
      </c>
      <c r="D25" s="57">
        <f>'Headloss Calcs'!$A$52</f>
        <v>32</v>
      </c>
      <c r="E25" s="53">
        <f t="shared" si="9"/>
        <v>49.514755397108338</v>
      </c>
      <c r="F25" s="38">
        <f>'Headloss Calcs'!$H$18</f>
        <v>100</v>
      </c>
      <c r="G25" s="53">
        <f t="shared" si="10"/>
        <v>7.0686</v>
      </c>
      <c r="H25" s="53">
        <f t="shared" si="11"/>
        <v>9.4247999999999994</v>
      </c>
      <c r="I25" s="53">
        <f t="shared" si="12"/>
        <v>0.75</v>
      </c>
      <c r="J25" s="53">
        <f t="shared" si="13"/>
        <v>7.0048885772441984</v>
      </c>
      <c r="K25" s="53">
        <f t="shared" si="14"/>
        <v>0</v>
      </c>
      <c r="L25" s="53">
        <v>0.2</v>
      </c>
      <c r="M25" s="58">
        <f t="shared" si="15"/>
        <v>0.15238653409815606</v>
      </c>
      <c r="N25" s="58">
        <f t="shared" si="16"/>
        <v>0.15238653409815606</v>
      </c>
      <c r="O25" s="59">
        <f t="shared" si="17"/>
        <v>8.630626175594271</v>
      </c>
    </row>
    <row r="26" spans="1:15" x14ac:dyDescent="0.2">
      <c r="A26" s="37">
        <v>1320</v>
      </c>
      <c r="B26" s="55">
        <v>36</v>
      </c>
      <c r="C26" s="69" t="s">
        <v>23</v>
      </c>
      <c r="D26" s="57">
        <f>'Headloss Calcs'!$A$52</f>
        <v>32</v>
      </c>
      <c r="E26" s="53">
        <f t="shared" si="9"/>
        <v>49.514755397108338</v>
      </c>
      <c r="F26" s="38">
        <f>'Headloss Calcs'!$H$18</f>
        <v>100</v>
      </c>
      <c r="G26" s="53">
        <f t="shared" si="10"/>
        <v>7.0686</v>
      </c>
      <c r="H26" s="53">
        <f t="shared" si="11"/>
        <v>9.4247999999999994</v>
      </c>
      <c r="I26" s="53">
        <f t="shared" si="12"/>
        <v>0.75</v>
      </c>
      <c r="J26" s="53">
        <f t="shared" si="13"/>
        <v>7.0048885772441984</v>
      </c>
      <c r="K26" s="53">
        <f t="shared" si="14"/>
        <v>8.0972733062507256</v>
      </c>
      <c r="L26" s="53"/>
      <c r="M26" s="58">
        <f t="shared" si="15"/>
        <v>0</v>
      </c>
      <c r="N26" s="58">
        <f t="shared" si="16"/>
        <v>8.0972733062507256</v>
      </c>
      <c r="O26" s="59">
        <f t="shared" si="17"/>
        <v>16.727899481844997</v>
      </c>
    </row>
    <row r="27" spans="1:15" x14ac:dyDescent="0.2">
      <c r="A27" s="37"/>
      <c r="B27" s="55">
        <v>36</v>
      </c>
      <c r="C27" s="56" t="s">
        <v>39</v>
      </c>
      <c r="D27" s="57">
        <f>'Headloss Calcs'!$A$52</f>
        <v>32</v>
      </c>
      <c r="E27" s="53">
        <f t="shared" si="9"/>
        <v>49.514755397108338</v>
      </c>
      <c r="F27" s="38">
        <f>'Headloss Calcs'!$H$18</f>
        <v>100</v>
      </c>
      <c r="G27" s="53">
        <f t="shared" si="10"/>
        <v>7.0686</v>
      </c>
      <c r="H27" s="53">
        <f t="shared" si="11"/>
        <v>9.4247999999999994</v>
      </c>
      <c r="I27" s="53">
        <f t="shared" si="12"/>
        <v>0.75</v>
      </c>
      <c r="J27" s="53">
        <f t="shared" si="13"/>
        <v>7.0048885772441984</v>
      </c>
      <c r="K27" s="53">
        <f t="shared" si="14"/>
        <v>0</v>
      </c>
      <c r="L27" s="53">
        <v>0.4</v>
      </c>
      <c r="M27" s="58">
        <f t="shared" si="15"/>
        <v>0.30477306819631211</v>
      </c>
      <c r="N27" s="58">
        <f t="shared" si="16"/>
        <v>0.30477306819631211</v>
      </c>
      <c r="O27" s="59">
        <f t="shared" si="17"/>
        <v>17.032672550041308</v>
      </c>
    </row>
    <row r="28" spans="1:15" x14ac:dyDescent="0.2">
      <c r="A28" s="37">
        <v>1320</v>
      </c>
      <c r="B28" s="55">
        <v>36</v>
      </c>
      <c r="C28" s="56" t="s">
        <v>23</v>
      </c>
      <c r="D28" s="57">
        <f>'Headloss Calcs'!$A$52</f>
        <v>32</v>
      </c>
      <c r="E28" s="53">
        <f t="shared" si="9"/>
        <v>49.514755397108338</v>
      </c>
      <c r="F28" s="38">
        <f>'Headloss Calcs'!$H$18</f>
        <v>100</v>
      </c>
      <c r="G28" s="53">
        <f t="shared" si="10"/>
        <v>7.0686</v>
      </c>
      <c r="H28" s="53">
        <f t="shared" si="11"/>
        <v>9.4247999999999994</v>
      </c>
      <c r="I28" s="53">
        <f t="shared" si="12"/>
        <v>0.75</v>
      </c>
      <c r="J28" s="53">
        <f t="shared" si="13"/>
        <v>7.0048885772441984</v>
      </c>
      <c r="K28" s="53">
        <f t="shared" si="14"/>
        <v>8.0972733062507256</v>
      </c>
      <c r="L28" s="53"/>
      <c r="M28" s="58">
        <f t="shared" si="15"/>
        <v>0</v>
      </c>
      <c r="N28" s="58">
        <f t="shared" si="16"/>
        <v>8.0972733062507256</v>
      </c>
      <c r="O28" s="59">
        <f t="shared" si="17"/>
        <v>25.129945856292032</v>
      </c>
    </row>
    <row r="29" spans="1:15" x14ac:dyDescent="0.2">
      <c r="A29" s="37"/>
      <c r="B29" s="55">
        <v>36</v>
      </c>
      <c r="C29" s="56" t="s">
        <v>39</v>
      </c>
      <c r="D29" s="57">
        <f>'Headloss Calcs'!$A$52</f>
        <v>32</v>
      </c>
      <c r="E29" s="53">
        <f t="shared" si="9"/>
        <v>49.514755397108338</v>
      </c>
      <c r="F29" s="38">
        <f>'Headloss Calcs'!$H$18</f>
        <v>100</v>
      </c>
      <c r="G29" s="53">
        <f t="shared" si="10"/>
        <v>7.0686</v>
      </c>
      <c r="H29" s="53">
        <f t="shared" si="11"/>
        <v>9.4247999999999994</v>
      </c>
      <c r="I29" s="53">
        <f t="shared" si="12"/>
        <v>0.75</v>
      </c>
      <c r="J29" s="53">
        <f t="shared" si="13"/>
        <v>7.0048885772441984</v>
      </c>
      <c r="K29" s="53">
        <f t="shared" si="14"/>
        <v>0</v>
      </c>
      <c r="L29" s="53">
        <v>0.4</v>
      </c>
      <c r="M29" s="58">
        <f t="shared" si="15"/>
        <v>0.30477306819631211</v>
      </c>
      <c r="N29" s="58">
        <f t="shared" si="16"/>
        <v>0.30477306819631211</v>
      </c>
      <c r="O29" s="59">
        <f t="shared" si="17"/>
        <v>25.434718924488344</v>
      </c>
    </row>
    <row r="30" spans="1:15" x14ac:dyDescent="0.2">
      <c r="A30" s="37">
        <v>1320</v>
      </c>
      <c r="B30" s="55">
        <v>36</v>
      </c>
      <c r="C30" s="56" t="s">
        <v>23</v>
      </c>
      <c r="D30" s="57">
        <f>'Headloss Calcs'!$A$52</f>
        <v>32</v>
      </c>
      <c r="E30" s="53">
        <f t="shared" si="9"/>
        <v>49.514755397108338</v>
      </c>
      <c r="F30" s="38">
        <f>'Headloss Calcs'!$H$18</f>
        <v>100</v>
      </c>
      <c r="G30" s="53">
        <f t="shared" si="10"/>
        <v>7.0686</v>
      </c>
      <c r="H30" s="53">
        <f t="shared" si="11"/>
        <v>9.4247999999999994</v>
      </c>
      <c r="I30" s="53">
        <f t="shared" si="12"/>
        <v>0.75</v>
      </c>
      <c r="J30" s="53">
        <f t="shared" si="13"/>
        <v>7.0048885772441984</v>
      </c>
      <c r="K30" s="53">
        <f t="shared" si="14"/>
        <v>8.0972733062507256</v>
      </c>
      <c r="L30" s="53"/>
      <c r="M30" s="58">
        <f t="shared" si="15"/>
        <v>0</v>
      </c>
      <c r="N30" s="58">
        <f t="shared" si="16"/>
        <v>8.0972733062507256</v>
      </c>
      <c r="O30" s="59">
        <f t="shared" si="17"/>
        <v>33.531992230739071</v>
      </c>
    </row>
    <row r="31" spans="1:15" x14ac:dyDescent="0.2">
      <c r="A31" s="37"/>
      <c r="B31" s="55">
        <v>36</v>
      </c>
      <c r="C31" s="56" t="s">
        <v>48</v>
      </c>
      <c r="D31" s="57">
        <f>'Headloss Calcs'!$A$52</f>
        <v>32</v>
      </c>
      <c r="E31" s="53">
        <f t="shared" si="9"/>
        <v>49.514755397108338</v>
      </c>
      <c r="F31" s="38">
        <f>'Headloss Calcs'!$H$18</f>
        <v>100</v>
      </c>
      <c r="G31" s="53">
        <f t="shared" si="10"/>
        <v>7.0686</v>
      </c>
      <c r="H31" s="53">
        <f t="shared" si="11"/>
        <v>9.4247999999999994</v>
      </c>
      <c r="I31" s="53">
        <f t="shared" si="12"/>
        <v>0.75</v>
      </c>
      <c r="J31" s="53">
        <f t="shared" si="13"/>
        <v>7.0048885772441984</v>
      </c>
      <c r="K31" s="53">
        <f t="shared" si="14"/>
        <v>0</v>
      </c>
      <c r="L31" s="53">
        <v>0.4</v>
      </c>
      <c r="M31" s="58">
        <f t="shared" si="15"/>
        <v>0.30477306819631211</v>
      </c>
      <c r="N31" s="58">
        <f t="shared" si="16"/>
        <v>0.30477306819631211</v>
      </c>
      <c r="O31" s="59">
        <f t="shared" si="17"/>
        <v>33.836765298935383</v>
      </c>
    </row>
    <row r="32" spans="1:15" x14ac:dyDescent="0.2">
      <c r="A32" s="37">
        <v>1320</v>
      </c>
      <c r="B32" s="55">
        <v>36</v>
      </c>
      <c r="C32" s="56" t="s">
        <v>23</v>
      </c>
      <c r="D32" s="57">
        <f>'Headloss Calcs'!$A$52</f>
        <v>32</v>
      </c>
      <c r="E32" s="53">
        <f t="shared" si="9"/>
        <v>49.514755397108338</v>
      </c>
      <c r="F32" s="38">
        <f>'Headloss Calcs'!$H$18</f>
        <v>100</v>
      </c>
      <c r="G32" s="53">
        <f t="shared" si="10"/>
        <v>7.0686</v>
      </c>
      <c r="H32" s="53">
        <f t="shared" si="11"/>
        <v>9.4247999999999994</v>
      </c>
      <c r="I32" s="53">
        <f t="shared" si="12"/>
        <v>0.75</v>
      </c>
      <c r="J32" s="53">
        <f t="shared" si="13"/>
        <v>7.0048885772441984</v>
      </c>
      <c r="K32" s="53">
        <f t="shared" si="14"/>
        <v>8.0972733062507256</v>
      </c>
      <c r="L32" s="53"/>
      <c r="M32" s="58">
        <f t="shared" si="15"/>
        <v>0</v>
      </c>
      <c r="N32" s="58">
        <f t="shared" si="16"/>
        <v>8.0972733062507256</v>
      </c>
      <c r="O32" s="59">
        <f t="shared" si="17"/>
        <v>41.93403860518611</v>
      </c>
    </row>
    <row r="33" spans="1:15" x14ac:dyDescent="0.2">
      <c r="A33" s="37"/>
      <c r="B33" s="55">
        <v>36</v>
      </c>
      <c r="C33" s="56" t="s">
        <v>39</v>
      </c>
      <c r="D33" s="57">
        <f>'Headloss Calcs'!$A$52</f>
        <v>32</v>
      </c>
      <c r="E33" s="53">
        <f t="shared" si="9"/>
        <v>49.514755397108338</v>
      </c>
      <c r="F33" s="38">
        <f>'Headloss Calcs'!$H$18</f>
        <v>100</v>
      </c>
      <c r="G33" s="53">
        <f t="shared" si="10"/>
        <v>7.0686</v>
      </c>
      <c r="H33" s="53">
        <f t="shared" si="11"/>
        <v>9.4247999999999994</v>
      </c>
      <c r="I33" s="53">
        <f t="shared" si="12"/>
        <v>0.75</v>
      </c>
      <c r="J33" s="53">
        <f t="shared" si="13"/>
        <v>7.0048885772441984</v>
      </c>
      <c r="K33" s="53">
        <f t="shared" si="14"/>
        <v>0</v>
      </c>
      <c r="L33" s="53">
        <v>0.4</v>
      </c>
      <c r="M33" s="58">
        <f t="shared" si="15"/>
        <v>0.30477306819631211</v>
      </c>
      <c r="N33" s="58">
        <f t="shared" si="16"/>
        <v>0.30477306819631211</v>
      </c>
      <c r="O33" s="59">
        <f t="shared" si="17"/>
        <v>42.238811673382422</v>
      </c>
    </row>
    <row r="34" spans="1:15" x14ac:dyDescent="0.2">
      <c r="A34" s="37">
        <v>1320</v>
      </c>
      <c r="B34" s="55">
        <v>36</v>
      </c>
      <c r="C34" s="56" t="s">
        <v>23</v>
      </c>
      <c r="D34" s="57">
        <f>'Headloss Calcs'!$A$52</f>
        <v>32</v>
      </c>
      <c r="E34" s="53">
        <f t="shared" si="9"/>
        <v>49.514755397108338</v>
      </c>
      <c r="F34" s="38">
        <f>'Headloss Calcs'!$H$18</f>
        <v>100</v>
      </c>
      <c r="G34" s="53">
        <f t="shared" si="10"/>
        <v>7.0686</v>
      </c>
      <c r="H34" s="53">
        <f t="shared" si="11"/>
        <v>9.4247999999999994</v>
      </c>
      <c r="I34" s="53">
        <f t="shared" si="12"/>
        <v>0.75</v>
      </c>
      <c r="J34" s="53">
        <f t="shared" si="13"/>
        <v>7.0048885772441984</v>
      </c>
      <c r="K34" s="53">
        <f t="shared" si="14"/>
        <v>8.0972733062507256</v>
      </c>
      <c r="L34" s="53"/>
      <c r="M34" s="58">
        <f t="shared" si="15"/>
        <v>0</v>
      </c>
      <c r="N34" s="58">
        <f t="shared" si="16"/>
        <v>8.0972733062507256</v>
      </c>
      <c r="O34" s="59">
        <f t="shared" si="17"/>
        <v>50.336084979633149</v>
      </c>
    </row>
    <row r="35" spans="1:15" x14ac:dyDescent="0.2">
      <c r="A35" s="37"/>
      <c r="B35" s="55">
        <v>36</v>
      </c>
      <c r="C35" s="56" t="s">
        <v>45</v>
      </c>
      <c r="D35" s="57">
        <f>'Headloss Calcs'!$A$52</f>
        <v>32</v>
      </c>
      <c r="E35" s="53">
        <f t="shared" si="9"/>
        <v>49.514755397108338</v>
      </c>
      <c r="F35" s="38">
        <f>'Headloss Calcs'!$H$18</f>
        <v>100</v>
      </c>
      <c r="G35" s="53">
        <f t="shared" si="10"/>
        <v>7.0686</v>
      </c>
      <c r="H35" s="53">
        <f t="shared" si="11"/>
        <v>9.4247999999999994</v>
      </c>
      <c r="I35" s="53">
        <f t="shared" si="12"/>
        <v>0.75</v>
      </c>
      <c r="J35" s="53">
        <f t="shared" si="13"/>
        <v>7.0048885772441984</v>
      </c>
      <c r="K35" s="53">
        <f t="shared" si="14"/>
        <v>0</v>
      </c>
      <c r="L35" s="53">
        <v>0.2</v>
      </c>
      <c r="M35" s="58">
        <f t="shared" si="15"/>
        <v>0.15238653409815606</v>
      </c>
      <c r="N35" s="58">
        <f t="shared" si="16"/>
        <v>0.15238653409815606</v>
      </c>
      <c r="O35" s="59">
        <f t="shared" si="17"/>
        <v>50.488471513731305</v>
      </c>
    </row>
    <row r="36" spans="1:15" x14ac:dyDescent="0.2">
      <c r="A36" s="37">
        <v>1320</v>
      </c>
      <c r="B36" s="55">
        <v>36</v>
      </c>
      <c r="C36" s="56" t="s">
        <v>23</v>
      </c>
      <c r="D36" s="57">
        <f>'Headloss Calcs'!$A$52</f>
        <v>32</v>
      </c>
      <c r="E36" s="53">
        <f t="shared" si="9"/>
        <v>49.514755397108338</v>
      </c>
      <c r="F36" s="38">
        <f>'Headloss Calcs'!$H$18</f>
        <v>100</v>
      </c>
      <c r="G36" s="53">
        <f t="shared" si="10"/>
        <v>7.0686</v>
      </c>
      <c r="H36" s="53">
        <f t="shared" si="11"/>
        <v>9.4247999999999994</v>
      </c>
      <c r="I36" s="53">
        <f t="shared" si="12"/>
        <v>0.75</v>
      </c>
      <c r="J36" s="53">
        <f t="shared" si="13"/>
        <v>7.0048885772441984</v>
      </c>
      <c r="K36" s="53">
        <f t="shared" si="14"/>
        <v>8.0972733062507256</v>
      </c>
      <c r="L36" s="53"/>
      <c r="M36" s="58">
        <f t="shared" si="15"/>
        <v>0</v>
      </c>
      <c r="N36" s="58">
        <f t="shared" si="16"/>
        <v>8.0972733062507256</v>
      </c>
      <c r="O36" s="59">
        <f t="shared" si="17"/>
        <v>58.585744819982033</v>
      </c>
    </row>
    <row r="37" spans="1:15" ht="12" customHeight="1" x14ac:dyDescent="0.2">
      <c r="A37" s="37"/>
      <c r="B37" s="55">
        <v>36</v>
      </c>
      <c r="C37" s="56" t="s">
        <v>44</v>
      </c>
      <c r="D37" s="57">
        <f>'Headloss Calcs'!$A$52</f>
        <v>32</v>
      </c>
      <c r="E37" s="53">
        <f t="shared" si="9"/>
        <v>49.514755397108338</v>
      </c>
      <c r="F37" s="38">
        <f>'Headloss Calcs'!$H$18</f>
        <v>100</v>
      </c>
      <c r="G37" s="53">
        <f t="shared" si="10"/>
        <v>7.0686</v>
      </c>
      <c r="H37" s="53">
        <f t="shared" si="11"/>
        <v>9.4247999999999994</v>
      </c>
      <c r="I37" s="53">
        <f t="shared" si="12"/>
        <v>0.75</v>
      </c>
      <c r="J37" s="53">
        <f t="shared" si="13"/>
        <v>7.0048885772441984</v>
      </c>
      <c r="K37" s="53">
        <f t="shared" si="14"/>
        <v>0</v>
      </c>
      <c r="L37" s="53">
        <v>1</v>
      </c>
      <c r="M37" s="58">
        <f t="shared" si="15"/>
        <v>0.76193267049078017</v>
      </c>
      <c r="N37" s="58">
        <f t="shared" si="16"/>
        <v>0.76193267049078017</v>
      </c>
      <c r="O37" s="59">
        <f t="shared" si="17"/>
        <v>59.347677490472812</v>
      </c>
    </row>
    <row r="38" spans="1:15" ht="13.5" thickBot="1" x14ac:dyDescent="0.25">
      <c r="A38" s="39"/>
      <c r="B38" s="40"/>
      <c r="C38" s="41"/>
      <c r="D38" s="40"/>
      <c r="E38" s="42"/>
      <c r="F38" s="40"/>
      <c r="G38" s="54"/>
      <c r="H38" s="54"/>
      <c r="I38" s="54"/>
      <c r="J38" s="54"/>
      <c r="K38" s="54"/>
      <c r="L38" s="54"/>
      <c r="M38" s="60"/>
      <c r="N38" s="60" t="s">
        <v>40</v>
      </c>
      <c r="O38" s="61">
        <f>O37</f>
        <v>59.347677490472812</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50"/>
  <sheetViews>
    <sheetView topLeftCell="A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Calcs'!$A$53</f>
        <v>33</v>
      </c>
      <c r="E3" s="53">
        <f t="shared" ref="E3:E18" si="0">D3*1000000/(7.48*24*60*60)</f>
        <v>51.062091503267972</v>
      </c>
      <c r="F3" s="38">
        <f>'Headloss Calcs'!$E$18</f>
        <v>140</v>
      </c>
      <c r="G3" s="53">
        <f t="shared" ref="G3:G18" si="1">3.1416/4*(B3/12)^2</f>
        <v>7.0686</v>
      </c>
      <c r="H3" s="53">
        <f t="shared" ref="H3:H18" si="2">3.1416*(B3/12)</f>
        <v>9.4247999999999994</v>
      </c>
      <c r="I3" s="53">
        <f t="shared" ref="I3:I18" si="3">G3/H3</f>
        <v>0.75</v>
      </c>
      <c r="J3" s="53">
        <f t="shared" ref="J3:J18" si="4">E3/G3</f>
        <v>7.2237913452830789</v>
      </c>
      <c r="K3" s="53">
        <f t="shared" ref="K3:K18" si="5">(J3/(1.318*F3*I3^0.63))^1.85*A3</f>
        <v>0</v>
      </c>
      <c r="L3" s="53">
        <v>0.25</v>
      </c>
      <c r="M3" s="58">
        <f t="shared" ref="M3:M18" si="6">L3*(J3^2)/(2*32.2)</f>
        <v>0.20257438431749497</v>
      </c>
      <c r="N3" s="58">
        <f t="shared" ref="N3:N18" si="7">K3+M3</f>
        <v>0.20257438431749497</v>
      </c>
      <c r="O3" s="59">
        <f>N3</f>
        <v>0.20257438431749497</v>
      </c>
    </row>
    <row r="4" spans="1:15" x14ac:dyDescent="0.2">
      <c r="A4" s="37"/>
      <c r="B4" s="55">
        <v>36</v>
      </c>
      <c r="C4" s="56" t="s">
        <v>47</v>
      </c>
      <c r="D4" s="57">
        <f>'Headloss Calcs'!$A$53</f>
        <v>33</v>
      </c>
      <c r="E4" s="53">
        <f t="shared" si="0"/>
        <v>51.062091503267972</v>
      </c>
      <c r="F4" s="38">
        <f>'Headloss Calcs'!$E$18</f>
        <v>140</v>
      </c>
      <c r="G4" s="53">
        <f t="shared" si="1"/>
        <v>7.0686</v>
      </c>
      <c r="H4" s="53">
        <f t="shared" si="2"/>
        <v>9.4247999999999994</v>
      </c>
      <c r="I4" s="53">
        <f t="shared" si="3"/>
        <v>0.75</v>
      </c>
      <c r="J4" s="53">
        <f t="shared" si="4"/>
        <v>7.2237913452830789</v>
      </c>
      <c r="K4" s="53">
        <f t="shared" si="5"/>
        <v>0</v>
      </c>
      <c r="L4" s="53">
        <v>0.25</v>
      </c>
      <c r="M4" s="58">
        <f t="shared" si="6"/>
        <v>0.20257438431749497</v>
      </c>
      <c r="N4" s="58">
        <f t="shared" si="7"/>
        <v>0.20257438431749497</v>
      </c>
      <c r="O4" s="59">
        <f t="shared" ref="O4:O18" si="8">N4+O3</f>
        <v>0.40514876863498994</v>
      </c>
    </row>
    <row r="5" spans="1:15" x14ac:dyDescent="0.2">
      <c r="A5" s="37">
        <v>1320</v>
      </c>
      <c r="B5" s="55">
        <v>36</v>
      </c>
      <c r="C5" s="56" t="s">
        <v>23</v>
      </c>
      <c r="D5" s="57">
        <f>'Headloss Calcs'!$A$53</f>
        <v>33</v>
      </c>
      <c r="E5" s="53">
        <f t="shared" si="0"/>
        <v>51.062091503267972</v>
      </c>
      <c r="F5" s="38">
        <f>'Headloss Calcs'!$E$18</f>
        <v>140</v>
      </c>
      <c r="G5" s="53">
        <f t="shared" si="1"/>
        <v>7.0686</v>
      </c>
      <c r="H5" s="53">
        <f t="shared" si="2"/>
        <v>9.4247999999999994</v>
      </c>
      <c r="I5" s="53">
        <f t="shared" si="3"/>
        <v>0.75</v>
      </c>
      <c r="J5" s="53">
        <f t="shared" si="4"/>
        <v>7.2237913452830789</v>
      </c>
      <c r="K5" s="53">
        <f t="shared" si="5"/>
        <v>4.5996550287482458</v>
      </c>
      <c r="L5" s="53"/>
      <c r="M5" s="58">
        <f t="shared" si="6"/>
        <v>0</v>
      </c>
      <c r="N5" s="58">
        <f t="shared" si="7"/>
        <v>4.5996550287482458</v>
      </c>
      <c r="O5" s="59">
        <f t="shared" si="8"/>
        <v>5.0048037973832358</v>
      </c>
    </row>
    <row r="6" spans="1:15" x14ac:dyDescent="0.2">
      <c r="A6" s="37"/>
      <c r="B6" s="55">
        <v>36</v>
      </c>
      <c r="C6" s="56" t="s">
        <v>45</v>
      </c>
      <c r="D6" s="57">
        <f>'Headloss Calcs'!$A$53</f>
        <v>33</v>
      </c>
      <c r="E6" s="53">
        <f t="shared" si="0"/>
        <v>51.062091503267972</v>
      </c>
      <c r="F6" s="38">
        <f>'Headloss Calcs'!$E$18</f>
        <v>140</v>
      </c>
      <c r="G6" s="53">
        <f t="shared" si="1"/>
        <v>7.0686</v>
      </c>
      <c r="H6" s="53">
        <f t="shared" si="2"/>
        <v>9.4247999999999994</v>
      </c>
      <c r="I6" s="53">
        <f t="shared" si="3"/>
        <v>0.75</v>
      </c>
      <c r="J6" s="53">
        <f t="shared" si="4"/>
        <v>7.2237913452830789</v>
      </c>
      <c r="K6" s="53">
        <f t="shared" si="5"/>
        <v>0</v>
      </c>
      <c r="L6" s="53">
        <v>0.2</v>
      </c>
      <c r="M6" s="58">
        <f t="shared" si="6"/>
        <v>0.162059507453996</v>
      </c>
      <c r="N6" s="58">
        <f t="shared" si="7"/>
        <v>0.162059507453996</v>
      </c>
      <c r="O6" s="59">
        <f t="shared" si="8"/>
        <v>5.1668633048372321</v>
      </c>
    </row>
    <row r="7" spans="1:15" x14ac:dyDescent="0.2">
      <c r="A7" s="37">
        <v>1320</v>
      </c>
      <c r="B7" s="55">
        <v>36</v>
      </c>
      <c r="C7" s="69" t="s">
        <v>23</v>
      </c>
      <c r="D7" s="57">
        <f>'Headloss Calcs'!$A$53</f>
        <v>33</v>
      </c>
      <c r="E7" s="53">
        <f t="shared" si="0"/>
        <v>51.062091503267972</v>
      </c>
      <c r="F7" s="38">
        <f>'Headloss Calcs'!$E$18</f>
        <v>140</v>
      </c>
      <c r="G7" s="53">
        <f t="shared" si="1"/>
        <v>7.0686</v>
      </c>
      <c r="H7" s="53">
        <f t="shared" si="2"/>
        <v>9.4247999999999994</v>
      </c>
      <c r="I7" s="53">
        <f t="shared" si="3"/>
        <v>0.75</v>
      </c>
      <c r="J7" s="53">
        <f t="shared" si="4"/>
        <v>7.2237913452830789</v>
      </c>
      <c r="K7" s="53">
        <f t="shared" si="5"/>
        <v>4.5996550287482458</v>
      </c>
      <c r="L7" s="53"/>
      <c r="M7" s="58">
        <f t="shared" si="6"/>
        <v>0</v>
      </c>
      <c r="N7" s="58">
        <f t="shared" si="7"/>
        <v>4.5996550287482458</v>
      </c>
      <c r="O7" s="59">
        <f t="shared" si="8"/>
        <v>9.7665183335854771</v>
      </c>
    </row>
    <row r="8" spans="1:15" x14ac:dyDescent="0.2">
      <c r="A8" s="37"/>
      <c r="B8" s="55">
        <v>36</v>
      </c>
      <c r="C8" s="56" t="s">
        <v>39</v>
      </c>
      <c r="D8" s="57">
        <f>'Headloss Calcs'!$A$53</f>
        <v>33</v>
      </c>
      <c r="E8" s="53">
        <f t="shared" si="0"/>
        <v>51.062091503267972</v>
      </c>
      <c r="F8" s="38">
        <f>'Headloss Calcs'!$E$18</f>
        <v>140</v>
      </c>
      <c r="G8" s="53">
        <f t="shared" si="1"/>
        <v>7.0686</v>
      </c>
      <c r="H8" s="53">
        <f t="shared" si="2"/>
        <v>9.4247999999999994</v>
      </c>
      <c r="I8" s="53">
        <f t="shared" si="3"/>
        <v>0.75</v>
      </c>
      <c r="J8" s="53">
        <f t="shared" si="4"/>
        <v>7.2237913452830789</v>
      </c>
      <c r="K8" s="53">
        <f t="shared" si="5"/>
        <v>0</v>
      </c>
      <c r="L8" s="53">
        <v>0.4</v>
      </c>
      <c r="M8" s="58">
        <f t="shared" si="6"/>
        <v>0.324119014907992</v>
      </c>
      <c r="N8" s="58">
        <f t="shared" si="7"/>
        <v>0.324119014907992</v>
      </c>
      <c r="O8" s="59">
        <f t="shared" si="8"/>
        <v>10.09063734849347</v>
      </c>
    </row>
    <row r="9" spans="1:15" x14ac:dyDescent="0.2">
      <c r="A9" s="37">
        <v>1320</v>
      </c>
      <c r="B9" s="55">
        <v>36</v>
      </c>
      <c r="C9" s="56" t="s">
        <v>23</v>
      </c>
      <c r="D9" s="57">
        <f>'Headloss Calcs'!$A$53</f>
        <v>33</v>
      </c>
      <c r="E9" s="53">
        <f t="shared" si="0"/>
        <v>51.062091503267972</v>
      </c>
      <c r="F9" s="38">
        <f>'Headloss Calcs'!$E$18</f>
        <v>140</v>
      </c>
      <c r="G9" s="53">
        <f t="shared" si="1"/>
        <v>7.0686</v>
      </c>
      <c r="H9" s="53">
        <f t="shared" si="2"/>
        <v>9.4247999999999994</v>
      </c>
      <c r="I9" s="53">
        <f t="shared" si="3"/>
        <v>0.75</v>
      </c>
      <c r="J9" s="53">
        <f t="shared" si="4"/>
        <v>7.2237913452830789</v>
      </c>
      <c r="K9" s="53">
        <f t="shared" si="5"/>
        <v>4.5996550287482458</v>
      </c>
      <c r="L9" s="53"/>
      <c r="M9" s="58">
        <f t="shared" si="6"/>
        <v>0</v>
      </c>
      <c r="N9" s="58">
        <f t="shared" si="7"/>
        <v>4.5996550287482458</v>
      </c>
      <c r="O9" s="59">
        <f t="shared" si="8"/>
        <v>14.690292377241715</v>
      </c>
    </row>
    <row r="10" spans="1:15" x14ac:dyDescent="0.2">
      <c r="A10" s="37"/>
      <c r="B10" s="55">
        <v>36</v>
      </c>
      <c r="C10" s="56" t="s">
        <v>39</v>
      </c>
      <c r="D10" s="57">
        <f>'Headloss Calcs'!$A$53</f>
        <v>33</v>
      </c>
      <c r="E10" s="53">
        <f t="shared" si="0"/>
        <v>51.062091503267972</v>
      </c>
      <c r="F10" s="38">
        <f>'Headloss Calcs'!$E$18</f>
        <v>140</v>
      </c>
      <c r="G10" s="53">
        <f t="shared" si="1"/>
        <v>7.0686</v>
      </c>
      <c r="H10" s="53">
        <f t="shared" si="2"/>
        <v>9.4247999999999994</v>
      </c>
      <c r="I10" s="53">
        <f t="shared" si="3"/>
        <v>0.75</v>
      </c>
      <c r="J10" s="53">
        <f t="shared" si="4"/>
        <v>7.2237913452830789</v>
      </c>
      <c r="K10" s="53">
        <f t="shared" si="5"/>
        <v>0</v>
      </c>
      <c r="L10" s="53">
        <v>0.4</v>
      </c>
      <c r="M10" s="58">
        <f t="shared" si="6"/>
        <v>0.324119014907992</v>
      </c>
      <c r="N10" s="58">
        <f t="shared" si="7"/>
        <v>0.324119014907992</v>
      </c>
      <c r="O10" s="59">
        <f t="shared" si="8"/>
        <v>15.014411392149707</v>
      </c>
    </row>
    <row r="11" spans="1:15" x14ac:dyDescent="0.2">
      <c r="A11" s="37">
        <v>1320</v>
      </c>
      <c r="B11" s="55">
        <v>36</v>
      </c>
      <c r="C11" s="56" t="s">
        <v>23</v>
      </c>
      <c r="D11" s="57">
        <f>'Headloss Calcs'!$A$53</f>
        <v>33</v>
      </c>
      <c r="E11" s="53">
        <f t="shared" si="0"/>
        <v>51.062091503267972</v>
      </c>
      <c r="F11" s="38">
        <f>'Headloss Calcs'!$E$18</f>
        <v>140</v>
      </c>
      <c r="G11" s="53">
        <f t="shared" si="1"/>
        <v>7.0686</v>
      </c>
      <c r="H11" s="53">
        <f t="shared" si="2"/>
        <v>9.4247999999999994</v>
      </c>
      <c r="I11" s="53">
        <f t="shared" si="3"/>
        <v>0.75</v>
      </c>
      <c r="J11" s="53">
        <f t="shared" si="4"/>
        <v>7.2237913452830789</v>
      </c>
      <c r="K11" s="53">
        <f t="shared" si="5"/>
        <v>4.5996550287482458</v>
      </c>
      <c r="L11" s="53"/>
      <c r="M11" s="58">
        <f t="shared" si="6"/>
        <v>0</v>
      </c>
      <c r="N11" s="58">
        <f t="shared" si="7"/>
        <v>4.5996550287482458</v>
      </c>
      <c r="O11" s="59">
        <f t="shared" si="8"/>
        <v>19.614066420897952</v>
      </c>
    </row>
    <row r="12" spans="1:15" x14ac:dyDescent="0.2">
      <c r="A12" s="37"/>
      <c r="B12" s="55">
        <v>36</v>
      </c>
      <c r="C12" s="56" t="s">
        <v>48</v>
      </c>
      <c r="D12" s="57">
        <f>'Headloss Calcs'!$A$53</f>
        <v>33</v>
      </c>
      <c r="E12" s="53">
        <f t="shared" si="0"/>
        <v>51.062091503267972</v>
      </c>
      <c r="F12" s="38">
        <f>'Headloss Calcs'!$E$18</f>
        <v>140</v>
      </c>
      <c r="G12" s="53">
        <f t="shared" si="1"/>
        <v>7.0686</v>
      </c>
      <c r="H12" s="53">
        <f t="shared" si="2"/>
        <v>9.4247999999999994</v>
      </c>
      <c r="I12" s="53">
        <f t="shared" si="3"/>
        <v>0.75</v>
      </c>
      <c r="J12" s="53">
        <f t="shared" si="4"/>
        <v>7.2237913452830789</v>
      </c>
      <c r="K12" s="53">
        <f t="shared" si="5"/>
        <v>0</v>
      </c>
      <c r="L12" s="53">
        <v>0.4</v>
      </c>
      <c r="M12" s="58">
        <f t="shared" si="6"/>
        <v>0.324119014907992</v>
      </c>
      <c r="N12" s="58">
        <f t="shared" si="7"/>
        <v>0.324119014907992</v>
      </c>
      <c r="O12" s="59">
        <f t="shared" si="8"/>
        <v>19.938185435805945</v>
      </c>
    </row>
    <row r="13" spans="1:15" x14ac:dyDescent="0.2">
      <c r="A13" s="37">
        <v>1320</v>
      </c>
      <c r="B13" s="55">
        <v>36</v>
      </c>
      <c r="C13" s="56" t="s">
        <v>23</v>
      </c>
      <c r="D13" s="57">
        <f>'Headloss Calcs'!$A$53</f>
        <v>33</v>
      </c>
      <c r="E13" s="53">
        <f t="shared" si="0"/>
        <v>51.062091503267972</v>
      </c>
      <c r="F13" s="38">
        <f>'Headloss Calcs'!$E$18</f>
        <v>140</v>
      </c>
      <c r="G13" s="53">
        <f t="shared" si="1"/>
        <v>7.0686</v>
      </c>
      <c r="H13" s="53">
        <f t="shared" si="2"/>
        <v>9.4247999999999994</v>
      </c>
      <c r="I13" s="53">
        <f t="shared" si="3"/>
        <v>0.75</v>
      </c>
      <c r="J13" s="53">
        <f t="shared" si="4"/>
        <v>7.2237913452830789</v>
      </c>
      <c r="K13" s="53">
        <f t="shared" si="5"/>
        <v>4.5996550287482458</v>
      </c>
      <c r="L13" s="53"/>
      <c r="M13" s="58">
        <f t="shared" si="6"/>
        <v>0</v>
      </c>
      <c r="N13" s="58">
        <f t="shared" si="7"/>
        <v>4.5996550287482458</v>
      </c>
      <c r="O13" s="59">
        <f t="shared" si="8"/>
        <v>24.53784046455419</v>
      </c>
    </row>
    <row r="14" spans="1:15" x14ac:dyDescent="0.2">
      <c r="A14" s="37"/>
      <c r="B14" s="55">
        <v>36</v>
      </c>
      <c r="C14" s="56" t="s">
        <v>39</v>
      </c>
      <c r="D14" s="57">
        <f>'Headloss Calcs'!$A$53</f>
        <v>33</v>
      </c>
      <c r="E14" s="53">
        <f t="shared" si="0"/>
        <v>51.062091503267972</v>
      </c>
      <c r="F14" s="38">
        <f>'Headloss Calcs'!$E$18</f>
        <v>140</v>
      </c>
      <c r="G14" s="53">
        <f t="shared" si="1"/>
        <v>7.0686</v>
      </c>
      <c r="H14" s="53">
        <f t="shared" si="2"/>
        <v>9.4247999999999994</v>
      </c>
      <c r="I14" s="53">
        <f t="shared" si="3"/>
        <v>0.75</v>
      </c>
      <c r="J14" s="53">
        <f t="shared" si="4"/>
        <v>7.2237913452830789</v>
      </c>
      <c r="K14" s="53">
        <f t="shared" si="5"/>
        <v>0</v>
      </c>
      <c r="L14" s="53">
        <v>0.4</v>
      </c>
      <c r="M14" s="58">
        <f t="shared" si="6"/>
        <v>0.324119014907992</v>
      </c>
      <c r="N14" s="58">
        <f t="shared" si="7"/>
        <v>0.324119014907992</v>
      </c>
      <c r="O14" s="59">
        <f t="shared" si="8"/>
        <v>24.861959479462183</v>
      </c>
    </row>
    <row r="15" spans="1:15" x14ac:dyDescent="0.2">
      <c r="A15" s="37">
        <v>1320</v>
      </c>
      <c r="B15" s="55">
        <v>36</v>
      </c>
      <c r="C15" s="56" t="s">
        <v>23</v>
      </c>
      <c r="D15" s="57">
        <f>'Headloss Calcs'!$A$53</f>
        <v>33</v>
      </c>
      <c r="E15" s="53">
        <f t="shared" si="0"/>
        <v>51.062091503267972</v>
      </c>
      <c r="F15" s="38">
        <f>'Headloss Calcs'!$E$18</f>
        <v>140</v>
      </c>
      <c r="G15" s="53">
        <f t="shared" si="1"/>
        <v>7.0686</v>
      </c>
      <c r="H15" s="53">
        <f t="shared" si="2"/>
        <v>9.4247999999999994</v>
      </c>
      <c r="I15" s="53">
        <f t="shared" si="3"/>
        <v>0.75</v>
      </c>
      <c r="J15" s="53">
        <f t="shared" si="4"/>
        <v>7.2237913452830789</v>
      </c>
      <c r="K15" s="53">
        <f t="shared" si="5"/>
        <v>4.5996550287482458</v>
      </c>
      <c r="L15" s="53"/>
      <c r="M15" s="58">
        <f t="shared" si="6"/>
        <v>0</v>
      </c>
      <c r="N15" s="58">
        <f t="shared" si="7"/>
        <v>4.5996550287482458</v>
      </c>
      <c r="O15" s="59">
        <f t="shared" si="8"/>
        <v>29.461614508210427</v>
      </c>
    </row>
    <row r="16" spans="1:15" x14ac:dyDescent="0.2">
      <c r="A16" s="37"/>
      <c r="B16" s="55">
        <v>36</v>
      </c>
      <c r="C16" s="56" t="s">
        <v>45</v>
      </c>
      <c r="D16" s="57">
        <f>'Headloss Calcs'!$A$53</f>
        <v>33</v>
      </c>
      <c r="E16" s="53">
        <f t="shared" si="0"/>
        <v>51.062091503267972</v>
      </c>
      <c r="F16" s="38">
        <f>'Headloss Calcs'!$E$18</f>
        <v>140</v>
      </c>
      <c r="G16" s="53">
        <f t="shared" si="1"/>
        <v>7.0686</v>
      </c>
      <c r="H16" s="53">
        <f t="shared" si="2"/>
        <v>9.4247999999999994</v>
      </c>
      <c r="I16" s="53">
        <f t="shared" si="3"/>
        <v>0.75</v>
      </c>
      <c r="J16" s="53">
        <f t="shared" si="4"/>
        <v>7.2237913452830789</v>
      </c>
      <c r="K16" s="53">
        <f t="shared" si="5"/>
        <v>0</v>
      </c>
      <c r="L16" s="53">
        <v>0.2</v>
      </c>
      <c r="M16" s="58">
        <f t="shared" si="6"/>
        <v>0.162059507453996</v>
      </c>
      <c r="N16" s="58">
        <f t="shared" si="7"/>
        <v>0.162059507453996</v>
      </c>
      <c r="O16" s="59">
        <f t="shared" si="8"/>
        <v>29.623674015664424</v>
      </c>
    </row>
    <row r="17" spans="1:15" x14ac:dyDescent="0.2">
      <c r="A17" s="37">
        <v>1320</v>
      </c>
      <c r="B17" s="55">
        <v>36</v>
      </c>
      <c r="C17" s="56" t="s">
        <v>23</v>
      </c>
      <c r="D17" s="57">
        <f>'Headloss Calcs'!$A$53</f>
        <v>33</v>
      </c>
      <c r="E17" s="53">
        <f t="shared" si="0"/>
        <v>51.062091503267972</v>
      </c>
      <c r="F17" s="38">
        <f>'Headloss Calcs'!$E$18</f>
        <v>140</v>
      </c>
      <c r="G17" s="53">
        <f t="shared" si="1"/>
        <v>7.0686</v>
      </c>
      <c r="H17" s="53">
        <f t="shared" si="2"/>
        <v>9.4247999999999994</v>
      </c>
      <c r="I17" s="53">
        <f t="shared" si="3"/>
        <v>0.75</v>
      </c>
      <c r="J17" s="53">
        <f t="shared" si="4"/>
        <v>7.2237913452830789</v>
      </c>
      <c r="K17" s="53">
        <f t="shared" si="5"/>
        <v>4.5996550287482458</v>
      </c>
      <c r="L17" s="53"/>
      <c r="M17" s="58">
        <f t="shared" si="6"/>
        <v>0</v>
      </c>
      <c r="N17" s="58">
        <f t="shared" si="7"/>
        <v>4.5996550287482458</v>
      </c>
      <c r="O17" s="59">
        <f t="shared" si="8"/>
        <v>34.223329044412672</v>
      </c>
    </row>
    <row r="18" spans="1:15" ht="12" customHeight="1" x14ac:dyDescent="0.2">
      <c r="A18" s="37"/>
      <c r="B18" s="55">
        <v>36</v>
      </c>
      <c r="C18" s="56" t="s">
        <v>44</v>
      </c>
      <c r="D18" s="57">
        <f>'Headloss Calcs'!$A$53</f>
        <v>33</v>
      </c>
      <c r="E18" s="53">
        <f t="shared" si="0"/>
        <v>51.062091503267972</v>
      </c>
      <c r="F18" s="38">
        <f>'Headloss Calcs'!$E$18</f>
        <v>140</v>
      </c>
      <c r="G18" s="53">
        <f t="shared" si="1"/>
        <v>7.0686</v>
      </c>
      <c r="H18" s="53">
        <f t="shared" si="2"/>
        <v>9.4247999999999994</v>
      </c>
      <c r="I18" s="53">
        <f t="shared" si="3"/>
        <v>0.75</v>
      </c>
      <c r="J18" s="53">
        <f t="shared" si="4"/>
        <v>7.2237913452830789</v>
      </c>
      <c r="K18" s="53">
        <f t="shared" si="5"/>
        <v>0</v>
      </c>
      <c r="L18" s="53">
        <v>1</v>
      </c>
      <c r="M18" s="58">
        <f t="shared" si="6"/>
        <v>0.81029753726997988</v>
      </c>
      <c r="N18" s="58">
        <f t="shared" si="7"/>
        <v>0.81029753726997988</v>
      </c>
      <c r="O18" s="59">
        <f t="shared" si="8"/>
        <v>35.033626581682654</v>
      </c>
    </row>
    <row r="19" spans="1:15" ht="13.5" thickBot="1" x14ac:dyDescent="0.25">
      <c r="A19" s="39"/>
      <c r="B19" s="40"/>
      <c r="C19" s="41"/>
      <c r="D19" s="40"/>
      <c r="E19" s="42"/>
      <c r="F19" s="40"/>
      <c r="G19" s="54"/>
      <c r="H19" s="54"/>
      <c r="I19" s="54"/>
      <c r="J19" s="54"/>
      <c r="K19" s="54"/>
      <c r="L19" s="54"/>
      <c r="M19" s="60"/>
      <c r="N19" s="60" t="s">
        <v>40</v>
      </c>
      <c r="O19" s="61">
        <f>O18</f>
        <v>35.033626581682654</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Calcs'!$A$53</f>
        <v>33</v>
      </c>
      <c r="E22" s="53">
        <f t="shared" ref="E22:E37" si="9">D22*1000000/(7.48*24*60*60)</f>
        <v>51.062091503267972</v>
      </c>
      <c r="F22" s="38">
        <f>'Headloss Calcs'!$H$18</f>
        <v>100</v>
      </c>
      <c r="G22" s="53">
        <f t="shared" ref="G22:G37" si="10">3.1416/4*(B22/12)^2</f>
        <v>7.0686</v>
      </c>
      <c r="H22" s="53">
        <f t="shared" ref="H22:H37" si="11">3.1416*(B22/12)</f>
        <v>9.4247999999999994</v>
      </c>
      <c r="I22" s="53">
        <f t="shared" ref="I22:I37" si="12">G22/H22</f>
        <v>0.75</v>
      </c>
      <c r="J22" s="53">
        <f t="shared" ref="J22:J37" si="13">E22/G22</f>
        <v>7.2237913452830789</v>
      </c>
      <c r="K22" s="53">
        <f t="shared" ref="K22:K37" si="14">(J22/(1.318*F22*I22^0.63))^1.85*A22</f>
        <v>0</v>
      </c>
      <c r="L22" s="53">
        <v>0.25</v>
      </c>
      <c r="M22" s="58">
        <f t="shared" ref="M22:M37" si="15">L22*(J22^2)/(2*32.2)</f>
        <v>0.20257438431749497</v>
      </c>
      <c r="N22" s="58">
        <f t="shared" ref="N22:N37" si="16">K22+M22</f>
        <v>0.20257438431749497</v>
      </c>
      <c r="O22" s="59">
        <f>N22</f>
        <v>0.20257438431749497</v>
      </c>
    </row>
    <row r="23" spans="1:15" x14ac:dyDescent="0.2">
      <c r="A23" s="37"/>
      <c r="B23" s="55">
        <v>36</v>
      </c>
      <c r="C23" s="56" t="s">
        <v>47</v>
      </c>
      <c r="D23" s="57">
        <f>'Headloss Calcs'!$A$53</f>
        <v>33</v>
      </c>
      <c r="E23" s="53">
        <f t="shared" si="9"/>
        <v>51.062091503267972</v>
      </c>
      <c r="F23" s="38">
        <f>'Headloss Calcs'!$H$18</f>
        <v>100</v>
      </c>
      <c r="G23" s="53">
        <f t="shared" si="10"/>
        <v>7.0686</v>
      </c>
      <c r="H23" s="53">
        <f t="shared" si="11"/>
        <v>9.4247999999999994</v>
      </c>
      <c r="I23" s="53">
        <f t="shared" si="12"/>
        <v>0.75</v>
      </c>
      <c r="J23" s="53">
        <f t="shared" si="13"/>
        <v>7.2237913452830789</v>
      </c>
      <c r="K23" s="53">
        <f t="shared" si="14"/>
        <v>0</v>
      </c>
      <c r="L23" s="53">
        <v>0.25</v>
      </c>
      <c r="M23" s="58">
        <f t="shared" si="15"/>
        <v>0.20257438431749497</v>
      </c>
      <c r="N23" s="58">
        <f t="shared" si="16"/>
        <v>0.20257438431749497</v>
      </c>
      <c r="O23" s="59">
        <f t="shared" ref="O23:O37" si="17">N23+O22</f>
        <v>0.40514876863498994</v>
      </c>
    </row>
    <row r="24" spans="1:15" x14ac:dyDescent="0.2">
      <c r="A24" s="37">
        <v>1320</v>
      </c>
      <c r="B24" s="55">
        <v>36</v>
      </c>
      <c r="C24" s="56" t="s">
        <v>23</v>
      </c>
      <c r="D24" s="57">
        <f>'Headloss Calcs'!$A$53</f>
        <v>33</v>
      </c>
      <c r="E24" s="53">
        <f t="shared" si="9"/>
        <v>51.062091503267972</v>
      </c>
      <c r="F24" s="38">
        <f>'Headloss Calcs'!$H$18</f>
        <v>100</v>
      </c>
      <c r="G24" s="53">
        <f t="shared" si="10"/>
        <v>7.0686</v>
      </c>
      <c r="H24" s="53">
        <f t="shared" si="11"/>
        <v>9.4247999999999994</v>
      </c>
      <c r="I24" s="53">
        <f t="shared" si="12"/>
        <v>0.75</v>
      </c>
      <c r="J24" s="53">
        <f t="shared" si="13"/>
        <v>7.2237913452830789</v>
      </c>
      <c r="K24" s="53">
        <f t="shared" si="14"/>
        <v>8.5716045576490778</v>
      </c>
      <c r="L24" s="53"/>
      <c r="M24" s="58">
        <f t="shared" si="15"/>
        <v>0</v>
      </c>
      <c r="N24" s="58">
        <f t="shared" si="16"/>
        <v>8.5716045576490778</v>
      </c>
      <c r="O24" s="59">
        <f t="shared" si="17"/>
        <v>8.9767533262840686</v>
      </c>
    </row>
    <row r="25" spans="1:15" x14ac:dyDescent="0.2">
      <c r="A25" s="37"/>
      <c r="B25" s="55">
        <v>36</v>
      </c>
      <c r="C25" s="56" t="s">
        <v>45</v>
      </c>
      <c r="D25" s="57">
        <f>'Headloss Calcs'!$A$53</f>
        <v>33</v>
      </c>
      <c r="E25" s="53">
        <f t="shared" si="9"/>
        <v>51.062091503267972</v>
      </c>
      <c r="F25" s="38">
        <f>'Headloss Calcs'!$H$18</f>
        <v>100</v>
      </c>
      <c r="G25" s="53">
        <f t="shared" si="10"/>
        <v>7.0686</v>
      </c>
      <c r="H25" s="53">
        <f t="shared" si="11"/>
        <v>9.4247999999999994</v>
      </c>
      <c r="I25" s="53">
        <f t="shared" si="12"/>
        <v>0.75</v>
      </c>
      <c r="J25" s="53">
        <f t="shared" si="13"/>
        <v>7.2237913452830789</v>
      </c>
      <c r="K25" s="53">
        <f t="shared" si="14"/>
        <v>0</v>
      </c>
      <c r="L25" s="53">
        <v>0.2</v>
      </c>
      <c r="M25" s="58">
        <f t="shared" si="15"/>
        <v>0.162059507453996</v>
      </c>
      <c r="N25" s="58">
        <f t="shared" si="16"/>
        <v>0.162059507453996</v>
      </c>
      <c r="O25" s="59">
        <f t="shared" si="17"/>
        <v>9.138812833738065</v>
      </c>
    </row>
    <row r="26" spans="1:15" x14ac:dyDescent="0.2">
      <c r="A26" s="37">
        <v>1320</v>
      </c>
      <c r="B26" s="55">
        <v>36</v>
      </c>
      <c r="C26" s="69" t="s">
        <v>23</v>
      </c>
      <c r="D26" s="57">
        <f>'Headloss Calcs'!$A$53</f>
        <v>33</v>
      </c>
      <c r="E26" s="53">
        <f t="shared" si="9"/>
        <v>51.062091503267972</v>
      </c>
      <c r="F26" s="38">
        <f>'Headloss Calcs'!$H$18</f>
        <v>100</v>
      </c>
      <c r="G26" s="53">
        <f t="shared" si="10"/>
        <v>7.0686</v>
      </c>
      <c r="H26" s="53">
        <f t="shared" si="11"/>
        <v>9.4247999999999994</v>
      </c>
      <c r="I26" s="53">
        <f t="shared" si="12"/>
        <v>0.75</v>
      </c>
      <c r="J26" s="53">
        <f t="shared" si="13"/>
        <v>7.2237913452830789</v>
      </c>
      <c r="K26" s="53">
        <f t="shared" si="14"/>
        <v>8.5716045576490778</v>
      </c>
      <c r="L26" s="53"/>
      <c r="M26" s="58">
        <f t="shared" si="15"/>
        <v>0</v>
      </c>
      <c r="N26" s="58">
        <f t="shared" si="16"/>
        <v>8.5716045576490778</v>
      </c>
      <c r="O26" s="59">
        <f t="shared" si="17"/>
        <v>17.710417391387143</v>
      </c>
    </row>
    <row r="27" spans="1:15" x14ac:dyDescent="0.2">
      <c r="A27" s="37"/>
      <c r="B27" s="55">
        <v>36</v>
      </c>
      <c r="C27" s="56" t="s">
        <v>39</v>
      </c>
      <c r="D27" s="57">
        <f>'Headloss Calcs'!$A$53</f>
        <v>33</v>
      </c>
      <c r="E27" s="53">
        <f t="shared" si="9"/>
        <v>51.062091503267972</v>
      </c>
      <c r="F27" s="38">
        <f>'Headloss Calcs'!$H$18</f>
        <v>100</v>
      </c>
      <c r="G27" s="53">
        <f t="shared" si="10"/>
        <v>7.0686</v>
      </c>
      <c r="H27" s="53">
        <f t="shared" si="11"/>
        <v>9.4247999999999994</v>
      </c>
      <c r="I27" s="53">
        <f t="shared" si="12"/>
        <v>0.75</v>
      </c>
      <c r="J27" s="53">
        <f t="shared" si="13"/>
        <v>7.2237913452830789</v>
      </c>
      <c r="K27" s="53">
        <f t="shared" si="14"/>
        <v>0</v>
      </c>
      <c r="L27" s="53">
        <v>0.4</v>
      </c>
      <c r="M27" s="58">
        <f t="shared" si="15"/>
        <v>0.324119014907992</v>
      </c>
      <c r="N27" s="58">
        <f t="shared" si="16"/>
        <v>0.324119014907992</v>
      </c>
      <c r="O27" s="59">
        <f t="shared" si="17"/>
        <v>18.034536406295135</v>
      </c>
    </row>
    <row r="28" spans="1:15" x14ac:dyDescent="0.2">
      <c r="A28" s="37">
        <v>1320</v>
      </c>
      <c r="B28" s="55">
        <v>36</v>
      </c>
      <c r="C28" s="56" t="s">
        <v>23</v>
      </c>
      <c r="D28" s="57">
        <f>'Headloss Calcs'!$A$53</f>
        <v>33</v>
      </c>
      <c r="E28" s="53">
        <f t="shared" si="9"/>
        <v>51.062091503267972</v>
      </c>
      <c r="F28" s="38">
        <f>'Headloss Calcs'!$H$18</f>
        <v>100</v>
      </c>
      <c r="G28" s="53">
        <f t="shared" si="10"/>
        <v>7.0686</v>
      </c>
      <c r="H28" s="53">
        <f t="shared" si="11"/>
        <v>9.4247999999999994</v>
      </c>
      <c r="I28" s="53">
        <f t="shared" si="12"/>
        <v>0.75</v>
      </c>
      <c r="J28" s="53">
        <f t="shared" si="13"/>
        <v>7.2237913452830789</v>
      </c>
      <c r="K28" s="53">
        <f t="shared" si="14"/>
        <v>8.5716045576490778</v>
      </c>
      <c r="L28" s="53"/>
      <c r="M28" s="58">
        <f t="shared" si="15"/>
        <v>0</v>
      </c>
      <c r="N28" s="58">
        <f t="shared" si="16"/>
        <v>8.5716045576490778</v>
      </c>
      <c r="O28" s="59">
        <f t="shared" si="17"/>
        <v>26.606140963944213</v>
      </c>
    </row>
    <row r="29" spans="1:15" x14ac:dyDescent="0.2">
      <c r="A29" s="37"/>
      <c r="B29" s="55">
        <v>36</v>
      </c>
      <c r="C29" s="56" t="s">
        <v>39</v>
      </c>
      <c r="D29" s="57">
        <f>'Headloss Calcs'!$A$53</f>
        <v>33</v>
      </c>
      <c r="E29" s="53">
        <f t="shared" si="9"/>
        <v>51.062091503267972</v>
      </c>
      <c r="F29" s="38">
        <f>'Headloss Calcs'!$H$18</f>
        <v>100</v>
      </c>
      <c r="G29" s="53">
        <f t="shared" si="10"/>
        <v>7.0686</v>
      </c>
      <c r="H29" s="53">
        <f t="shared" si="11"/>
        <v>9.4247999999999994</v>
      </c>
      <c r="I29" s="53">
        <f t="shared" si="12"/>
        <v>0.75</v>
      </c>
      <c r="J29" s="53">
        <f t="shared" si="13"/>
        <v>7.2237913452830789</v>
      </c>
      <c r="K29" s="53">
        <f t="shared" si="14"/>
        <v>0</v>
      </c>
      <c r="L29" s="53">
        <v>0.4</v>
      </c>
      <c r="M29" s="58">
        <f t="shared" si="15"/>
        <v>0.324119014907992</v>
      </c>
      <c r="N29" s="58">
        <f t="shared" si="16"/>
        <v>0.324119014907992</v>
      </c>
      <c r="O29" s="59">
        <f t="shared" si="17"/>
        <v>26.930259978852206</v>
      </c>
    </row>
    <row r="30" spans="1:15" x14ac:dyDescent="0.2">
      <c r="A30" s="37">
        <v>1320</v>
      </c>
      <c r="B30" s="55">
        <v>36</v>
      </c>
      <c r="C30" s="56" t="s">
        <v>23</v>
      </c>
      <c r="D30" s="57">
        <f>'Headloss Calcs'!$A$53</f>
        <v>33</v>
      </c>
      <c r="E30" s="53">
        <f t="shared" si="9"/>
        <v>51.062091503267972</v>
      </c>
      <c r="F30" s="38">
        <f>'Headloss Calcs'!$H$18</f>
        <v>100</v>
      </c>
      <c r="G30" s="53">
        <f t="shared" si="10"/>
        <v>7.0686</v>
      </c>
      <c r="H30" s="53">
        <f t="shared" si="11"/>
        <v>9.4247999999999994</v>
      </c>
      <c r="I30" s="53">
        <f t="shared" si="12"/>
        <v>0.75</v>
      </c>
      <c r="J30" s="53">
        <f t="shared" si="13"/>
        <v>7.2237913452830789</v>
      </c>
      <c r="K30" s="53">
        <f t="shared" si="14"/>
        <v>8.5716045576490778</v>
      </c>
      <c r="L30" s="53"/>
      <c r="M30" s="58">
        <f t="shared" si="15"/>
        <v>0</v>
      </c>
      <c r="N30" s="58">
        <f t="shared" si="16"/>
        <v>8.5716045576490778</v>
      </c>
      <c r="O30" s="59">
        <f t="shared" si="17"/>
        <v>35.501864536501287</v>
      </c>
    </row>
    <row r="31" spans="1:15" x14ac:dyDescent="0.2">
      <c r="A31" s="37"/>
      <c r="B31" s="55">
        <v>36</v>
      </c>
      <c r="C31" s="56" t="s">
        <v>48</v>
      </c>
      <c r="D31" s="57">
        <f>'Headloss Calcs'!$A$53</f>
        <v>33</v>
      </c>
      <c r="E31" s="53">
        <f t="shared" si="9"/>
        <v>51.062091503267972</v>
      </c>
      <c r="F31" s="38">
        <f>'Headloss Calcs'!$H$18</f>
        <v>100</v>
      </c>
      <c r="G31" s="53">
        <f t="shared" si="10"/>
        <v>7.0686</v>
      </c>
      <c r="H31" s="53">
        <f t="shared" si="11"/>
        <v>9.4247999999999994</v>
      </c>
      <c r="I31" s="53">
        <f t="shared" si="12"/>
        <v>0.75</v>
      </c>
      <c r="J31" s="53">
        <f t="shared" si="13"/>
        <v>7.2237913452830789</v>
      </c>
      <c r="K31" s="53">
        <f t="shared" si="14"/>
        <v>0</v>
      </c>
      <c r="L31" s="53">
        <v>0.4</v>
      </c>
      <c r="M31" s="58">
        <f t="shared" si="15"/>
        <v>0.324119014907992</v>
      </c>
      <c r="N31" s="58">
        <f t="shared" si="16"/>
        <v>0.324119014907992</v>
      </c>
      <c r="O31" s="59">
        <f t="shared" si="17"/>
        <v>35.82598355140928</v>
      </c>
    </row>
    <row r="32" spans="1:15" x14ac:dyDescent="0.2">
      <c r="A32" s="37">
        <v>1320</v>
      </c>
      <c r="B32" s="55">
        <v>36</v>
      </c>
      <c r="C32" s="56" t="s">
        <v>23</v>
      </c>
      <c r="D32" s="57">
        <f>'Headloss Calcs'!$A$53</f>
        <v>33</v>
      </c>
      <c r="E32" s="53">
        <f t="shared" si="9"/>
        <v>51.062091503267972</v>
      </c>
      <c r="F32" s="38">
        <f>'Headloss Calcs'!$H$18</f>
        <v>100</v>
      </c>
      <c r="G32" s="53">
        <f t="shared" si="10"/>
        <v>7.0686</v>
      </c>
      <c r="H32" s="53">
        <f t="shared" si="11"/>
        <v>9.4247999999999994</v>
      </c>
      <c r="I32" s="53">
        <f t="shared" si="12"/>
        <v>0.75</v>
      </c>
      <c r="J32" s="53">
        <f t="shared" si="13"/>
        <v>7.2237913452830789</v>
      </c>
      <c r="K32" s="53">
        <f t="shared" si="14"/>
        <v>8.5716045576490778</v>
      </c>
      <c r="L32" s="53"/>
      <c r="M32" s="58">
        <f t="shared" si="15"/>
        <v>0</v>
      </c>
      <c r="N32" s="58">
        <f t="shared" si="16"/>
        <v>8.5716045576490778</v>
      </c>
      <c r="O32" s="59">
        <f t="shared" si="17"/>
        <v>44.397588109058361</v>
      </c>
    </row>
    <row r="33" spans="1:15" x14ac:dyDescent="0.2">
      <c r="A33" s="37"/>
      <c r="B33" s="55">
        <v>36</v>
      </c>
      <c r="C33" s="56" t="s">
        <v>39</v>
      </c>
      <c r="D33" s="57">
        <f>'Headloss Calcs'!$A$53</f>
        <v>33</v>
      </c>
      <c r="E33" s="53">
        <f t="shared" si="9"/>
        <v>51.062091503267972</v>
      </c>
      <c r="F33" s="38">
        <f>'Headloss Calcs'!$H$18</f>
        <v>100</v>
      </c>
      <c r="G33" s="53">
        <f t="shared" si="10"/>
        <v>7.0686</v>
      </c>
      <c r="H33" s="53">
        <f t="shared" si="11"/>
        <v>9.4247999999999994</v>
      </c>
      <c r="I33" s="53">
        <f t="shared" si="12"/>
        <v>0.75</v>
      </c>
      <c r="J33" s="53">
        <f t="shared" si="13"/>
        <v>7.2237913452830789</v>
      </c>
      <c r="K33" s="53">
        <f t="shared" si="14"/>
        <v>0</v>
      </c>
      <c r="L33" s="53">
        <v>0.4</v>
      </c>
      <c r="M33" s="58">
        <f t="shared" si="15"/>
        <v>0.324119014907992</v>
      </c>
      <c r="N33" s="58">
        <f t="shared" si="16"/>
        <v>0.324119014907992</v>
      </c>
      <c r="O33" s="59">
        <f t="shared" si="17"/>
        <v>44.721707123966354</v>
      </c>
    </row>
    <row r="34" spans="1:15" x14ac:dyDescent="0.2">
      <c r="A34" s="37">
        <v>1320</v>
      </c>
      <c r="B34" s="55">
        <v>36</v>
      </c>
      <c r="C34" s="56" t="s">
        <v>23</v>
      </c>
      <c r="D34" s="57">
        <f>'Headloss Calcs'!$A$53</f>
        <v>33</v>
      </c>
      <c r="E34" s="53">
        <f t="shared" si="9"/>
        <v>51.062091503267972</v>
      </c>
      <c r="F34" s="38">
        <f>'Headloss Calcs'!$H$18</f>
        <v>100</v>
      </c>
      <c r="G34" s="53">
        <f t="shared" si="10"/>
        <v>7.0686</v>
      </c>
      <c r="H34" s="53">
        <f t="shared" si="11"/>
        <v>9.4247999999999994</v>
      </c>
      <c r="I34" s="53">
        <f t="shared" si="12"/>
        <v>0.75</v>
      </c>
      <c r="J34" s="53">
        <f t="shared" si="13"/>
        <v>7.2237913452830789</v>
      </c>
      <c r="K34" s="53">
        <f t="shared" si="14"/>
        <v>8.5716045576490778</v>
      </c>
      <c r="L34" s="53"/>
      <c r="M34" s="58">
        <f t="shared" si="15"/>
        <v>0</v>
      </c>
      <c r="N34" s="58">
        <f t="shared" si="16"/>
        <v>8.5716045576490778</v>
      </c>
      <c r="O34" s="59">
        <f t="shared" si="17"/>
        <v>53.293311681615435</v>
      </c>
    </row>
    <row r="35" spans="1:15" x14ac:dyDescent="0.2">
      <c r="A35" s="37"/>
      <c r="B35" s="55">
        <v>36</v>
      </c>
      <c r="C35" s="56" t="s">
        <v>45</v>
      </c>
      <c r="D35" s="57">
        <f>'Headloss Calcs'!$A$53</f>
        <v>33</v>
      </c>
      <c r="E35" s="53">
        <f t="shared" si="9"/>
        <v>51.062091503267972</v>
      </c>
      <c r="F35" s="38">
        <f>'Headloss Calcs'!$H$18</f>
        <v>100</v>
      </c>
      <c r="G35" s="53">
        <f t="shared" si="10"/>
        <v>7.0686</v>
      </c>
      <c r="H35" s="53">
        <f t="shared" si="11"/>
        <v>9.4247999999999994</v>
      </c>
      <c r="I35" s="53">
        <f t="shared" si="12"/>
        <v>0.75</v>
      </c>
      <c r="J35" s="53">
        <f t="shared" si="13"/>
        <v>7.2237913452830789</v>
      </c>
      <c r="K35" s="53">
        <f t="shared" si="14"/>
        <v>0</v>
      </c>
      <c r="L35" s="53">
        <v>0.2</v>
      </c>
      <c r="M35" s="58">
        <f t="shared" si="15"/>
        <v>0.162059507453996</v>
      </c>
      <c r="N35" s="58">
        <f t="shared" si="16"/>
        <v>0.162059507453996</v>
      </c>
      <c r="O35" s="59">
        <f t="shared" si="17"/>
        <v>53.455371189069432</v>
      </c>
    </row>
    <row r="36" spans="1:15" x14ac:dyDescent="0.2">
      <c r="A36" s="37">
        <v>1320</v>
      </c>
      <c r="B36" s="55">
        <v>36</v>
      </c>
      <c r="C36" s="56" t="s">
        <v>23</v>
      </c>
      <c r="D36" s="57">
        <f>'Headloss Calcs'!$A$53</f>
        <v>33</v>
      </c>
      <c r="E36" s="53">
        <f t="shared" si="9"/>
        <v>51.062091503267972</v>
      </c>
      <c r="F36" s="38">
        <f>'Headloss Calcs'!$H$18</f>
        <v>100</v>
      </c>
      <c r="G36" s="53">
        <f t="shared" si="10"/>
        <v>7.0686</v>
      </c>
      <c r="H36" s="53">
        <f t="shared" si="11"/>
        <v>9.4247999999999994</v>
      </c>
      <c r="I36" s="53">
        <f t="shared" si="12"/>
        <v>0.75</v>
      </c>
      <c r="J36" s="53">
        <f t="shared" si="13"/>
        <v>7.2237913452830789</v>
      </c>
      <c r="K36" s="53">
        <f t="shared" si="14"/>
        <v>8.5716045576490778</v>
      </c>
      <c r="L36" s="53"/>
      <c r="M36" s="58">
        <f t="shared" si="15"/>
        <v>0</v>
      </c>
      <c r="N36" s="58">
        <f t="shared" si="16"/>
        <v>8.5716045576490778</v>
      </c>
      <c r="O36" s="59">
        <f t="shared" si="17"/>
        <v>62.026975746718506</v>
      </c>
    </row>
    <row r="37" spans="1:15" ht="12" customHeight="1" x14ac:dyDescent="0.2">
      <c r="A37" s="37"/>
      <c r="B37" s="55">
        <v>36</v>
      </c>
      <c r="C37" s="56" t="s">
        <v>44</v>
      </c>
      <c r="D37" s="57">
        <f>'Headloss Calcs'!$A$53</f>
        <v>33</v>
      </c>
      <c r="E37" s="53">
        <f t="shared" si="9"/>
        <v>51.062091503267972</v>
      </c>
      <c r="F37" s="38">
        <f>'Headloss Calcs'!$H$18</f>
        <v>100</v>
      </c>
      <c r="G37" s="53">
        <f t="shared" si="10"/>
        <v>7.0686</v>
      </c>
      <c r="H37" s="53">
        <f t="shared" si="11"/>
        <v>9.4247999999999994</v>
      </c>
      <c r="I37" s="53">
        <f t="shared" si="12"/>
        <v>0.75</v>
      </c>
      <c r="J37" s="53">
        <f t="shared" si="13"/>
        <v>7.2237913452830789</v>
      </c>
      <c r="K37" s="53">
        <f t="shared" si="14"/>
        <v>0</v>
      </c>
      <c r="L37" s="53">
        <v>1</v>
      </c>
      <c r="M37" s="58">
        <f t="shared" si="15"/>
        <v>0.81029753726997988</v>
      </c>
      <c r="N37" s="58">
        <f t="shared" si="16"/>
        <v>0.81029753726997988</v>
      </c>
      <c r="O37" s="59">
        <f t="shared" si="17"/>
        <v>62.837273283988488</v>
      </c>
    </row>
    <row r="38" spans="1:15" ht="13.5" thickBot="1" x14ac:dyDescent="0.25">
      <c r="A38" s="39"/>
      <c r="B38" s="40"/>
      <c r="C38" s="41"/>
      <c r="D38" s="40"/>
      <c r="E38" s="42"/>
      <c r="F38" s="40"/>
      <c r="G38" s="54"/>
      <c r="H38" s="54"/>
      <c r="I38" s="54"/>
      <c r="J38" s="54"/>
      <c r="K38" s="54"/>
      <c r="L38" s="54"/>
      <c r="M38" s="60"/>
      <c r="N38" s="60" t="s">
        <v>40</v>
      </c>
      <c r="O38" s="61">
        <f>O37</f>
        <v>62.837273283988488</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50"/>
  <sheetViews>
    <sheetView topLeftCell="A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Calcs'!$A$54</f>
        <v>34</v>
      </c>
      <c r="E3" s="53">
        <f t="shared" ref="E3:E18" si="0">D3*1000000/(7.48*24*60*60)</f>
        <v>52.609427609427613</v>
      </c>
      <c r="F3" s="38">
        <f>'Headloss Calcs'!$E$18</f>
        <v>140</v>
      </c>
      <c r="G3" s="53">
        <f t="shared" ref="G3:G18" si="1">3.1416/4*(B3/12)^2</f>
        <v>7.0686</v>
      </c>
      <c r="H3" s="53">
        <f t="shared" ref="H3:H18" si="2">3.1416*(B3/12)</f>
        <v>9.4247999999999994</v>
      </c>
      <c r="I3" s="53">
        <f t="shared" ref="I3:I18" si="3">G3/H3</f>
        <v>0.75</v>
      </c>
      <c r="J3" s="53">
        <f t="shared" ref="J3:J18" si="4">E3/G3</f>
        <v>7.4426941133219611</v>
      </c>
      <c r="K3" s="53">
        <f t="shared" ref="K3:K18" si="5">(J3/(1.318*F3*I3^0.63))^1.85*A3</f>
        <v>0</v>
      </c>
      <c r="L3" s="53">
        <v>0.25</v>
      </c>
      <c r="M3" s="58">
        <f t="shared" ref="M3:M18" si="6">L3*(J3^2)/(2*32.2)</f>
        <v>0.2150376384490581</v>
      </c>
      <c r="N3" s="58">
        <f t="shared" ref="N3:N18" si="7">K3+M3</f>
        <v>0.2150376384490581</v>
      </c>
      <c r="O3" s="59">
        <f>N3</f>
        <v>0.2150376384490581</v>
      </c>
    </row>
    <row r="4" spans="1:15" x14ac:dyDescent="0.2">
      <c r="A4" s="37"/>
      <c r="B4" s="55">
        <v>36</v>
      </c>
      <c r="C4" s="56" t="s">
        <v>47</v>
      </c>
      <c r="D4" s="57">
        <f>'Headloss Calcs'!$A$54</f>
        <v>34</v>
      </c>
      <c r="E4" s="53">
        <f t="shared" si="0"/>
        <v>52.609427609427613</v>
      </c>
      <c r="F4" s="38">
        <f>'Headloss Calcs'!$E$18</f>
        <v>140</v>
      </c>
      <c r="G4" s="53">
        <f t="shared" si="1"/>
        <v>7.0686</v>
      </c>
      <c r="H4" s="53">
        <f t="shared" si="2"/>
        <v>9.4247999999999994</v>
      </c>
      <c r="I4" s="53">
        <f t="shared" si="3"/>
        <v>0.75</v>
      </c>
      <c r="J4" s="53">
        <f t="shared" si="4"/>
        <v>7.4426941133219611</v>
      </c>
      <c r="K4" s="53">
        <f t="shared" si="5"/>
        <v>0</v>
      </c>
      <c r="L4" s="53">
        <v>0.25</v>
      </c>
      <c r="M4" s="58">
        <f t="shared" si="6"/>
        <v>0.2150376384490581</v>
      </c>
      <c r="N4" s="58">
        <f t="shared" si="7"/>
        <v>0.2150376384490581</v>
      </c>
      <c r="O4" s="59">
        <f t="shared" ref="O4:O18" si="8">N4+O3</f>
        <v>0.4300752768981162</v>
      </c>
    </row>
    <row r="5" spans="1:15" x14ac:dyDescent="0.2">
      <c r="A5" s="37">
        <v>1320</v>
      </c>
      <c r="B5" s="55">
        <v>36</v>
      </c>
      <c r="C5" s="56" t="s">
        <v>23</v>
      </c>
      <c r="D5" s="57">
        <f>'Headloss Calcs'!$A$54</f>
        <v>34</v>
      </c>
      <c r="E5" s="53">
        <f t="shared" si="0"/>
        <v>52.609427609427613</v>
      </c>
      <c r="F5" s="38">
        <f>'Headloss Calcs'!$E$18</f>
        <v>140</v>
      </c>
      <c r="G5" s="53">
        <f t="shared" si="1"/>
        <v>7.0686</v>
      </c>
      <c r="H5" s="53">
        <f t="shared" si="2"/>
        <v>9.4247999999999994</v>
      </c>
      <c r="I5" s="53">
        <f t="shared" si="3"/>
        <v>0.75</v>
      </c>
      <c r="J5" s="53">
        <f t="shared" si="4"/>
        <v>7.4426941133219611</v>
      </c>
      <c r="K5" s="53">
        <f t="shared" si="5"/>
        <v>4.8608304060522025</v>
      </c>
      <c r="L5" s="53"/>
      <c r="M5" s="58">
        <f t="shared" si="6"/>
        <v>0</v>
      </c>
      <c r="N5" s="58">
        <f t="shared" si="7"/>
        <v>4.8608304060522025</v>
      </c>
      <c r="O5" s="59">
        <f t="shared" si="8"/>
        <v>5.2909056829503189</v>
      </c>
    </row>
    <row r="6" spans="1:15" x14ac:dyDescent="0.2">
      <c r="A6" s="37"/>
      <c r="B6" s="55">
        <v>36</v>
      </c>
      <c r="C6" s="56" t="s">
        <v>45</v>
      </c>
      <c r="D6" s="57">
        <f>'Headloss Calcs'!$A$54</f>
        <v>34</v>
      </c>
      <c r="E6" s="53">
        <f t="shared" si="0"/>
        <v>52.609427609427613</v>
      </c>
      <c r="F6" s="38">
        <f>'Headloss Calcs'!$E$18</f>
        <v>140</v>
      </c>
      <c r="G6" s="53">
        <f t="shared" si="1"/>
        <v>7.0686</v>
      </c>
      <c r="H6" s="53">
        <f t="shared" si="2"/>
        <v>9.4247999999999994</v>
      </c>
      <c r="I6" s="53">
        <f t="shared" si="3"/>
        <v>0.75</v>
      </c>
      <c r="J6" s="53">
        <f t="shared" si="4"/>
        <v>7.4426941133219611</v>
      </c>
      <c r="K6" s="53">
        <f t="shared" si="5"/>
        <v>0</v>
      </c>
      <c r="L6" s="53">
        <v>0.2</v>
      </c>
      <c r="M6" s="58">
        <f t="shared" si="6"/>
        <v>0.17203011075924649</v>
      </c>
      <c r="N6" s="58">
        <f t="shared" si="7"/>
        <v>0.17203011075924649</v>
      </c>
      <c r="O6" s="59">
        <f t="shared" si="8"/>
        <v>5.4629357937095655</v>
      </c>
    </row>
    <row r="7" spans="1:15" x14ac:dyDescent="0.2">
      <c r="A7" s="37">
        <v>1320</v>
      </c>
      <c r="B7" s="55">
        <v>36</v>
      </c>
      <c r="C7" s="69" t="s">
        <v>23</v>
      </c>
      <c r="D7" s="57">
        <f>'Headloss Calcs'!$A$54</f>
        <v>34</v>
      </c>
      <c r="E7" s="53">
        <f t="shared" si="0"/>
        <v>52.609427609427613</v>
      </c>
      <c r="F7" s="38">
        <f>'Headloss Calcs'!$E$18</f>
        <v>140</v>
      </c>
      <c r="G7" s="53">
        <f t="shared" si="1"/>
        <v>7.0686</v>
      </c>
      <c r="H7" s="53">
        <f t="shared" si="2"/>
        <v>9.4247999999999994</v>
      </c>
      <c r="I7" s="53">
        <f t="shared" si="3"/>
        <v>0.75</v>
      </c>
      <c r="J7" s="53">
        <f t="shared" si="4"/>
        <v>7.4426941133219611</v>
      </c>
      <c r="K7" s="53">
        <f t="shared" si="5"/>
        <v>4.8608304060522025</v>
      </c>
      <c r="L7" s="53"/>
      <c r="M7" s="58">
        <f t="shared" si="6"/>
        <v>0</v>
      </c>
      <c r="N7" s="58">
        <f t="shared" si="7"/>
        <v>4.8608304060522025</v>
      </c>
      <c r="O7" s="59">
        <f t="shared" si="8"/>
        <v>10.323766199761767</v>
      </c>
    </row>
    <row r="8" spans="1:15" x14ac:dyDescent="0.2">
      <c r="A8" s="37"/>
      <c r="B8" s="55">
        <v>36</v>
      </c>
      <c r="C8" s="56" t="s">
        <v>39</v>
      </c>
      <c r="D8" s="57">
        <f>'Headloss Calcs'!$A$54</f>
        <v>34</v>
      </c>
      <c r="E8" s="53">
        <f t="shared" si="0"/>
        <v>52.609427609427613</v>
      </c>
      <c r="F8" s="38">
        <f>'Headloss Calcs'!$E$18</f>
        <v>140</v>
      </c>
      <c r="G8" s="53">
        <f t="shared" si="1"/>
        <v>7.0686</v>
      </c>
      <c r="H8" s="53">
        <f t="shared" si="2"/>
        <v>9.4247999999999994</v>
      </c>
      <c r="I8" s="53">
        <f t="shared" si="3"/>
        <v>0.75</v>
      </c>
      <c r="J8" s="53">
        <f t="shared" si="4"/>
        <v>7.4426941133219611</v>
      </c>
      <c r="K8" s="53">
        <f t="shared" si="5"/>
        <v>0</v>
      </c>
      <c r="L8" s="53">
        <v>0.4</v>
      </c>
      <c r="M8" s="58">
        <f t="shared" si="6"/>
        <v>0.34406022151849297</v>
      </c>
      <c r="N8" s="58">
        <f t="shared" si="7"/>
        <v>0.34406022151849297</v>
      </c>
      <c r="O8" s="59">
        <f t="shared" si="8"/>
        <v>10.66782642128026</v>
      </c>
    </row>
    <row r="9" spans="1:15" x14ac:dyDescent="0.2">
      <c r="A9" s="37">
        <v>1320</v>
      </c>
      <c r="B9" s="55">
        <v>36</v>
      </c>
      <c r="C9" s="56" t="s">
        <v>23</v>
      </c>
      <c r="D9" s="57">
        <f>'Headloss Calcs'!$A$54</f>
        <v>34</v>
      </c>
      <c r="E9" s="53">
        <f t="shared" si="0"/>
        <v>52.609427609427613</v>
      </c>
      <c r="F9" s="38">
        <f>'Headloss Calcs'!$E$18</f>
        <v>140</v>
      </c>
      <c r="G9" s="53">
        <f t="shared" si="1"/>
        <v>7.0686</v>
      </c>
      <c r="H9" s="53">
        <f t="shared" si="2"/>
        <v>9.4247999999999994</v>
      </c>
      <c r="I9" s="53">
        <f t="shared" si="3"/>
        <v>0.75</v>
      </c>
      <c r="J9" s="53">
        <f t="shared" si="4"/>
        <v>7.4426941133219611</v>
      </c>
      <c r="K9" s="53">
        <f t="shared" si="5"/>
        <v>4.8608304060522025</v>
      </c>
      <c r="L9" s="53"/>
      <c r="M9" s="58">
        <f t="shared" si="6"/>
        <v>0</v>
      </c>
      <c r="N9" s="58">
        <f t="shared" si="7"/>
        <v>4.8608304060522025</v>
      </c>
      <c r="O9" s="59">
        <f t="shared" si="8"/>
        <v>15.528656827332462</v>
      </c>
    </row>
    <row r="10" spans="1:15" x14ac:dyDescent="0.2">
      <c r="A10" s="37"/>
      <c r="B10" s="55">
        <v>36</v>
      </c>
      <c r="C10" s="56" t="s">
        <v>39</v>
      </c>
      <c r="D10" s="57">
        <f>'Headloss Calcs'!$A$54</f>
        <v>34</v>
      </c>
      <c r="E10" s="53">
        <f t="shared" si="0"/>
        <v>52.609427609427613</v>
      </c>
      <c r="F10" s="38">
        <f>'Headloss Calcs'!$E$18</f>
        <v>140</v>
      </c>
      <c r="G10" s="53">
        <f t="shared" si="1"/>
        <v>7.0686</v>
      </c>
      <c r="H10" s="53">
        <f t="shared" si="2"/>
        <v>9.4247999999999994</v>
      </c>
      <c r="I10" s="53">
        <f t="shared" si="3"/>
        <v>0.75</v>
      </c>
      <c r="J10" s="53">
        <f t="shared" si="4"/>
        <v>7.4426941133219611</v>
      </c>
      <c r="K10" s="53">
        <f t="shared" si="5"/>
        <v>0</v>
      </c>
      <c r="L10" s="53">
        <v>0.4</v>
      </c>
      <c r="M10" s="58">
        <f t="shared" si="6"/>
        <v>0.34406022151849297</v>
      </c>
      <c r="N10" s="58">
        <f t="shared" si="7"/>
        <v>0.34406022151849297</v>
      </c>
      <c r="O10" s="59">
        <f t="shared" si="8"/>
        <v>15.872717048850955</v>
      </c>
    </row>
    <row r="11" spans="1:15" x14ac:dyDescent="0.2">
      <c r="A11" s="37">
        <v>1320</v>
      </c>
      <c r="B11" s="55">
        <v>36</v>
      </c>
      <c r="C11" s="56" t="s">
        <v>23</v>
      </c>
      <c r="D11" s="57">
        <f>'Headloss Calcs'!$A$54</f>
        <v>34</v>
      </c>
      <c r="E11" s="53">
        <f t="shared" si="0"/>
        <v>52.609427609427613</v>
      </c>
      <c r="F11" s="38">
        <f>'Headloss Calcs'!$E$18</f>
        <v>140</v>
      </c>
      <c r="G11" s="53">
        <f t="shared" si="1"/>
        <v>7.0686</v>
      </c>
      <c r="H11" s="53">
        <f t="shared" si="2"/>
        <v>9.4247999999999994</v>
      </c>
      <c r="I11" s="53">
        <f t="shared" si="3"/>
        <v>0.75</v>
      </c>
      <c r="J11" s="53">
        <f t="shared" si="4"/>
        <v>7.4426941133219611</v>
      </c>
      <c r="K11" s="53">
        <f t="shared" si="5"/>
        <v>4.8608304060522025</v>
      </c>
      <c r="L11" s="53"/>
      <c r="M11" s="58">
        <f t="shared" si="6"/>
        <v>0</v>
      </c>
      <c r="N11" s="58">
        <f t="shared" si="7"/>
        <v>4.8608304060522025</v>
      </c>
      <c r="O11" s="59">
        <f t="shared" si="8"/>
        <v>20.733547454903157</v>
      </c>
    </row>
    <row r="12" spans="1:15" x14ac:dyDescent="0.2">
      <c r="A12" s="37"/>
      <c r="B12" s="55">
        <v>36</v>
      </c>
      <c r="C12" s="56" t="s">
        <v>48</v>
      </c>
      <c r="D12" s="57">
        <f>'Headloss Calcs'!$A$54</f>
        <v>34</v>
      </c>
      <c r="E12" s="53">
        <f t="shared" si="0"/>
        <v>52.609427609427613</v>
      </c>
      <c r="F12" s="38">
        <f>'Headloss Calcs'!$E$18</f>
        <v>140</v>
      </c>
      <c r="G12" s="53">
        <f t="shared" si="1"/>
        <v>7.0686</v>
      </c>
      <c r="H12" s="53">
        <f t="shared" si="2"/>
        <v>9.4247999999999994</v>
      </c>
      <c r="I12" s="53">
        <f t="shared" si="3"/>
        <v>0.75</v>
      </c>
      <c r="J12" s="53">
        <f t="shared" si="4"/>
        <v>7.4426941133219611</v>
      </c>
      <c r="K12" s="53">
        <f t="shared" si="5"/>
        <v>0</v>
      </c>
      <c r="L12" s="53">
        <v>0.4</v>
      </c>
      <c r="M12" s="58">
        <f t="shared" si="6"/>
        <v>0.34406022151849297</v>
      </c>
      <c r="N12" s="58">
        <f t="shared" si="7"/>
        <v>0.34406022151849297</v>
      </c>
      <c r="O12" s="59">
        <f t="shared" si="8"/>
        <v>21.07760767642165</v>
      </c>
    </row>
    <row r="13" spans="1:15" x14ac:dyDescent="0.2">
      <c r="A13" s="37">
        <v>1320</v>
      </c>
      <c r="B13" s="55">
        <v>36</v>
      </c>
      <c r="C13" s="56" t="s">
        <v>23</v>
      </c>
      <c r="D13" s="57">
        <f>'Headloss Calcs'!$A$54</f>
        <v>34</v>
      </c>
      <c r="E13" s="53">
        <f t="shared" si="0"/>
        <v>52.609427609427613</v>
      </c>
      <c r="F13" s="38">
        <f>'Headloss Calcs'!$E$18</f>
        <v>140</v>
      </c>
      <c r="G13" s="53">
        <f t="shared" si="1"/>
        <v>7.0686</v>
      </c>
      <c r="H13" s="53">
        <f t="shared" si="2"/>
        <v>9.4247999999999994</v>
      </c>
      <c r="I13" s="53">
        <f t="shared" si="3"/>
        <v>0.75</v>
      </c>
      <c r="J13" s="53">
        <f t="shared" si="4"/>
        <v>7.4426941133219611</v>
      </c>
      <c r="K13" s="53">
        <f t="shared" si="5"/>
        <v>4.8608304060522025</v>
      </c>
      <c r="L13" s="53"/>
      <c r="M13" s="58">
        <f t="shared" si="6"/>
        <v>0</v>
      </c>
      <c r="N13" s="58">
        <f t="shared" si="7"/>
        <v>4.8608304060522025</v>
      </c>
      <c r="O13" s="59">
        <f t="shared" si="8"/>
        <v>25.938438082473851</v>
      </c>
    </row>
    <row r="14" spans="1:15" x14ac:dyDescent="0.2">
      <c r="A14" s="37"/>
      <c r="B14" s="55">
        <v>36</v>
      </c>
      <c r="C14" s="56" t="s">
        <v>39</v>
      </c>
      <c r="D14" s="57">
        <f>'Headloss Calcs'!$A$54</f>
        <v>34</v>
      </c>
      <c r="E14" s="53">
        <f t="shared" si="0"/>
        <v>52.609427609427613</v>
      </c>
      <c r="F14" s="38">
        <f>'Headloss Calcs'!$E$18</f>
        <v>140</v>
      </c>
      <c r="G14" s="53">
        <f t="shared" si="1"/>
        <v>7.0686</v>
      </c>
      <c r="H14" s="53">
        <f t="shared" si="2"/>
        <v>9.4247999999999994</v>
      </c>
      <c r="I14" s="53">
        <f t="shared" si="3"/>
        <v>0.75</v>
      </c>
      <c r="J14" s="53">
        <f t="shared" si="4"/>
        <v>7.4426941133219611</v>
      </c>
      <c r="K14" s="53">
        <f t="shared" si="5"/>
        <v>0</v>
      </c>
      <c r="L14" s="53">
        <v>0.4</v>
      </c>
      <c r="M14" s="58">
        <f t="shared" si="6"/>
        <v>0.34406022151849297</v>
      </c>
      <c r="N14" s="58">
        <f t="shared" si="7"/>
        <v>0.34406022151849297</v>
      </c>
      <c r="O14" s="59">
        <f t="shared" si="8"/>
        <v>26.282498303992345</v>
      </c>
    </row>
    <row r="15" spans="1:15" x14ac:dyDescent="0.2">
      <c r="A15" s="37">
        <v>1320</v>
      </c>
      <c r="B15" s="55">
        <v>36</v>
      </c>
      <c r="C15" s="56" t="s">
        <v>23</v>
      </c>
      <c r="D15" s="57">
        <f>'Headloss Calcs'!$A$54</f>
        <v>34</v>
      </c>
      <c r="E15" s="53">
        <f t="shared" si="0"/>
        <v>52.609427609427613</v>
      </c>
      <c r="F15" s="38">
        <f>'Headloss Calcs'!$E$18</f>
        <v>140</v>
      </c>
      <c r="G15" s="53">
        <f t="shared" si="1"/>
        <v>7.0686</v>
      </c>
      <c r="H15" s="53">
        <f t="shared" si="2"/>
        <v>9.4247999999999994</v>
      </c>
      <c r="I15" s="53">
        <f t="shared" si="3"/>
        <v>0.75</v>
      </c>
      <c r="J15" s="53">
        <f t="shared" si="4"/>
        <v>7.4426941133219611</v>
      </c>
      <c r="K15" s="53">
        <f t="shared" si="5"/>
        <v>4.8608304060522025</v>
      </c>
      <c r="L15" s="53"/>
      <c r="M15" s="58">
        <f t="shared" si="6"/>
        <v>0</v>
      </c>
      <c r="N15" s="58">
        <f t="shared" si="7"/>
        <v>4.8608304060522025</v>
      </c>
      <c r="O15" s="59">
        <f t="shared" si="8"/>
        <v>31.143328710044546</v>
      </c>
    </row>
    <row r="16" spans="1:15" x14ac:dyDescent="0.2">
      <c r="A16" s="37"/>
      <c r="B16" s="55">
        <v>36</v>
      </c>
      <c r="C16" s="56" t="s">
        <v>45</v>
      </c>
      <c r="D16" s="57">
        <f>'Headloss Calcs'!$A$54</f>
        <v>34</v>
      </c>
      <c r="E16" s="53">
        <f t="shared" si="0"/>
        <v>52.609427609427613</v>
      </c>
      <c r="F16" s="38">
        <f>'Headloss Calcs'!$E$18</f>
        <v>140</v>
      </c>
      <c r="G16" s="53">
        <f t="shared" si="1"/>
        <v>7.0686</v>
      </c>
      <c r="H16" s="53">
        <f t="shared" si="2"/>
        <v>9.4247999999999994</v>
      </c>
      <c r="I16" s="53">
        <f t="shared" si="3"/>
        <v>0.75</v>
      </c>
      <c r="J16" s="53">
        <f t="shared" si="4"/>
        <v>7.4426941133219611</v>
      </c>
      <c r="K16" s="53">
        <f t="shared" si="5"/>
        <v>0</v>
      </c>
      <c r="L16" s="53">
        <v>0.2</v>
      </c>
      <c r="M16" s="58">
        <f t="shared" si="6"/>
        <v>0.17203011075924649</v>
      </c>
      <c r="N16" s="58">
        <f t="shared" si="7"/>
        <v>0.17203011075924649</v>
      </c>
      <c r="O16" s="59">
        <f t="shared" si="8"/>
        <v>31.315358820803791</v>
      </c>
    </row>
    <row r="17" spans="1:15" x14ac:dyDescent="0.2">
      <c r="A17" s="37">
        <v>1320</v>
      </c>
      <c r="B17" s="55">
        <v>36</v>
      </c>
      <c r="C17" s="56" t="s">
        <v>23</v>
      </c>
      <c r="D17" s="57">
        <f>'Headloss Calcs'!$A$54</f>
        <v>34</v>
      </c>
      <c r="E17" s="53">
        <f t="shared" si="0"/>
        <v>52.609427609427613</v>
      </c>
      <c r="F17" s="38">
        <f>'Headloss Calcs'!$E$18</f>
        <v>140</v>
      </c>
      <c r="G17" s="53">
        <f t="shared" si="1"/>
        <v>7.0686</v>
      </c>
      <c r="H17" s="53">
        <f t="shared" si="2"/>
        <v>9.4247999999999994</v>
      </c>
      <c r="I17" s="53">
        <f t="shared" si="3"/>
        <v>0.75</v>
      </c>
      <c r="J17" s="53">
        <f t="shared" si="4"/>
        <v>7.4426941133219611</v>
      </c>
      <c r="K17" s="53">
        <f t="shared" si="5"/>
        <v>4.8608304060522025</v>
      </c>
      <c r="L17" s="53"/>
      <c r="M17" s="58">
        <f t="shared" si="6"/>
        <v>0</v>
      </c>
      <c r="N17" s="58">
        <f t="shared" si="7"/>
        <v>4.8608304060522025</v>
      </c>
      <c r="O17" s="59">
        <f t="shared" si="8"/>
        <v>36.176189226855996</v>
      </c>
    </row>
    <row r="18" spans="1:15" ht="12" customHeight="1" x14ac:dyDescent="0.2">
      <c r="A18" s="37"/>
      <c r="B18" s="55">
        <v>36</v>
      </c>
      <c r="C18" s="56" t="s">
        <v>44</v>
      </c>
      <c r="D18" s="57">
        <f>'Headloss Calcs'!$A$54</f>
        <v>34</v>
      </c>
      <c r="E18" s="53">
        <f t="shared" si="0"/>
        <v>52.609427609427613</v>
      </c>
      <c r="F18" s="38">
        <f>'Headloss Calcs'!$E$18</f>
        <v>140</v>
      </c>
      <c r="G18" s="53">
        <f t="shared" si="1"/>
        <v>7.0686</v>
      </c>
      <c r="H18" s="53">
        <f t="shared" si="2"/>
        <v>9.4247999999999994</v>
      </c>
      <c r="I18" s="53">
        <f t="shared" si="3"/>
        <v>0.75</v>
      </c>
      <c r="J18" s="53">
        <f t="shared" si="4"/>
        <v>7.4426941133219611</v>
      </c>
      <c r="K18" s="53">
        <f t="shared" si="5"/>
        <v>0</v>
      </c>
      <c r="L18" s="53">
        <v>1</v>
      </c>
      <c r="M18" s="58">
        <f t="shared" si="6"/>
        <v>0.8601505537962324</v>
      </c>
      <c r="N18" s="58">
        <f t="shared" si="7"/>
        <v>0.8601505537962324</v>
      </c>
      <c r="O18" s="59">
        <f t="shared" si="8"/>
        <v>37.036339780652227</v>
      </c>
    </row>
    <row r="19" spans="1:15" ht="13.5" thickBot="1" x14ac:dyDescent="0.25">
      <c r="A19" s="39"/>
      <c r="B19" s="40"/>
      <c r="C19" s="41"/>
      <c r="D19" s="40"/>
      <c r="E19" s="42"/>
      <c r="F19" s="40"/>
      <c r="G19" s="54"/>
      <c r="H19" s="54"/>
      <c r="I19" s="54"/>
      <c r="J19" s="54"/>
      <c r="K19" s="54"/>
      <c r="L19" s="54"/>
      <c r="M19" s="60"/>
      <c r="N19" s="60" t="s">
        <v>40</v>
      </c>
      <c r="O19" s="61">
        <f>O18</f>
        <v>37.036339780652227</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Calcs'!$A$54</f>
        <v>34</v>
      </c>
      <c r="E22" s="53">
        <f t="shared" ref="E22:E37" si="9">D22*1000000/(7.48*24*60*60)</f>
        <v>52.609427609427613</v>
      </c>
      <c r="F22" s="38">
        <f>'Headloss Calcs'!$H$18</f>
        <v>100</v>
      </c>
      <c r="G22" s="53">
        <f t="shared" ref="G22:G37" si="10">3.1416/4*(B22/12)^2</f>
        <v>7.0686</v>
      </c>
      <c r="H22" s="53">
        <f t="shared" ref="H22:H37" si="11">3.1416*(B22/12)</f>
        <v>9.4247999999999994</v>
      </c>
      <c r="I22" s="53">
        <f t="shared" ref="I22:I37" si="12">G22/H22</f>
        <v>0.75</v>
      </c>
      <c r="J22" s="53">
        <f t="shared" ref="J22:J37" si="13">E22/G22</f>
        <v>7.4426941133219611</v>
      </c>
      <c r="K22" s="53">
        <f t="shared" ref="K22:K37" si="14">(J22/(1.318*F22*I22^0.63))^1.85*A22</f>
        <v>0</v>
      </c>
      <c r="L22" s="53">
        <v>0.25</v>
      </c>
      <c r="M22" s="58">
        <f t="shared" ref="M22:M37" si="15">L22*(J22^2)/(2*32.2)</f>
        <v>0.2150376384490581</v>
      </c>
      <c r="N22" s="58">
        <f t="shared" ref="N22:N37" si="16">K22+M22</f>
        <v>0.2150376384490581</v>
      </c>
      <c r="O22" s="59">
        <f>N22</f>
        <v>0.2150376384490581</v>
      </c>
    </row>
    <row r="23" spans="1:15" x14ac:dyDescent="0.2">
      <c r="A23" s="37"/>
      <c r="B23" s="55">
        <v>36</v>
      </c>
      <c r="C23" s="56" t="s">
        <v>47</v>
      </c>
      <c r="D23" s="57">
        <f>'Headloss Calcs'!$A$54</f>
        <v>34</v>
      </c>
      <c r="E23" s="53">
        <f t="shared" si="9"/>
        <v>52.609427609427613</v>
      </c>
      <c r="F23" s="38">
        <f>'Headloss Calcs'!$H$18</f>
        <v>100</v>
      </c>
      <c r="G23" s="53">
        <f t="shared" si="10"/>
        <v>7.0686</v>
      </c>
      <c r="H23" s="53">
        <f t="shared" si="11"/>
        <v>9.4247999999999994</v>
      </c>
      <c r="I23" s="53">
        <f t="shared" si="12"/>
        <v>0.75</v>
      </c>
      <c r="J23" s="53">
        <f t="shared" si="13"/>
        <v>7.4426941133219611</v>
      </c>
      <c r="K23" s="53">
        <f t="shared" si="14"/>
        <v>0</v>
      </c>
      <c r="L23" s="53">
        <v>0.25</v>
      </c>
      <c r="M23" s="58">
        <f t="shared" si="15"/>
        <v>0.2150376384490581</v>
      </c>
      <c r="N23" s="58">
        <f t="shared" si="16"/>
        <v>0.2150376384490581</v>
      </c>
      <c r="O23" s="59">
        <f t="shared" ref="O23:O37" si="17">N23+O22</f>
        <v>0.4300752768981162</v>
      </c>
    </row>
    <row r="24" spans="1:15" x14ac:dyDescent="0.2">
      <c r="A24" s="37">
        <v>1320</v>
      </c>
      <c r="B24" s="55">
        <v>36</v>
      </c>
      <c r="C24" s="56" t="s">
        <v>23</v>
      </c>
      <c r="D24" s="57">
        <f>'Headloss Calcs'!$A$54</f>
        <v>34</v>
      </c>
      <c r="E24" s="53">
        <f t="shared" si="9"/>
        <v>52.609427609427613</v>
      </c>
      <c r="F24" s="38">
        <f>'Headloss Calcs'!$H$18</f>
        <v>100</v>
      </c>
      <c r="G24" s="53">
        <f t="shared" si="10"/>
        <v>7.0686</v>
      </c>
      <c r="H24" s="53">
        <f t="shared" si="11"/>
        <v>9.4247999999999994</v>
      </c>
      <c r="I24" s="53">
        <f t="shared" si="12"/>
        <v>0.75</v>
      </c>
      <c r="J24" s="53">
        <f t="shared" si="13"/>
        <v>7.4426941133219611</v>
      </c>
      <c r="K24" s="53">
        <f t="shared" si="14"/>
        <v>9.058313243507536</v>
      </c>
      <c r="L24" s="53"/>
      <c r="M24" s="58">
        <f t="shared" si="15"/>
        <v>0</v>
      </c>
      <c r="N24" s="58">
        <f t="shared" si="16"/>
        <v>9.058313243507536</v>
      </c>
      <c r="O24" s="59">
        <f t="shared" si="17"/>
        <v>9.4883885204056515</v>
      </c>
    </row>
    <row r="25" spans="1:15" x14ac:dyDescent="0.2">
      <c r="A25" s="37"/>
      <c r="B25" s="55">
        <v>36</v>
      </c>
      <c r="C25" s="56" t="s">
        <v>45</v>
      </c>
      <c r="D25" s="57">
        <f>'Headloss Calcs'!$A$54</f>
        <v>34</v>
      </c>
      <c r="E25" s="53">
        <f t="shared" si="9"/>
        <v>52.609427609427613</v>
      </c>
      <c r="F25" s="38">
        <f>'Headloss Calcs'!$H$18</f>
        <v>100</v>
      </c>
      <c r="G25" s="53">
        <f t="shared" si="10"/>
        <v>7.0686</v>
      </c>
      <c r="H25" s="53">
        <f t="shared" si="11"/>
        <v>9.4247999999999994</v>
      </c>
      <c r="I25" s="53">
        <f t="shared" si="12"/>
        <v>0.75</v>
      </c>
      <c r="J25" s="53">
        <f t="shared" si="13"/>
        <v>7.4426941133219611</v>
      </c>
      <c r="K25" s="53">
        <f t="shared" si="14"/>
        <v>0</v>
      </c>
      <c r="L25" s="53">
        <v>0.2</v>
      </c>
      <c r="M25" s="58">
        <f t="shared" si="15"/>
        <v>0.17203011075924649</v>
      </c>
      <c r="N25" s="58">
        <f t="shared" si="16"/>
        <v>0.17203011075924649</v>
      </c>
      <c r="O25" s="59">
        <f t="shared" si="17"/>
        <v>9.6604186311648981</v>
      </c>
    </row>
    <row r="26" spans="1:15" x14ac:dyDescent="0.2">
      <c r="A26" s="37">
        <v>1320</v>
      </c>
      <c r="B26" s="55">
        <v>36</v>
      </c>
      <c r="C26" s="69" t="s">
        <v>23</v>
      </c>
      <c r="D26" s="57">
        <f>'Headloss Calcs'!$A$54</f>
        <v>34</v>
      </c>
      <c r="E26" s="53">
        <f t="shared" si="9"/>
        <v>52.609427609427613</v>
      </c>
      <c r="F26" s="38">
        <f>'Headloss Calcs'!$H$18</f>
        <v>100</v>
      </c>
      <c r="G26" s="53">
        <f t="shared" si="10"/>
        <v>7.0686</v>
      </c>
      <c r="H26" s="53">
        <f t="shared" si="11"/>
        <v>9.4247999999999994</v>
      </c>
      <c r="I26" s="53">
        <f t="shared" si="12"/>
        <v>0.75</v>
      </c>
      <c r="J26" s="53">
        <f t="shared" si="13"/>
        <v>7.4426941133219611</v>
      </c>
      <c r="K26" s="53">
        <f t="shared" si="14"/>
        <v>9.058313243507536</v>
      </c>
      <c r="L26" s="53"/>
      <c r="M26" s="58">
        <f t="shared" si="15"/>
        <v>0</v>
      </c>
      <c r="N26" s="58">
        <f t="shared" si="16"/>
        <v>9.058313243507536</v>
      </c>
      <c r="O26" s="59">
        <f t="shared" si="17"/>
        <v>18.718731874672436</v>
      </c>
    </row>
    <row r="27" spans="1:15" x14ac:dyDescent="0.2">
      <c r="A27" s="37"/>
      <c r="B27" s="55">
        <v>36</v>
      </c>
      <c r="C27" s="56" t="s">
        <v>39</v>
      </c>
      <c r="D27" s="57">
        <f>'Headloss Calcs'!$A$54</f>
        <v>34</v>
      </c>
      <c r="E27" s="53">
        <f t="shared" si="9"/>
        <v>52.609427609427613</v>
      </c>
      <c r="F27" s="38">
        <f>'Headloss Calcs'!$H$18</f>
        <v>100</v>
      </c>
      <c r="G27" s="53">
        <f t="shared" si="10"/>
        <v>7.0686</v>
      </c>
      <c r="H27" s="53">
        <f t="shared" si="11"/>
        <v>9.4247999999999994</v>
      </c>
      <c r="I27" s="53">
        <f t="shared" si="12"/>
        <v>0.75</v>
      </c>
      <c r="J27" s="53">
        <f t="shared" si="13"/>
        <v>7.4426941133219611</v>
      </c>
      <c r="K27" s="53">
        <f t="shared" si="14"/>
        <v>0</v>
      </c>
      <c r="L27" s="53">
        <v>0.4</v>
      </c>
      <c r="M27" s="58">
        <f t="shared" si="15"/>
        <v>0.34406022151849297</v>
      </c>
      <c r="N27" s="58">
        <f t="shared" si="16"/>
        <v>0.34406022151849297</v>
      </c>
      <c r="O27" s="59">
        <f t="shared" si="17"/>
        <v>19.062792096190929</v>
      </c>
    </row>
    <row r="28" spans="1:15" x14ac:dyDescent="0.2">
      <c r="A28" s="37">
        <v>1320</v>
      </c>
      <c r="B28" s="55">
        <v>36</v>
      </c>
      <c r="C28" s="56" t="s">
        <v>23</v>
      </c>
      <c r="D28" s="57">
        <f>'Headloss Calcs'!$A$54</f>
        <v>34</v>
      </c>
      <c r="E28" s="53">
        <f t="shared" si="9"/>
        <v>52.609427609427613</v>
      </c>
      <c r="F28" s="38">
        <f>'Headloss Calcs'!$H$18</f>
        <v>100</v>
      </c>
      <c r="G28" s="53">
        <f t="shared" si="10"/>
        <v>7.0686</v>
      </c>
      <c r="H28" s="53">
        <f t="shared" si="11"/>
        <v>9.4247999999999994</v>
      </c>
      <c r="I28" s="53">
        <f t="shared" si="12"/>
        <v>0.75</v>
      </c>
      <c r="J28" s="53">
        <f t="shared" si="13"/>
        <v>7.4426941133219611</v>
      </c>
      <c r="K28" s="53">
        <f t="shared" si="14"/>
        <v>9.058313243507536</v>
      </c>
      <c r="L28" s="53"/>
      <c r="M28" s="58">
        <f t="shared" si="15"/>
        <v>0</v>
      </c>
      <c r="N28" s="58">
        <f t="shared" si="16"/>
        <v>9.058313243507536</v>
      </c>
      <c r="O28" s="59">
        <f t="shared" si="17"/>
        <v>28.121105339698467</v>
      </c>
    </row>
    <row r="29" spans="1:15" x14ac:dyDescent="0.2">
      <c r="A29" s="37"/>
      <c r="B29" s="55">
        <v>36</v>
      </c>
      <c r="C29" s="56" t="s">
        <v>39</v>
      </c>
      <c r="D29" s="57">
        <f>'Headloss Calcs'!$A$54</f>
        <v>34</v>
      </c>
      <c r="E29" s="53">
        <f t="shared" si="9"/>
        <v>52.609427609427613</v>
      </c>
      <c r="F29" s="38">
        <f>'Headloss Calcs'!$H$18</f>
        <v>100</v>
      </c>
      <c r="G29" s="53">
        <f t="shared" si="10"/>
        <v>7.0686</v>
      </c>
      <c r="H29" s="53">
        <f t="shared" si="11"/>
        <v>9.4247999999999994</v>
      </c>
      <c r="I29" s="53">
        <f t="shared" si="12"/>
        <v>0.75</v>
      </c>
      <c r="J29" s="53">
        <f t="shared" si="13"/>
        <v>7.4426941133219611</v>
      </c>
      <c r="K29" s="53">
        <f t="shared" si="14"/>
        <v>0</v>
      </c>
      <c r="L29" s="53">
        <v>0.4</v>
      </c>
      <c r="M29" s="58">
        <f t="shared" si="15"/>
        <v>0.34406022151849297</v>
      </c>
      <c r="N29" s="58">
        <f t="shared" si="16"/>
        <v>0.34406022151849297</v>
      </c>
      <c r="O29" s="59">
        <f t="shared" si="17"/>
        <v>28.46516556121696</v>
      </c>
    </row>
    <row r="30" spans="1:15" x14ac:dyDescent="0.2">
      <c r="A30" s="37">
        <v>1320</v>
      </c>
      <c r="B30" s="55">
        <v>36</v>
      </c>
      <c r="C30" s="56" t="s">
        <v>23</v>
      </c>
      <c r="D30" s="57">
        <f>'Headloss Calcs'!$A$54</f>
        <v>34</v>
      </c>
      <c r="E30" s="53">
        <f t="shared" si="9"/>
        <v>52.609427609427613</v>
      </c>
      <c r="F30" s="38">
        <f>'Headloss Calcs'!$H$18</f>
        <v>100</v>
      </c>
      <c r="G30" s="53">
        <f t="shared" si="10"/>
        <v>7.0686</v>
      </c>
      <c r="H30" s="53">
        <f t="shared" si="11"/>
        <v>9.4247999999999994</v>
      </c>
      <c r="I30" s="53">
        <f t="shared" si="12"/>
        <v>0.75</v>
      </c>
      <c r="J30" s="53">
        <f t="shared" si="13"/>
        <v>7.4426941133219611</v>
      </c>
      <c r="K30" s="53">
        <f t="shared" si="14"/>
        <v>9.058313243507536</v>
      </c>
      <c r="L30" s="53"/>
      <c r="M30" s="58">
        <f t="shared" si="15"/>
        <v>0</v>
      </c>
      <c r="N30" s="58">
        <f t="shared" si="16"/>
        <v>9.058313243507536</v>
      </c>
      <c r="O30" s="59">
        <f t="shared" si="17"/>
        <v>37.523478804724498</v>
      </c>
    </row>
    <row r="31" spans="1:15" x14ac:dyDescent="0.2">
      <c r="A31" s="37"/>
      <c r="B31" s="55">
        <v>36</v>
      </c>
      <c r="C31" s="56" t="s">
        <v>48</v>
      </c>
      <c r="D31" s="57">
        <f>'Headloss Calcs'!$A$54</f>
        <v>34</v>
      </c>
      <c r="E31" s="53">
        <f t="shared" si="9"/>
        <v>52.609427609427613</v>
      </c>
      <c r="F31" s="38">
        <f>'Headloss Calcs'!$H$18</f>
        <v>100</v>
      </c>
      <c r="G31" s="53">
        <f t="shared" si="10"/>
        <v>7.0686</v>
      </c>
      <c r="H31" s="53">
        <f t="shared" si="11"/>
        <v>9.4247999999999994</v>
      </c>
      <c r="I31" s="53">
        <f t="shared" si="12"/>
        <v>0.75</v>
      </c>
      <c r="J31" s="53">
        <f t="shared" si="13"/>
        <v>7.4426941133219611</v>
      </c>
      <c r="K31" s="53">
        <f t="shared" si="14"/>
        <v>0</v>
      </c>
      <c r="L31" s="53">
        <v>0.4</v>
      </c>
      <c r="M31" s="58">
        <f t="shared" si="15"/>
        <v>0.34406022151849297</v>
      </c>
      <c r="N31" s="58">
        <f t="shared" si="16"/>
        <v>0.34406022151849297</v>
      </c>
      <c r="O31" s="59">
        <f t="shared" si="17"/>
        <v>37.867539026242987</v>
      </c>
    </row>
    <row r="32" spans="1:15" x14ac:dyDescent="0.2">
      <c r="A32" s="37">
        <v>1320</v>
      </c>
      <c r="B32" s="55">
        <v>36</v>
      </c>
      <c r="C32" s="56" t="s">
        <v>23</v>
      </c>
      <c r="D32" s="57">
        <f>'Headloss Calcs'!$A$54</f>
        <v>34</v>
      </c>
      <c r="E32" s="53">
        <f t="shared" si="9"/>
        <v>52.609427609427613</v>
      </c>
      <c r="F32" s="38">
        <f>'Headloss Calcs'!$H$18</f>
        <v>100</v>
      </c>
      <c r="G32" s="53">
        <f t="shared" si="10"/>
        <v>7.0686</v>
      </c>
      <c r="H32" s="53">
        <f t="shared" si="11"/>
        <v>9.4247999999999994</v>
      </c>
      <c r="I32" s="53">
        <f t="shared" si="12"/>
        <v>0.75</v>
      </c>
      <c r="J32" s="53">
        <f t="shared" si="13"/>
        <v>7.4426941133219611</v>
      </c>
      <c r="K32" s="53">
        <f t="shared" si="14"/>
        <v>9.058313243507536</v>
      </c>
      <c r="L32" s="53"/>
      <c r="M32" s="58">
        <f t="shared" si="15"/>
        <v>0</v>
      </c>
      <c r="N32" s="58">
        <f t="shared" si="16"/>
        <v>9.058313243507536</v>
      </c>
      <c r="O32" s="59">
        <f t="shared" si="17"/>
        <v>46.925852269750521</v>
      </c>
    </row>
    <row r="33" spans="1:15" x14ac:dyDescent="0.2">
      <c r="A33" s="37"/>
      <c r="B33" s="55">
        <v>36</v>
      </c>
      <c r="C33" s="56" t="s">
        <v>39</v>
      </c>
      <c r="D33" s="57">
        <f>'Headloss Calcs'!$A$54</f>
        <v>34</v>
      </c>
      <c r="E33" s="53">
        <f t="shared" si="9"/>
        <v>52.609427609427613</v>
      </c>
      <c r="F33" s="38">
        <f>'Headloss Calcs'!$H$18</f>
        <v>100</v>
      </c>
      <c r="G33" s="53">
        <f t="shared" si="10"/>
        <v>7.0686</v>
      </c>
      <c r="H33" s="53">
        <f t="shared" si="11"/>
        <v>9.4247999999999994</v>
      </c>
      <c r="I33" s="53">
        <f t="shared" si="12"/>
        <v>0.75</v>
      </c>
      <c r="J33" s="53">
        <f t="shared" si="13"/>
        <v>7.4426941133219611</v>
      </c>
      <c r="K33" s="53">
        <f t="shared" si="14"/>
        <v>0</v>
      </c>
      <c r="L33" s="53">
        <v>0.4</v>
      </c>
      <c r="M33" s="58">
        <f t="shared" si="15"/>
        <v>0.34406022151849297</v>
      </c>
      <c r="N33" s="58">
        <f t="shared" si="16"/>
        <v>0.34406022151849297</v>
      </c>
      <c r="O33" s="59">
        <f t="shared" si="17"/>
        <v>47.269912491269011</v>
      </c>
    </row>
    <row r="34" spans="1:15" x14ac:dyDescent="0.2">
      <c r="A34" s="37">
        <v>1320</v>
      </c>
      <c r="B34" s="55">
        <v>36</v>
      </c>
      <c r="C34" s="56" t="s">
        <v>23</v>
      </c>
      <c r="D34" s="57">
        <f>'Headloss Calcs'!$A$54</f>
        <v>34</v>
      </c>
      <c r="E34" s="53">
        <f t="shared" si="9"/>
        <v>52.609427609427613</v>
      </c>
      <c r="F34" s="38">
        <f>'Headloss Calcs'!$H$18</f>
        <v>100</v>
      </c>
      <c r="G34" s="53">
        <f t="shared" si="10"/>
        <v>7.0686</v>
      </c>
      <c r="H34" s="53">
        <f t="shared" si="11"/>
        <v>9.4247999999999994</v>
      </c>
      <c r="I34" s="53">
        <f t="shared" si="12"/>
        <v>0.75</v>
      </c>
      <c r="J34" s="53">
        <f t="shared" si="13"/>
        <v>7.4426941133219611</v>
      </c>
      <c r="K34" s="53">
        <f t="shared" si="14"/>
        <v>9.058313243507536</v>
      </c>
      <c r="L34" s="53"/>
      <c r="M34" s="58">
        <f t="shared" si="15"/>
        <v>0</v>
      </c>
      <c r="N34" s="58">
        <f t="shared" si="16"/>
        <v>9.058313243507536</v>
      </c>
      <c r="O34" s="59">
        <f t="shared" si="17"/>
        <v>56.328225734776545</v>
      </c>
    </row>
    <row r="35" spans="1:15" x14ac:dyDescent="0.2">
      <c r="A35" s="37"/>
      <c r="B35" s="55">
        <v>36</v>
      </c>
      <c r="C35" s="56" t="s">
        <v>45</v>
      </c>
      <c r="D35" s="57">
        <f>'Headloss Calcs'!$A$54</f>
        <v>34</v>
      </c>
      <c r="E35" s="53">
        <f t="shared" si="9"/>
        <v>52.609427609427613</v>
      </c>
      <c r="F35" s="38">
        <f>'Headloss Calcs'!$H$18</f>
        <v>100</v>
      </c>
      <c r="G35" s="53">
        <f t="shared" si="10"/>
        <v>7.0686</v>
      </c>
      <c r="H35" s="53">
        <f t="shared" si="11"/>
        <v>9.4247999999999994</v>
      </c>
      <c r="I35" s="53">
        <f t="shared" si="12"/>
        <v>0.75</v>
      </c>
      <c r="J35" s="53">
        <f t="shared" si="13"/>
        <v>7.4426941133219611</v>
      </c>
      <c r="K35" s="53">
        <f t="shared" si="14"/>
        <v>0</v>
      </c>
      <c r="L35" s="53">
        <v>0.2</v>
      </c>
      <c r="M35" s="58">
        <f t="shared" si="15"/>
        <v>0.17203011075924649</v>
      </c>
      <c r="N35" s="58">
        <f t="shared" si="16"/>
        <v>0.17203011075924649</v>
      </c>
      <c r="O35" s="59">
        <f t="shared" si="17"/>
        <v>56.50025584553579</v>
      </c>
    </row>
    <row r="36" spans="1:15" x14ac:dyDescent="0.2">
      <c r="A36" s="37">
        <v>1320</v>
      </c>
      <c r="B36" s="55">
        <v>36</v>
      </c>
      <c r="C36" s="56" t="s">
        <v>23</v>
      </c>
      <c r="D36" s="57">
        <f>'Headloss Calcs'!$A$54</f>
        <v>34</v>
      </c>
      <c r="E36" s="53">
        <f t="shared" si="9"/>
        <v>52.609427609427613</v>
      </c>
      <c r="F36" s="38">
        <f>'Headloss Calcs'!$H$18</f>
        <v>100</v>
      </c>
      <c r="G36" s="53">
        <f t="shared" si="10"/>
        <v>7.0686</v>
      </c>
      <c r="H36" s="53">
        <f t="shared" si="11"/>
        <v>9.4247999999999994</v>
      </c>
      <c r="I36" s="53">
        <f t="shared" si="12"/>
        <v>0.75</v>
      </c>
      <c r="J36" s="53">
        <f t="shared" si="13"/>
        <v>7.4426941133219611</v>
      </c>
      <c r="K36" s="53">
        <f t="shared" si="14"/>
        <v>9.058313243507536</v>
      </c>
      <c r="L36" s="53"/>
      <c r="M36" s="58">
        <f t="shared" si="15"/>
        <v>0</v>
      </c>
      <c r="N36" s="58">
        <f t="shared" si="16"/>
        <v>9.058313243507536</v>
      </c>
      <c r="O36" s="59">
        <f t="shared" si="17"/>
        <v>65.558569089043331</v>
      </c>
    </row>
    <row r="37" spans="1:15" ht="12" customHeight="1" x14ac:dyDescent="0.2">
      <c r="A37" s="37"/>
      <c r="B37" s="55">
        <v>36</v>
      </c>
      <c r="C37" s="56" t="s">
        <v>44</v>
      </c>
      <c r="D37" s="57">
        <f>'Headloss Calcs'!$A$54</f>
        <v>34</v>
      </c>
      <c r="E37" s="53">
        <f t="shared" si="9"/>
        <v>52.609427609427613</v>
      </c>
      <c r="F37" s="38">
        <f>'Headloss Calcs'!$H$18</f>
        <v>100</v>
      </c>
      <c r="G37" s="53">
        <f t="shared" si="10"/>
        <v>7.0686</v>
      </c>
      <c r="H37" s="53">
        <f t="shared" si="11"/>
        <v>9.4247999999999994</v>
      </c>
      <c r="I37" s="53">
        <f t="shared" si="12"/>
        <v>0.75</v>
      </c>
      <c r="J37" s="53">
        <f t="shared" si="13"/>
        <v>7.4426941133219611</v>
      </c>
      <c r="K37" s="53">
        <f t="shared" si="14"/>
        <v>0</v>
      </c>
      <c r="L37" s="53">
        <v>1</v>
      </c>
      <c r="M37" s="58">
        <f t="shared" si="15"/>
        <v>0.8601505537962324</v>
      </c>
      <c r="N37" s="58">
        <f t="shared" si="16"/>
        <v>0.8601505537962324</v>
      </c>
      <c r="O37" s="59">
        <f t="shared" si="17"/>
        <v>66.418719642839562</v>
      </c>
    </row>
    <row r="38" spans="1:15" ht="13.5" thickBot="1" x14ac:dyDescent="0.25">
      <c r="A38" s="39"/>
      <c r="B38" s="40"/>
      <c r="C38" s="41"/>
      <c r="D38" s="40"/>
      <c r="E38" s="42"/>
      <c r="F38" s="40"/>
      <c r="G38" s="54"/>
      <c r="H38" s="54"/>
      <c r="I38" s="54"/>
      <c r="J38" s="54"/>
      <c r="K38" s="54"/>
      <c r="L38" s="54"/>
      <c r="M38" s="60"/>
      <c r="N38" s="60" t="s">
        <v>40</v>
      </c>
      <c r="O38" s="61">
        <f>O37</f>
        <v>66.418719642839562</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50"/>
  <sheetViews>
    <sheetView topLeftCell="A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Calcs'!$A$55</f>
        <v>35</v>
      </c>
      <c r="E3" s="53">
        <f t="shared" ref="E3:E18" si="0">D3*1000000/(7.48*24*60*60)</f>
        <v>54.156763715587246</v>
      </c>
      <c r="F3" s="38">
        <f>'Headloss Calcs'!$E$18</f>
        <v>140</v>
      </c>
      <c r="G3" s="53">
        <f t="shared" ref="G3:G18" si="1">3.1416/4*(B3/12)^2</f>
        <v>7.0686</v>
      </c>
      <c r="H3" s="53">
        <f t="shared" ref="H3:H18" si="2">3.1416*(B3/12)</f>
        <v>9.4247999999999994</v>
      </c>
      <c r="I3" s="53">
        <f t="shared" ref="I3:I18" si="3">G3/H3</f>
        <v>0.75</v>
      </c>
      <c r="J3" s="53">
        <f t="shared" ref="J3:J18" si="4">E3/G3</f>
        <v>7.6615968813608415</v>
      </c>
      <c r="K3" s="53">
        <f t="shared" ref="K3:K18" si="5">(J3/(1.318*F3*I3^0.63))^1.85*A3</f>
        <v>0</v>
      </c>
      <c r="L3" s="53">
        <v>0.25</v>
      </c>
      <c r="M3" s="58">
        <f t="shared" ref="M3:M18" si="6">L3*(J3^2)/(2*32.2)</f>
        <v>0.22787293001738421</v>
      </c>
      <c r="N3" s="58">
        <f t="shared" ref="N3:N18" si="7">K3+M3</f>
        <v>0.22787293001738421</v>
      </c>
      <c r="O3" s="59">
        <f>N3</f>
        <v>0.22787293001738421</v>
      </c>
    </row>
    <row r="4" spans="1:15" x14ac:dyDescent="0.2">
      <c r="A4" s="37"/>
      <c r="B4" s="55">
        <v>36</v>
      </c>
      <c r="C4" s="56" t="s">
        <v>47</v>
      </c>
      <c r="D4" s="57">
        <f>'Headloss Calcs'!$A$55</f>
        <v>35</v>
      </c>
      <c r="E4" s="53">
        <f t="shared" si="0"/>
        <v>54.156763715587246</v>
      </c>
      <c r="F4" s="38">
        <f>'Headloss Calcs'!$E$18</f>
        <v>140</v>
      </c>
      <c r="G4" s="53">
        <f t="shared" si="1"/>
        <v>7.0686</v>
      </c>
      <c r="H4" s="53">
        <f t="shared" si="2"/>
        <v>9.4247999999999994</v>
      </c>
      <c r="I4" s="53">
        <f t="shared" si="3"/>
        <v>0.75</v>
      </c>
      <c r="J4" s="53">
        <f t="shared" si="4"/>
        <v>7.6615968813608415</v>
      </c>
      <c r="K4" s="53">
        <f t="shared" si="5"/>
        <v>0</v>
      </c>
      <c r="L4" s="53">
        <v>0.25</v>
      </c>
      <c r="M4" s="58">
        <f t="shared" si="6"/>
        <v>0.22787293001738421</v>
      </c>
      <c r="N4" s="58">
        <f t="shared" si="7"/>
        <v>0.22787293001738421</v>
      </c>
      <c r="O4" s="59">
        <f t="shared" ref="O4:O18" si="8">N4+O3</f>
        <v>0.45574586003476841</v>
      </c>
    </row>
    <row r="5" spans="1:15" x14ac:dyDescent="0.2">
      <c r="A5" s="37">
        <v>1320</v>
      </c>
      <c r="B5" s="55">
        <v>36</v>
      </c>
      <c r="C5" s="56" t="s">
        <v>23</v>
      </c>
      <c r="D5" s="57">
        <f>'Headloss Calcs'!$A$55</f>
        <v>35</v>
      </c>
      <c r="E5" s="53">
        <f t="shared" si="0"/>
        <v>54.156763715587246</v>
      </c>
      <c r="F5" s="38">
        <f>'Headloss Calcs'!$E$18</f>
        <v>140</v>
      </c>
      <c r="G5" s="53">
        <f t="shared" si="1"/>
        <v>7.0686</v>
      </c>
      <c r="H5" s="53">
        <f t="shared" si="2"/>
        <v>9.4247999999999994</v>
      </c>
      <c r="I5" s="53">
        <f t="shared" si="3"/>
        <v>0.75</v>
      </c>
      <c r="J5" s="53">
        <f t="shared" si="4"/>
        <v>7.6615968813608415</v>
      </c>
      <c r="K5" s="53">
        <f t="shared" si="5"/>
        <v>5.1286180246034565</v>
      </c>
      <c r="L5" s="53"/>
      <c r="M5" s="58">
        <f t="shared" si="6"/>
        <v>0</v>
      </c>
      <c r="N5" s="58">
        <f t="shared" si="7"/>
        <v>5.1286180246034565</v>
      </c>
      <c r="O5" s="59">
        <f t="shared" si="8"/>
        <v>5.5843638846382246</v>
      </c>
    </row>
    <row r="6" spans="1:15" x14ac:dyDescent="0.2">
      <c r="A6" s="37"/>
      <c r="B6" s="55">
        <v>36</v>
      </c>
      <c r="C6" s="56" t="s">
        <v>45</v>
      </c>
      <c r="D6" s="57">
        <f>'Headloss Calcs'!$A$55</f>
        <v>35</v>
      </c>
      <c r="E6" s="53">
        <f t="shared" si="0"/>
        <v>54.156763715587246</v>
      </c>
      <c r="F6" s="38">
        <f>'Headloss Calcs'!$E$18</f>
        <v>140</v>
      </c>
      <c r="G6" s="53">
        <f t="shared" si="1"/>
        <v>7.0686</v>
      </c>
      <c r="H6" s="53">
        <f t="shared" si="2"/>
        <v>9.4247999999999994</v>
      </c>
      <c r="I6" s="53">
        <f t="shared" si="3"/>
        <v>0.75</v>
      </c>
      <c r="J6" s="53">
        <f t="shared" si="4"/>
        <v>7.6615968813608415</v>
      </c>
      <c r="K6" s="53">
        <f t="shared" si="5"/>
        <v>0</v>
      </c>
      <c r="L6" s="53">
        <v>0.2</v>
      </c>
      <c r="M6" s="58">
        <f t="shared" si="6"/>
        <v>0.18229834401390738</v>
      </c>
      <c r="N6" s="58">
        <f t="shared" si="7"/>
        <v>0.18229834401390738</v>
      </c>
      <c r="O6" s="59">
        <f t="shared" si="8"/>
        <v>5.7666622286521321</v>
      </c>
    </row>
    <row r="7" spans="1:15" x14ac:dyDescent="0.2">
      <c r="A7" s="37">
        <v>1320</v>
      </c>
      <c r="B7" s="55">
        <v>36</v>
      </c>
      <c r="C7" s="69" t="s">
        <v>23</v>
      </c>
      <c r="D7" s="57">
        <f>'Headloss Calcs'!$A$55</f>
        <v>35</v>
      </c>
      <c r="E7" s="53">
        <f t="shared" si="0"/>
        <v>54.156763715587246</v>
      </c>
      <c r="F7" s="38">
        <f>'Headloss Calcs'!$E$18</f>
        <v>140</v>
      </c>
      <c r="G7" s="53">
        <f t="shared" si="1"/>
        <v>7.0686</v>
      </c>
      <c r="H7" s="53">
        <f t="shared" si="2"/>
        <v>9.4247999999999994</v>
      </c>
      <c r="I7" s="53">
        <f t="shared" si="3"/>
        <v>0.75</v>
      </c>
      <c r="J7" s="53">
        <f t="shared" si="4"/>
        <v>7.6615968813608415</v>
      </c>
      <c r="K7" s="53">
        <f t="shared" si="5"/>
        <v>5.1286180246034565</v>
      </c>
      <c r="L7" s="53"/>
      <c r="M7" s="58">
        <f t="shared" si="6"/>
        <v>0</v>
      </c>
      <c r="N7" s="58">
        <f t="shared" si="7"/>
        <v>5.1286180246034565</v>
      </c>
      <c r="O7" s="59">
        <f t="shared" si="8"/>
        <v>10.895280253255589</v>
      </c>
    </row>
    <row r="8" spans="1:15" x14ac:dyDescent="0.2">
      <c r="A8" s="37"/>
      <c r="B8" s="55">
        <v>36</v>
      </c>
      <c r="C8" s="56" t="s">
        <v>39</v>
      </c>
      <c r="D8" s="57">
        <f>'Headloss Calcs'!$A$55</f>
        <v>35</v>
      </c>
      <c r="E8" s="53">
        <f t="shared" si="0"/>
        <v>54.156763715587246</v>
      </c>
      <c r="F8" s="38">
        <f>'Headloss Calcs'!$E$18</f>
        <v>140</v>
      </c>
      <c r="G8" s="53">
        <f t="shared" si="1"/>
        <v>7.0686</v>
      </c>
      <c r="H8" s="53">
        <f t="shared" si="2"/>
        <v>9.4247999999999994</v>
      </c>
      <c r="I8" s="53">
        <f t="shared" si="3"/>
        <v>0.75</v>
      </c>
      <c r="J8" s="53">
        <f t="shared" si="4"/>
        <v>7.6615968813608415</v>
      </c>
      <c r="K8" s="53">
        <f t="shared" si="5"/>
        <v>0</v>
      </c>
      <c r="L8" s="53">
        <v>0.4</v>
      </c>
      <c r="M8" s="58">
        <f t="shared" si="6"/>
        <v>0.36459668802781475</v>
      </c>
      <c r="N8" s="58">
        <f t="shared" si="7"/>
        <v>0.36459668802781475</v>
      </c>
      <c r="O8" s="59">
        <f t="shared" si="8"/>
        <v>11.259876941283403</v>
      </c>
    </row>
    <row r="9" spans="1:15" x14ac:dyDescent="0.2">
      <c r="A9" s="37">
        <v>1320</v>
      </c>
      <c r="B9" s="55">
        <v>36</v>
      </c>
      <c r="C9" s="56" t="s">
        <v>23</v>
      </c>
      <c r="D9" s="57">
        <f>'Headloss Calcs'!$A$55</f>
        <v>35</v>
      </c>
      <c r="E9" s="53">
        <f t="shared" si="0"/>
        <v>54.156763715587246</v>
      </c>
      <c r="F9" s="38">
        <f>'Headloss Calcs'!$E$18</f>
        <v>140</v>
      </c>
      <c r="G9" s="53">
        <f t="shared" si="1"/>
        <v>7.0686</v>
      </c>
      <c r="H9" s="53">
        <f t="shared" si="2"/>
        <v>9.4247999999999994</v>
      </c>
      <c r="I9" s="53">
        <f t="shared" si="3"/>
        <v>0.75</v>
      </c>
      <c r="J9" s="53">
        <f t="shared" si="4"/>
        <v>7.6615968813608415</v>
      </c>
      <c r="K9" s="53">
        <f t="shared" si="5"/>
        <v>5.1286180246034565</v>
      </c>
      <c r="L9" s="53"/>
      <c r="M9" s="58">
        <f t="shared" si="6"/>
        <v>0</v>
      </c>
      <c r="N9" s="58">
        <f t="shared" si="7"/>
        <v>5.1286180246034565</v>
      </c>
      <c r="O9" s="59">
        <f t="shared" si="8"/>
        <v>16.38849496588686</v>
      </c>
    </row>
    <row r="10" spans="1:15" x14ac:dyDescent="0.2">
      <c r="A10" s="37"/>
      <c r="B10" s="55">
        <v>36</v>
      </c>
      <c r="C10" s="56" t="s">
        <v>39</v>
      </c>
      <c r="D10" s="57">
        <f>'Headloss Calcs'!$A$55</f>
        <v>35</v>
      </c>
      <c r="E10" s="53">
        <f t="shared" si="0"/>
        <v>54.156763715587246</v>
      </c>
      <c r="F10" s="38">
        <f>'Headloss Calcs'!$E$18</f>
        <v>140</v>
      </c>
      <c r="G10" s="53">
        <f t="shared" si="1"/>
        <v>7.0686</v>
      </c>
      <c r="H10" s="53">
        <f t="shared" si="2"/>
        <v>9.4247999999999994</v>
      </c>
      <c r="I10" s="53">
        <f t="shared" si="3"/>
        <v>0.75</v>
      </c>
      <c r="J10" s="53">
        <f t="shared" si="4"/>
        <v>7.6615968813608415</v>
      </c>
      <c r="K10" s="53">
        <f t="shared" si="5"/>
        <v>0</v>
      </c>
      <c r="L10" s="53">
        <v>0.4</v>
      </c>
      <c r="M10" s="58">
        <f t="shared" si="6"/>
        <v>0.36459668802781475</v>
      </c>
      <c r="N10" s="58">
        <f t="shared" si="7"/>
        <v>0.36459668802781475</v>
      </c>
      <c r="O10" s="59">
        <f t="shared" si="8"/>
        <v>16.753091653914673</v>
      </c>
    </row>
    <row r="11" spans="1:15" x14ac:dyDescent="0.2">
      <c r="A11" s="37">
        <v>1320</v>
      </c>
      <c r="B11" s="55">
        <v>36</v>
      </c>
      <c r="C11" s="56" t="s">
        <v>23</v>
      </c>
      <c r="D11" s="57">
        <f>'Headloss Calcs'!$A$55</f>
        <v>35</v>
      </c>
      <c r="E11" s="53">
        <f t="shared" si="0"/>
        <v>54.156763715587246</v>
      </c>
      <c r="F11" s="38">
        <f>'Headloss Calcs'!$E$18</f>
        <v>140</v>
      </c>
      <c r="G11" s="53">
        <f t="shared" si="1"/>
        <v>7.0686</v>
      </c>
      <c r="H11" s="53">
        <f t="shared" si="2"/>
        <v>9.4247999999999994</v>
      </c>
      <c r="I11" s="53">
        <f t="shared" si="3"/>
        <v>0.75</v>
      </c>
      <c r="J11" s="53">
        <f t="shared" si="4"/>
        <v>7.6615968813608415</v>
      </c>
      <c r="K11" s="53">
        <f t="shared" si="5"/>
        <v>5.1286180246034565</v>
      </c>
      <c r="L11" s="53"/>
      <c r="M11" s="58">
        <f t="shared" si="6"/>
        <v>0</v>
      </c>
      <c r="N11" s="58">
        <f t="shared" si="7"/>
        <v>5.1286180246034565</v>
      </c>
      <c r="O11" s="59">
        <f t="shared" si="8"/>
        <v>21.881709678518128</v>
      </c>
    </row>
    <row r="12" spans="1:15" x14ac:dyDescent="0.2">
      <c r="A12" s="37"/>
      <c r="B12" s="55">
        <v>36</v>
      </c>
      <c r="C12" s="56" t="s">
        <v>48</v>
      </c>
      <c r="D12" s="57">
        <f>'Headloss Calcs'!$A$55</f>
        <v>35</v>
      </c>
      <c r="E12" s="53">
        <f t="shared" si="0"/>
        <v>54.156763715587246</v>
      </c>
      <c r="F12" s="38">
        <f>'Headloss Calcs'!$E$18</f>
        <v>140</v>
      </c>
      <c r="G12" s="53">
        <f t="shared" si="1"/>
        <v>7.0686</v>
      </c>
      <c r="H12" s="53">
        <f t="shared" si="2"/>
        <v>9.4247999999999994</v>
      </c>
      <c r="I12" s="53">
        <f t="shared" si="3"/>
        <v>0.75</v>
      </c>
      <c r="J12" s="53">
        <f t="shared" si="4"/>
        <v>7.6615968813608415</v>
      </c>
      <c r="K12" s="53">
        <f t="shared" si="5"/>
        <v>0</v>
      </c>
      <c r="L12" s="53">
        <v>0.4</v>
      </c>
      <c r="M12" s="58">
        <f t="shared" si="6"/>
        <v>0.36459668802781475</v>
      </c>
      <c r="N12" s="58">
        <f t="shared" si="7"/>
        <v>0.36459668802781475</v>
      </c>
      <c r="O12" s="59">
        <f t="shared" si="8"/>
        <v>22.246306366545941</v>
      </c>
    </row>
    <row r="13" spans="1:15" x14ac:dyDescent="0.2">
      <c r="A13" s="37">
        <v>1320</v>
      </c>
      <c r="B13" s="55">
        <v>36</v>
      </c>
      <c r="C13" s="56" t="s">
        <v>23</v>
      </c>
      <c r="D13" s="57">
        <f>'Headloss Calcs'!$A$55</f>
        <v>35</v>
      </c>
      <c r="E13" s="53">
        <f t="shared" si="0"/>
        <v>54.156763715587246</v>
      </c>
      <c r="F13" s="38">
        <f>'Headloss Calcs'!$E$18</f>
        <v>140</v>
      </c>
      <c r="G13" s="53">
        <f t="shared" si="1"/>
        <v>7.0686</v>
      </c>
      <c r="H13" s="53">
        <f t="shared" si="2"/>
        <v>9.4247999999999994</v>
      </c>
      <c r="I13" s="53">
        <f t="shared" si="3"/>
        <v>0.75</v>
      </c>
      <c r="J13" s="53">
        <f t="shared" si="4"/>
        <v>7.6615968813608415</v>
      </c>
      <c r="K13" s="53">
        <f t="shared" si="5"/>
        <v>5.1286180246034565</v>
      </c>
      <c r="L13" s="53"/>
      <c r="M13" s="58">
        <f t="shared" si="6"/>
        <v>0</v>
      </c>
      <c r="N13" s="58">
        <f t="shared" si="7"/>
        <v>5.1286180246034565</v>
      </c>
      <c r="O13" s="59">
        <f t="shared" si="8"/>
        <v>27.374924391149399</v>
      </c>
    </row>
    <row r="14" spans="1:15" x14ac:dyDescent="0.2">
      <c r="A14" s="37"/>
      <c r="B14" s="55">
        <v>36</v>
      </c>
      <c r="C14" s="56" t="s">
        <v>39</v>
      </c>
      <c r="D14" s="57">
        <f>'Headloss Calcs'!$A$55</f>
        <v>35</v>
      </c>
      <c r="E14" s="53">
        <f t="shared" si="0"/>
        <v>54.156763715587246</v>
      </c>
      <c r="F14" s="38">
        <f>'Headloss Calcs'!$E$18</f>
        <v>140</v>
      </c>
      <c r="G14" s="53">
        <f t="shared" si="1"/>
        <v>7.0686</v>
      </c>
      <c r="H14" s="53">
        <f t="shared" si="2"/>
        <v>9.4247999999999994</v>
      </c>
      <c r="I14" s="53">
        <f t="shared" si="3"/>
        <v>0.75</v>
      </c>
      <c r="J14" s="53">
        <f t="shared" si="4"/>
        <v>7.6615968813608415</v>
      </c>
      <c r="K14" s="53">
        <f t="shared" si="5"/>
        <v>0</v>
      </c>
      <c r="L14" s="53">
        <v>0.4</v>
      </c>
      <c r="M14" s="58">
        <f t="shared" si="6"/>
        <v>0.36459668802781475</v>
      </c>
      <c r="N14" s="58">
        <f t="shared" si="7"/>
        <v>0.36459668802781475</v>
      </c>
      <c r="O14" s="59">
        <f t="shared" si="8"/>
        <v>27.739521079177212</v>
      </c>
    </row>
    <row r="15" spans="1:15" x14ac:dyDescent="0.2">
      <c r="A15" s="37">
        <v>1320</v>
      </c>
      <c r="B15" s="55">
        <v>36</v>
      </c>
      <c r="C15" s="56" t="s">
        <v>23</v>
      </c>
      <c r="D15" s="57">
        <f>'Headloss Calcs'!$A$55</f>
        <v>35</v>
      </c>
      <c r="E15" s="53">
        <f t="shared" si="0"/>
        <v>54.156763715587246</v>
      </c>
      <c r="F15" s="38">
        <f>'Headloss Calcs'!$E$18</f>
        <v>140</v>
      </c>
      <c r="G15" s="53">
        <f t="shared" si="1"/>
        <v>7.0686</v>
      </c>
      <c r="H15" s="53">
        <f t="shared" si="2"/>
        <v>9.4247999999999994</v>
      </c>
      <c r="I15" s="53">
        <f t="shared" si="3"/>
        <v>0.75</v>
      </c>
      <c r="J15" s="53">
        <f t="shared" si="4"/>
        <v>7.6615968813608415</v>
      </c>
      <c r="K15" s="53">
        <f t="shared" si="5"/>
        <v>5.1286180246034565</v>
      </c>
      <c r="L15" s="53"/>
      <c r="M15" s="58">
        <f t="shared" si="6"/>
        <v>0</v>
      </c>
      <c r="N15" s="58">
        <f t="shared" si="7"/>
        <v>5.1286180246034565</v>
      </c>
      <c r="O15" s="59">
        <f t="shared" si="8"/>
        <v>32.86813910378067</v>
      </c>
    </row>
    <row r="16" spans="1:15" x14ac:dyDescent="0.2">
      <c r="A16" s="37"/>
      <c r="B16" s="55">
        <v>36</v>
      </c>
      <c r="C16" s="56" t="s">
        <v>45</v>
      </c>
      <c r="D16" s="57">
        <f>'Headloss Calcs'!$A$55</f>
        <v>35</v>
      </c>
      <c r="E16" s="53">
        <f t="shared" si="0"/>
        <v>54.156763715587246</v>
      </c>
      <c r="F16" s="38">
        <f>'Headloss Calcs'!$E$18</f>
        <v>140</v>
      </c>
      <c r="G16" s="53">
        <f t="shared" si="1"/>
        <v>7.0686</v>
      </c>
      <c r="H16" s="53">
        <f t="shared" si="2"/>
        <v>9.4247999999999994</v>
      </c>
      <c r="I16" s="53">
        <f t="shared" si="3"/>
        <v>0.75</v>
      </c>
      <c r="J16" s="53">
        <f t="shared" si="4"/>
        <v>7.6615968813608415</v>
      </c>
      <c r="K16" s="53">
        <f t="shared" si="5"/>
        <v>0</v>
      </c>
      <c r="L16" s="53">
        <v>0.2</v>
      </c>
      <c r="M16" s="58">
        <f t="shared" si="6"/>
        <v>0.18229834401390738</v>
      </c>
      <c r="N16" s="58">
        <f t="shared" si="7"/>
        <v>0.18229834401390738</v>
      </c>
      <c r="O16" s="59">
        <f t="shared" si="8"/>
        <v>33.050437447794579</v>
      </c>
    </row>
    <row r="17" spans="1:15" x14ac:dyDescent="0.2">
      <c r="A17" s="37">
        <v>1320</v>
      </c>
      <c r="B17" s="55">
        <v>36</v>
      </c>
      <c r="C17" s="56" t="s">
        <v>23</v>
      </c>
      <c r="D17" s="57">
        <f>'Headloss Calcs'!$A$55</f>
        <v>35</v>
      </c>
      <c r="E17" s="53">
        <f t="shared" si="0"/>
        <v>54.156763715587246</v>
      </c>
      <c r="F17" s="38">
        <f>'Headloss Calcs'!$E$18</f>
        <v>140</v>
      </c>
      <c r="G17" s="53">
        <f t="shared" si="1"/>
        <v>7.0686</v>
      </c>
      <c r="H17" s="53">
        <f t="shared" si="2"/>
        <v>9.4247999999999994</v>
      </c>
      <c r="I17" s="53">
        <f t="shared" si="3"/>
        <v>0.75</v>
      </c>
      <c r="J17" s="53">
        <f t="shared" si="4"/>
        <v>7.6615968813608415</v>
      </c>
      <c r="K17" s="53">
        <f t="shared" si="5"/>
        <v>5.1286180246034565</v>
      </c>
      <c r="L17" s="53"/>
      <c r="M17" s="58">
        <f t="shared" si="6"/>
        <v>0</v>
      </c>
      <c r="N17" s="58">
        <f t="shared" si="7"/>
        <v>5.1286180246034565</v>
      </c>
      <c r="O17" s="59">
        <f t="shared" si="8"/>
        <v>38.179055472398034</v>
      </c>
    </row>
    <row r="18" spans="1:15" ht="12" customHeight="1" x14ac:dyDescent="0.2">
      <c r="A18" s="37"/>
      <c r="B18" s="55">
        <v>36</v>
      </c>
      <c r="C18" s="56" t="s">
        <v>44</v>
      </c>
      <c r="D18" s="57">
        <f>'Headloss Calcs'!$A$55</f>
        <v>35</v>
      </c>
      <c r="E18" s="53">
        <f t="shared" si="0"/>
        <v>54.156763715587246</v>
      </c>
      <c r="F18" s="38">
        <f>'Headloss Calcs'!$E$18</f>
        <v>140</v>
      </c>
      <c r="G18" s="53">
        <f t="shared" si="1"/>
        <v>7.0686</v>
      </c>
      <c r="H18" s="53">
        <f t="shared" si="2"/>
        <v>9.4247999999999994</v>
      </c>
      <c r="I18" s="53">
        <f t="shared" si="3"/>
        <v>0.75</v>
      </c>
      <c r="J18" s="53">
        <f t="shared" si="4"/>
        <v>7.6615968813608415</v>
      </c>
      <c r="K18" s="53">
        <f t="shared" si="5"/>
        <v>0</v>
      </c>
      <c r="L18" s="53">
        <v>1</v>
      </c>
      <c r="M18" s="58">
        <f t="shared" si="6"/>
        <v>0.91149172006953683</v>
      </c>
      <c r="N18" s="58">
        <f t="shared" si="7"/>
        <v>0.91149172006953683</v>
      </c>
      <c r="O18" s="59">
        <f t="shared" si="8"/>
        <v>39.090547192467568</v>
      </c>
    </row>
    <row r="19" spans="1:15" ht="13.5" thickBot="1" x14ac:dyDescent="0.25">
      <c r="A19" s="39"/>
      <c r="B19" s="40"/>
      <c r="C19" s="41"/>
      <c r="D19" s="40"/>
      <c r="E19" s="42"/>
      <c r="F19" s="40"/>
      <c r="G19" s="54"/>
      <c r="H19" s="54"/>
      <c r="I19" s="54"/>
      <c r="J19" s="54"/>
      <c r="K19" s="54"/>
      <c r="L19" s="54"/>
      <c r="M19" s="60"/>
      <c r="N19" s="60" t="s">
        <v>40</v>
      </c>
      <c r="O19" s="61">
        <f>O18</f>
        <v>39.090547192467568</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Calcs'!$A$55</f>
        <v>35</v>
      </c>
      <c r="E22" s="53">
        <f t="shared" ref="E22:E37" si="9">D22*1000000/(7.48*24*60*60)</f>
        <v>54.156763715587246</v>
      </c>
      <c r="F22" s="38">
        <f>'Headloss Calcs'!$H$18</f>
        <v>100</v>
      </c>
      <c r="G22" s="53">
        <f t="shared" ref="G22:G37" si="10">3.1416/4*(B22/12)^2</f>
        <v>7.0686</v>
      </c>
      <c r="H22" s="53">
        <f t="shared" ref="H22:H37" si="11">3.1416*(B22/12)</f>
        <v>9.4247999999999994</v>
      </c>
      <c r="I22" s="53">
        <f t="shared" ref="I22:I37" si="12">G22/H22</f>
        <v>0.75</v>
      </c>
      <c r="J22" s="53">
        <f t="shared" ref="J22:J37" si="13">E22/G22</f>
        <v>7.6615968813608415</v>
      </c>
      <c r="K22" s="53">
        <f t="shared" ref="K22:K37" si="14">(J22/(1.318*F22*I22^0.63))^1.85*A22</f>
        <v>0</v>
      </c>
      <c r="L22" s="53">
        <v>0.25</v>
      </c>
      <c r="M22" s="58">
        <f t="shared" ref="M22:M37" si="15">L22*(J22^2)/(2*32.2)</f>
        <v>0.22787293001738421</v>
      </c>
      <c r="N22" s="58">
        <f t="shared" ref="N22:N37" si="16">K22+M22</f>
        <v>0.22787293001738421</v>
      </c>
      <c r="O22" s="59">
        <f>N22</f>
        <v>0.22787293001738421</v>
      </c>
    </row>
    <row r="23" spans="1:15" x14ac:dyDescent="0.2">
      <c r="A23" s="37"/>
      <c r="B23" s="55">
        <v>36</v>
      </c>
      <c r="C23" s="56" t="s">
        <v>47</v>
      </c>
      <c r="D23" s="57">
        <f>'Headloss Calcs'!$A$55</f>
        <v>35</v>
      </c>
      <c r="E23" s="53">
        <f t="shared" si="9"/>
        <v>54.156763715587246</v>
      </c>
      <c r="F23" s="38">
        <f>'Headloss Calcs'!$H$18</f>
        <v>100</v>
      </c>
      <c r="G23" s="53">
        <f t="shared" si="10"/>
        <v>7.0686</v>
      </c>
      <c r="H23" s="53">
        <f t="shared" si="11"/>
        <v>9.4247999999999994</v>
      </c>
      <c r="I23" s="53">
        <f t="shared" si="12"/>
        <v>0.75</v>
      </c>
      <c r="J23" s="53">
        <f t="shared" si="13"/>
        <v>7.6615968813608415</v>
      </c>
      <c r="K23" s="53">
        <f t="shared" si="14"/>
        <v>0</v>
      </c>
      <c r="L23" s="53">
        <v>0.25</v>
      </c>
      <c r="M23" s="58">
        <f t="shared" si="15"/>
        <v>0.22787293001738421</v>
      </c>
      <c r="N23" s="58">
        <f t="shared" si="16"/>
        <v>0.22787293001738421</v>
      </c>
      <c r="O23" s="59">
        <f t="shared" ref="O23:O37" si="17">N23+O22</f>
        <v>0.45574586003476841</v>
      </c>
    </row>
    <row r="24" spans="1:15" x14ac:dyDescent="0.2">
      <c r="A24" s="37">
        <v>1320</v>
      </c>
      <c r="B24" s="55">
        <v>36</v>
      </c>
      <c r="C24" s="56" t="s">
        <v>23</v>
      </c>
      <c r="D24" s="57">
        <f>'Headloss Calcs'!$A$55</f>
        <v>35</v>
      </c>
      <c r="E24" s="53">
        <f t="shared" si="9"/>
        <v>54.156763715587246</v>
      </c>
      <c r="F24" s="38">
        <f>'Headloss Calcs'!$H$18</f>
        <v>100</v>
      </c>
      <c r="G24" s="53">
        <f t="shared" si="10"/>
        <v>7.0686</v>
      </c>
      <c r="H24" s="53">
        <f t="shared" si="11"/>
        <v>9.4247999999999994</v>
      </c>
      <c r="I24" s="53">
        <f t="shared" si="12"/>
        <v>0.75</v>
      </c>
      <c r="J24" s="53">
        <f t="shared" si="13"/>
        <v>7.6615968813608415</v>
      </c>
      <c r="K24" s="53">
        <f t="shared" si="14"/>
        <v>9.557344052842085</v>
      </c>
      <c r="L24" s="53"/>
      <c r="M24" s="58">
        <f t="shared" si="15"/>
        <v>0</v>
      </c>
      <c r="N24" s="58">
        <f t="shared" si="16"/>
        <v>9.557344052842085</v>
      </c>
      <c r="O24" s="59">
        <f t="shared" si="17"/>
        <v>10.013089912876854</v>
      </c>
    </row>
    <row r="25" spans="1:15" x14ac:dyDescent="0.2">
      <c r="A25" s="37"/>
      <c r="B25" s="55">
        <v>36</v>
      </c>
      <c r="C25" s="56" t="s">
        <v>45</v>
      </c>
      <c r="D25" s="57">
        <f>'Headloss Calcs'!$A$55</f>
        <v>35</v>
      </c>
      <c r="E25" s="53">
        <f t="shared" si="9"/>
        <v>54.156763715587246</v>
      </c>
      <c r="F25" s="38">
        <f>'Headloss Calcs'!$H$18</f>
        <v>100</v>
      </c>
      <c r="G25" s="53">
        <f t="shared" si="10"/>
        <v>7.0686</v>
      </c>
      <c r="H25" s="53">
        <f t="shared" si="11"/>
        <v>9.4247999999999994</v>
      </c>
      <c r="I25" s="53">
        <f t="shared" si="12"/>
        <v>0.75</v>
      </c>
      <c r="J25" s="53">
        <f t="shared" si="13"/>
        <v>7.6615968813608415</v>
      </c>
      <c r="K25" s="53">
        <f t="shared" si="14"/>
        <v>0</v>
      </c>
      <c r="L25" s="53">
        <v>0.2</v>
      </c>
      <c r="M25" s="58">
        <f t="shared" si="15"/>
        <v>0.18229834401390738</v>
      </c>
      <c r="N25" s="58">
        <f t="shared" si="16"/>
        <v>0.18229834401390738</v>
      </c>
      <c r="O25" s="59">
        <f t="shared" si="17"/>
        <v>10.195388256890761</v>
      </c>
    </row>
    <row r="26" spans="1:15" x14ac:dyDescent="0.2">
      <c r="A26" s="37">
        <v>1320</v>
      </c>
      <c r="B26" s="55">
        <v>36</v>
      </c>
      <c r="C26" s="69" t="s">
        <v>23</v>
      </c>
      <c r="D26" s="57">
        <f>'Headloss Calcs'!$A$55</f>
        <v>35</v>
      </c>
      <c r="E26" s="53">
        <f t="shared" si="9"/>
        <v>54.156763715587246</v>
      </c>
      <c r="F26" s="38">
        <f>'Headloss Calcs'!$H$18</f>
        <v>100</v>
      </c>
      <c r="G26" s="53">
        <f t="shared" si="10"/>
        <v>7.0686</v>
      </c>
      <c r="H26" s="53">
        <f t="shared" si="11"/>
        <v>9.4247999999999994</v>
      </c>
      <c r="I26" s="53">
        <f t="shared" si="12"/>
        <v>0.75</v>
      </c>
      <c r="J26" s="53">
        <f t="shared" si="13"/>
        <v>7.6615968813608415</v>
      </c>
      <c r="K26" s="53">
        <f t="shared" si="14"/>
        <v>9.557344052842085</v>
      </c>
      <c r="L26" s="53"/>
      <c r="M26" s="58">
        <f t="shared" si="15"/>
        <v>0</v>
      </c>
      <c r="N26" s="58">
        <f t="shared" si="16"/>
        <v>9.557344052842085</v>
      </c>
      <c r="O26" s="59">
        <f t="shared" si="17"/>
        <v>19.752732309732846</v>
      </c>
    </row>
    <row r="27" spans="1:15" x14ac:dyDescent="0.2">
      <c r="A27" s="37"/>
      <c r="B27" s="55">
        <v>36</v>
      </c>
      <c r="C27" s="56" t="s">
        <v>39</v>
      </c>
      <c r="D27" s="57">
        <f>'Headloss Calcs'!$A$55</f>
        <v>35</v>
      </c>
      <c r="E27" s="53">
        <f t="shared" si="9"/>
        <v>54.156763715587246</v>
      </c>
      <c r="F27" s="38">
        <f>'Headloss Calcs'!$H$18</f>
        <v>100</v>
      </c>
      <c r="G27" s="53">
        <f t="shared" si="10"/>
        <v>7.0686</v>
      </c>
      <c r="H27" s="53">
        <f t="shared" si="11"/>
        <v>9.4247999999999994</v>
      </c>
      <c r="I27" s="53">
        <f t="shared" si="12"/>
        <v>0.75</v>
      </c>
      <c r="J27" s="53">
        <f t="shared" si="13"/>
        <v>7.6615968813608415</v>
      </c>
      <c r="K27" s="53">
        <f t="shared" si="14"/>
        <v>0</v>
      </c>
      <c r="L27" s="53">
        <v>0.4</v>
      </c>
      <c r="M27" s="58">
        <f t="shared" si="15"/>
        <v>0.36459668802781475</v>
      </c>
      <c r="N27" s="58">
        <f t="shared" si="16"/>
        <v>0.36459668802781475</v>
      </c>
      <c r="O27" s="59">
        <f t="shared" si="17"/>
        <v>20.117328997760659</v>
      </c>
    </row>
    <row r="28" spans="1:15" x14ac:dyDescent="0.2">
      <c r="A28" s="37">
        <v>1320</v>
      </c>
      <c r="B28" s="55">
        <v>36</v>
      </c>
      <c r="C28" s="56" t="s">
        <v>23</v>
      </c>
      <c r="D28" s="57">
        <f>'Headloss Calcs'!$A$55</f>
        <v>35</v>
      </c>
      <c r="E28" s="53">
        <f t="shared" si="9"/>
        <v>54.156763715587246</v>
      </c>
      <c r="F28" s="38">
        <f>'Headloss Calcs'!$H$18</f>
        <v>100</v>
      </c>
      <c r="G28" s="53">
        <f t="shared" si="10"/>
        <v>7.0686</v>
      </c>
      <c r="H28" s="53">
        <f t="shared" si="11"/>
        <v>9.4247999999999994</v>
      </c>
      <c r="I28" s="53">
        <f t="shared" si="12"/>
        <v>0.75</v>
      </c>
      <c r="J28" s="53">
        <f t="shared" si="13"/>
        <v>7.6615968813608415</v>
      </c>
      <c r="K28" s="53">
        <f t="shared" si="14"/>
        <v>9.557344052842085</v>
      </c>
      <c r="L28" s="53"/>
      <c r="M28" s="58">
        <f t="shared" si="15"/>
        <v>0</v>
      </c>
      <c r="N28" s="58">
        <f t="shared" si="16"/>
        <v>9.557344052842085</v>
      </c>
      <c r="O28" s="59">
        <f t="shared" si="17"/>
        <v>29.674673050602742</v>
      </c>
    </row>
    <row r="29" spans="1:15" x14ac:dyDescent="0.2">
      <c r="A29" s="37"/>
      <c r="B29" s="55">
        <v>36</v>
      </c>
      <c r="C29" s="56" t="s">
        <v>39</v>
      </c>
      <c r="D29" s="57">
        <f>'Headloss Calcs'!$A$55</f>
        <v>35</v>
      </c>
      <c r="E29" s="53">
        <f t="shared" si="9"/>
        <v>54.156763715587246</v>
      </c>
      <c r="F29" s="38">
        <f>'Headloss Calcs'!$H$18</f>
        <v>100</v>
      </c>
      <c r="G29" s="53">
        <f t="shared" si="10"/>
        <v>7.0686</v>
      </c>
      <c r="H29" s="53">
        <f t="shared" si="11"/>
        <v>9.4247999999999994</v>
      </c>
      <c r="I29" s="53">
        <f t="shared" si="12"/>
        <v>0.75</v>
      </c>
      <c r="J29" s="53">
        <f t="shared" si="13"/>
        <v>7.6615968813608415</v>
      </c>
      <c r="K29" s="53">
        <f t="shared" si="14"/>
        <v>0</v>
      </c>
      <c r="L29" s="53">
        <v>0.4</v>
      </c>
      <c r="M29" s="58">
        <f t="shared" si="15"/>
        <v>0.36459668802781475</v>
      </c>
      <c r="N29" s="58">
        <f t="shared" si="16"/>
        <v>0.36459668802781475</v>
      </c>
      <c r="O29" s="59">
        <f t="shared" si="17"/>
        <v>30.039269738630555</v>
      </c>
    </row>
    <row r="30" spans="1:15" x14ac:dyDescent="0.2">
      <c r="A30" s="37">
        <v>1320</v>
      </c>
      <c r="B30" s="55">
        <v>36</v>
      </c>
      <c r="C30" s="56" t="s">
        <v>23</v>
      </c>
      <c r="D30" s="57">
        <f>'Headloss Calcs'!$A$55</f>
        <v>35</v>
      </c>
      <c r="E30" s="53">
        <f t="shared" si="9"/>
        <v>54.156763715587246</v>
      </c>
      <c r="F30" s="38">
        <f>'Headloss Calcs'!$H$18</f>
        <v>100</v>
      </c>
      <c r="G30" s="53">
        <f t="shared" si="10"/>
        <v>7.0686</v>
      </c>
      <c r="H30" s="53">
        <f t="shared" si="11"/>
        <v>9.4247999999999994</v>
      </c>
      <c r="I30" s="53">
        <f t="shared" si="12"/>
        <v>0.75</v>
      </c>
      <c r="J30" s="53">
        <f t="shared" si="13"/>
        <v>7.6615968813608415</v>
      </c>
      <c r="K30" s="53">
        <f t="shared" si="14"/>
        <v>9.557344052842085</v>
      </c>
      <c r="L30" s="53"/>
      <c r="M30" s="58">
        <f t="shared" si="15"/>
        <v>0</v>
      </c>
      <c r="N30" s="58">
        <f t="shared" si="16"/>
        <v>9.557344052842085</v>
      </c>
      <c r="O30" s="59">
        <f t="shared" si="17"/>
        <v>39.596613791472642</v>
      </c>
    </row>
    <row r="31" spans="1:15" x14ac:dyDescent="0.2">
      <c r="A31" s="37"/>
      <c r="B31" s="55">
        <v>36</v>
      </c>
      <c r="C31" s="56" t="s">
        <v>48</v>
      </c>
      <c r="D31" s="57">
        <f>'Headloss Calcs'!$A$55</f>
        <v>35</v>
      </c>
      <c r="E31" s="53">
        <f t="shared" si="9"/>
        <v>54.156763715587246</v>
      </c>
      <c r="F31" s="38">
        <f>'Headloss Calcs'!$H$18</f>
        <v>100</v>
      </c>
      <c r="G31" s="53">
        <f t="shared" si="10"/>
        <v>7.0686</v>
      </c>
      <c r="H31" s="53">
        <f t="shared" si="11"/>
        <v>9.4247999999999994</v>
      </c>
      <c r="I31" s="53">
        <f t="shared" si="12"/>
        <v>0.75</v>
      </c>
      <c r="J31" s="53">
        <f t="shared" si="13"/>
        <v>7.6615968813608415</v>
      </c>
      <c r="K31" s="53">
        <f t="shared" si="14"/>
        <v>0</v>
      </c>
      <c r="L31" s="53">
        <v>0.4</v>
      </c>
      <c r="M31" s="58">
        <f t="shared" si="15"/>
        <v>0.36459668802781475</v>
      </c>
      <c r="N31" s="58">
        <f t="shared" si="16"/>
        <v>0.36459668802781475</v>
      </c>
      <c r="O31" s="59">
        <f t="shared" si="17"/>
        <v>39.961210479500458</v>
      </c>
    </row>
    <row r="32" spans="1:15" x14ac:dyDescent="0.2">
      <c r="A32" s="37">
        <v>1320</v>
      </c>
      <c r="B32" s="55">
        <v>36</v>
      </c>
      <c r="C32" s="56" t="s">
        <v>23</v>
      </c>
      <c r="D32" s="57">
        <f>'Headloss Calcs'!$A$55</f>
        <v>35</v>
      </c>
      <c r="E32" s="53">
        <f t="shared" si="9"/>
        <v>54.156763715587246</v>
      </c>
      <c r="F32" s="38">
        <f>'Headloss Calcs'!$H$18</f>
        <v>100</v>
      </c>
      <c r="G32" s="53">
        <f t="shared" si="10"/>
        <v>7.0686</v>
      </c>
      <c r="H32" s="53">
        <f t="shared" si="11"/>
        <v>9.4247999999999994</v>
      </c>
      <c r="I32" s="53">
        <f t="shared" si="12"/>
        <v>0.75</v>
      </c>
      <c r="J32" s="53">
        <f t="shared" si="13"/>
        <v>7.6615968813608415</v>
      </c>
      <c r="K32" s="53">
        <f t="shared" si="14"/>
        <v>9.557344052842085</v>
      </c>
      <c r="L32" s="53"/>
      <c r="M32" s="58">
        <f t="shared" si="15"/>
        <v>0</v>
      </c>
      <c r="N32" s="58">
        <f t="shared" si="16"/>
        <v>9.557344052842085</v>
      </c>
      <c r="O32" s="59">
        <f t="shared" si="17"/>
        <v>49.518554532342542</v>
      </c>
    </row>
    <row r="33" spans="1:15" x14ac:dyDescent="0.2">
      <c r="A33" s="37"/>
      <c r="B33" s="55">
        <v>36</v>
      </c>
      <c r="C33" s="56" t="s">
        <v>39</v>
      </c>
      <c r="D33" s="57">
        <f>'Headloss Calcs'!$A$55</f>
        <v>35</v>
      </c>
      <c r="E33" s="53">
        <f t="shared" si="9"/>
        <v>54.156763715587246</v>
      </c>
      <c r="F33" s="38">
        <f>'Headloss Calcs'!$H$18</f>
        <v>100</v>
      </c>
      <c r="G33" s="53">
        <f t="shared" si="10"/>
        <v>7.0686</v>
      </c>
      <c r="H33" s="53">
        <f t="shared" si="11"/>
        <v>9.4247999999999994</v>
      </c>
      <c r="I33" s="53">
        <f t="shared" si="12"/>
        <v>0.75</v>
      </c>
      <c r="J33" s="53">
        <f t="shared" si="13"/>
        <v>7.6615968813608415</v>
      </c>
      <c r="K33" s="53">
        <f t="shared" si="14"/>
        <v>0</v>
      </c>
      <c r="L33" s="53">
        <v>0.4</v>
      </c>
      <c r="M33" s="58">
        <f t="shared" si="15"/>
        <v>0.36459668802781475</v>
      </c>
      <c r="N33" s="58">
        <f t="shared" si="16"/>
        <v>0.36459668802781475</v>
      </c>
      <c r="O33" s="59">
        <f t="shared" si="17"/>
        <v>49.883151220370358</v>
      </c>
    </row>
    <row r="34" spans="1:15" x14ac:dyDescent="0.2">
      <c r="A34" s="37">
        <v>1320</v>
      </c>
      <c r="B34" s="55">
        <v>36</v>
      </c>
      <c r="C34" s="56" t="s">
        <v>23</v>
      </c>
      <c r="D34" s="57">
        <f>'Headloss Calcs'!$A$55</f>
        <v>35</v>
      </c>
      <c r="E34" s="53">
        <f t="shared" si="9"/>
        <v>54.156763715587246</v>
      </c>
      <c r="F34" s="38">
        <f>'Headloss Calcs'!$H$18</f>
        <v>100</v>
      </c>
      <c r="G34" s="53">
        <f t="shared" si="10"/>
        <v>7.0686</v>
      </c>
      <c r="H34" s="53">
        <f t="shared" si="11"/>
        <v>9.4247999999999994</v>
      </c>
      <c r="I34" s="53">
        <f t="shared" si="12"/>
        <v>0.75</v>
      </c>
      <c r="J34" s="53">
        <f t="shared" si="13"/>
        <v>7.6615968813608415</v>
      </c>
      <c r="K34" s="53">
        <f t="shared" si="14"/>
        <v>9.557344052842085</v>
      </c>
      <c r="L34" s="53"/>
      <c r="M34" s="58">
        <f t="shared" si="15"/>
        <v>0</v>
      </c>
      <c r="N34" s="58">
        <f t="shared" si="16"/>
        <v>9.557344052842085</v>
      </c>
      <c r="O34" s="59">
        <f t="shared" si="17"/>
        <v>59.440495273212441</v>
      </c>
    </row>
    <row r="35" spans="1:15" x14ac:dyDescent="0.2">
      <c r="A35" s="37"/>
      <c r="B35" s="55">
        <v>36</v>
      </c>
      <c r="C35" s="56" t="s">
        <v>45</v>
      </c>
      <c r="D35" s="57">
        <f>'Headloss Calcs'!$A$55</f>
        <v>35</v>
      </c>
      <c r="E35" s="53">
        <f t="shared" si="9"/>
        <v>54.156763715587246</v>
      </c>
      <c r="F35" s="38">
        <f>'Headloss Calcs'!$H$18</f>
        <v>100</v>
      </c>
      <c r="G35" s="53">
        <f t="shared" si="10"/>
        <v>7.0686</v>
      </c>
      <c r="H35" s="53">
        <f t="shared" si="11"/>
        <v>9.4247999999999994</v>
      </c>
      <c r="I35" s="53">
        <f t="shared" si="12"/>
        <v>0.75</v>
      </c>
      <c r="J35" s="53">
        <f t="shared" si="13"/>
        <v>7.6615968813608415</v>
      </c>
      <c r="K35" s="53">
        <f t="shared" si="14"/>
        <v>0</v>
      </c>
      <c r="L35" s="53">
        <v>0.2</v>
      </c>
      <c r="M35" s="58">
        <f t="shared" si="15"/>
        <v>0.18229834401390738</v>
      </c>
      <c r="N35" s="58">
        <f t="shared" si="16"/>
        <v>0.18229834401390738</v>
      </c>
      <c r="O35" s="59">
        <f t="shared" si="17"/>
        <v>59.62279361722635</v>
      </c>
    </row>
    <row r="36" spans="1:15" x14ac:dyDescent="0.2">
      <c r="A36" s="37">
        <v>1320</v>
      </c>
      <c r="B36" s="55">
        <v>36</v>
      </c>
      <c r="C36" s="56" t="s">
        <v>23</v>
      </c>
      <c r="D36" s="57">
        <f>'Headloss Calcs'!$A$55</f>
        <v>35</v>
      </c>
      <c r="E36" s="53">
        <f t="shared" si="9"/>
        <v>54.156763715587246</v>
      </c>
      <c r="F36" s="38">
        <f>'Headloss Calcs'!$H$18</f>
        <v>100</v>
      </c>
      <c r="G36" s="53">
        <f t="shared" si="10"/>
        <v>7.0686</v>
      </c>
      <c r="H36" s="53">
        <f t="shared" si="11"/>
        <v>9.4247999999999994</v>
      </c>
      <c r="I36" s="53">
        <f t="shared" si="12"/>
        <v>0.75</v>
      </c>
      <c r="J36" s="53">
        <f t="shared" si="13"/>
        <v>7.6615968813608415</v>
      </c>
      <c r="K36" s="53">
        <f t="shared" si="14"/>
        <v>9.557344052842085</v>
      </c>
      <c r="L36" s="53"/>
      <c r="M36" s="58">
        <f t="shared" si="15"/>
        <v>0</v>
      </c>
      <c r="N36" s="58">
        <f t="shared" si="16"/>
        <v>9.557344052842085</v>
      </c>
      <c r="O36" s="59">
        <f t="shared" si="17"/>
        <v>69.180137670068433</v>
      </c>
    </row>
    <row r="37" spans="1:15" ht="12" customHeight="1" x14ac:dyDescent="0.2">
      <c r="A37" s="37"/>
      <c r="B37" s="55">
        <v>36</v>
      </c>
      <c r="C37" s="56" t="s">
        <v>44</v>
      </c>
      <c r="D37" s="57">
        <f>'Headloss Calcs'!$A$55</f>
        <v>35</v>
      </c>
      <c r="E37" s="53">
        <f t="shared" si="9"/>
        <v>54.156763715587246</v>
      </c>
      <c r="F37" s="38">
        <f>'Headloss Calcs'!$H$18</f>
        <v>100</v>
      </c>
      <c r="G37" s="53">
        <f t="shared" si="10"/>
        <v>7.0686</v>
      </c>
      <c r="H37" s="53">
        <f t="shared" si="11"/>
        <v>9.4247999999999994</v>
      </c>
      <c r="I37" s="53">
        <f t="shared" si="12"/>
        <v>0.75</v>
      </c>
      <c r="J37" s="53">
        <f t="shared" si="13"/>
        <v>7.6615968813608415</v>
      </c>
      <c r="K37" s="53">
        <f t="shared" si="14"/>
        <v>0</v>
      </c>
      <c r="L37" s="53">
        <v>1</v>
      </c>
      <c r="M37" s="58">
        <f t="shared" si="15"/>
        <v>0.91149172006953683</v>
      </c>
      <c r="N37" s="58">
        <f t="shared" si="16"/>
        <v>0.91149172006953683</v>
      </c>
      <c r="O37" s="59">
        <f t="shared" si="17"/>
        <v>70.091629390137967</v>
      </c>
    </row>
    <row r="38" spans="1:15" ht="13.5" thickBot="1" x14ac:dyDescent="0.25">
      <c r="A38" s="39"/>
      <c r="B38" s="40"/>
      <c r="C38" s="41"/>
      <c r="D38" s="40"/>
      <c r="E38" s="42"/>
      <c r="F38" s="40"/>
      <c r="G38" s="54"/>
      <c r="H38" s="54"/>
      <c r="I38" s="54"/>
      <c r="J38" s="54"/>
      <c r="K38" s="54"/>
      <c r="L38" s="54"/>
      <c r="M38" s="60"/>
      <c r="N38" s="60" t="s">
        <v>40</v>
      </c>
      <c r="O38" s="61">
        <f>O37</f>
        <v>70.091629390137967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50"/>
  <sheetViews>
    <sheetView topLeftCell="A16" workbookViewId="0">
      <selection activeCell="C39" sqref="C39"/>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Calcs'!$A$56</f>
        <v>36</v>
      </c>
      <c r="E3" s="53">
        <f t="shared" ref="E3:E18" si="0">D3*1000000/(7.48*24*60*60)</f>
        <v>55.70409982174688</v>
      </c>
      <c r="F3" s="38">
        <f>'Headloss Calcs'!$E$18</f>
        <v>140</v>
      </c>
      <c r="G3" s="53">
        <f t="shared" ref="G3:G18" si="1">3.1416/4*(B3/12)^2</f>
        <v>7.0686</v>
      </c>
      <c r="H3" s="53">
        <f t="shared" ref="H3:H18" si="2">3.1416*(B3/12)</f>
        <v>9.4247999999999994</v>
      </c>
      <c r="I3" s="53">
        <f t="shared" ref="I3:I18" si="3">G3/H3</f>
        <v>0.75</v>
      </c>
      <c r="J3" s="53">
        <f t="shared" ref="J3:J18" si="4">E3/G3</f>
        <v>7.8804996493997228</v>
      </c>
      <c r="K3" s="53">
        <f t="shared" ref="K3:K18" si="5">(J3/(1.318*F3*I3^0.63))^1.85*A3</f>
        <v>0</v>
      </c>
      <c r="L3" s="53">
        <v>0.25</v>
      </c>
      <c r="M3" s="58">
        <f t="shared" ref="M3:M18" si="6">L3*(J3^2)/(2*32.2)</f>
        <v>0.2410802590224734</v>
      </c>
      <c r="N3" s="58">
        <f t="shared" ref="N3:N18" si="7">K3+M3</f>
        <v>0.2410802590224734</v>
      </c>
      <c r="O3" s="59">
        <f>N3</f>
        <v>0.2410802590224734</v>
      </c>
    </row>
    <row r="4" spans="1:15" x14ac:dyDescent="0.2">
      <c r="A4" s="37"/>
      <c r="B4" s="55">
        <v>36</v>
      </c>
      <c r="C4" s="56" t="s">
        <v>47</v>
      </c>
      <c r="D4" s="57">
        <f>'Headloss Calcs'!$A$56</f>
        <v>36</v>
      </c>
      <c r="E4" s="53">
        <f t="shared" si="0"/>
        <v>55.70409982174688</v>
      </c>
      <c r="F4" s="38">
        <f>'Headloss Calcs'!$E$18</f>
        <v>140</v>
      </c>
      <c r="G4" s="53">
        <f t="shared" si="1"/>
        <v>7.0686</v>
      </c>
      <c r="H4" s="53">
        <f t="shared" si="2"/>
        <v>9.4247999999999994</v>
      </c>
      <c r="I4" s="53">
        <f t="shared" si="3"/>
        <v>0.75</v>
      </c>
      <c r="J4" s="53">
        <f t="shared" si="4"/>
        <v>7.8804996493997228</v>
      </c>
      <c r="K4" s="53">
        <f t="shared" si="5"/>
        <v>0</v>
      </c>
      <c r="L4" s="53">
        <v>0.25</v>
      </c>
      <c r="M4" s="58">
        <f t="shared" si="6"/>
        <v>0.2410802590224734</v>
      </c>
      <c r="N4" s="58">
        <f t="shared" si="7"/>
        <v>0.2410802590224734</v>
      </c>
      <c r="O4" s="59">
        <f t="shared" ref="O4:O18" si="8">N4+O3</f>
        <v>0.48216051804494681</v>
      </c>
    </row>
    <row r="5" spans="1:15" x14ac:dyDescent="0.2">
      <c r="A5" s="37">
        <v>1320</v>
      </c>
      <c r="B5" s="55">
        <v>36</v>
      </c>
      <c r="C5" s="56" t="s">
        <v>23</v>
      </c>
      <c r="D5" s="57">
        <f>'Headloss Calcs'!$A$56</f>
        <v>36</v>
      </c>
      <c r="E5" s="53">
        <f t="shared" si="0"/>
        <v>55.70409982174688</v>
      </c>
      <c r="F5" s="38">
        <f>'Headloss Calcs'!$E$18</f>
        <v>140</v>
      </c>
      <c r="G5" s="53">
        <f t="shared" si="1"/>
        <v>7.0686</v>
      </c>
      <c r="H5" s="53">
        <f t="shared" si="2"/>
        <v>9.4247999999999994</v>
      </c>
      <c r="I5" s="53">
        <f t="shared" si="3"/>
        <v>0.75</v>
      </c>
      <c r="J5" s="53">
        <f t="shared" si="4"/>
        <v>7.8804996493997228</v>
      </c>
      <c r="K5" s="53">
        <f t="shared" si="5"/>
        <v>5.40298919131678</v>
      </c>
      <c r="L5" s="53"/>
      <c r="M5" s="58">
        <f t="shared" si="6"/>
        <v>0</v>
      </c>
      <c r="N5" s="58">
        <f t="shared" si="7"/>
        <v>5.40298919131678</v>
      </c>
      <c r="O5" s="59">
        <f t="shared" si="8"/>
        <v>5.8851497093617269</v>
      </c>
    </row>
    <row r="6" spans="1:15" x14ac:dyDescent="0.2">
      <c r="A6" s="37"/>
      <c r="B6" s="55">
        <v>36</v>
      </c>
      <c r="C6" s="56" t="s">
        <v>45</v>
      </c>
      <c r="D6" s="57">
        <f>'Headloss Calcs'!$A$56</f>
        <v>36</v>
      </c>
      <c r="E6" s="53">
        <f t="shared" si="0"/>
        <v>55.70409982174688</v>
      </c>
      <c r="F6" s="38">
        <f>'Headloss Calcs'!$E$18</f>
        <v>140</v>
      </c>
      <c r="G6" s="53">
        <f t="shared" si="1"/>
        <v>7.0686</v>
      </c>
      <c r="H6" s="53">
        <f t="shared" si="2"/>
        <v>9.4247999999999994</v>
      </c>
      <c r="I6" s="53">
        <f t="shared" si="3"/>
        <v>0.75</v>
      </c>
      <c r="J6" s="53">
        <f t="shared" si="4"/>
        <v>7.8804996493997228</v>
      </c>
      <c r="K6" s="53">
        <f t="shared" si="5"/>
        <v>0</v>
      </c>
      <c r="L6" s="53">
        <v>0.2</v>
      </c>
      <c r="M6" s="58">
        <f t="shared" si="6"/>
        <v>0.19286420721797873</v>
      </c>
      <c r="N6" s="58">
        <f t="shared" si="7"/>
        <v>0.19286420721797873</v>
      </c>
      <c r="O6" s="59">
        <f t="shared" si="8"/>
        <v>6.0780139165797058</v>
      </c>
    </row>
    <row r="7" spans="1:15" x14ac:dyDescent="0.2">
      <c r="A7" s="37">
        <v>1320</v>
      </c>
      <c r="B7" s="55">
        <v>36</v>
      </c>
      <c r="C7" s="69" t="s">
        <v>23</v>
      </c>
      <c r="D7" s="57">
        <f>'Headloss Calcs'!$A$56</f>
        <v>36</v>
      </c>
      <c r="E7" s="53">
        <f t="shared" si="0"/>
        <v>55.70409982174688</v>
      </c>
      <c r="F7" s="38">
        <f>'Headloss Calcs'!$E$18</f>
        <v>140</v>
      </c>
      <c r="G7" s="53">
        <f t="shared" si="1"/>
        <v>7.0686</v>
      </c>
      <c r="H7" s="53">
        <f t="shared" si="2"/>
        <v>9.4247999999999994</v>
      </c>
      <c r="I7" s="53">
        <f t="shared" si="3"/>
        <v>0.75</v>
      </c>
      <c r="J7" s="53">
        <f t="shared" si="4"/>
        <v>7.8804996493997228</v>
      </c>
      <c r="K7" s="53">
        <f t="shared" si="5"/>
        <v>5.40298919131678</v>
      </c>
      <c r="L7" s="53"/>
      <c r="M7" s="58">
        <f t="shared" si="6"/>
        <v>0</v>
      </c>
      <c r="N7" s="58">
        <f t="shared" si="7"/>
        <v>5.40298919131678</v>
      </c>
      <c r="O7" s="59">
        <f t="shared" si="8"/>
        <v>11.481003107896486</v>
      </c>
    </row>
    <row r="8" spans="1:15" x14ac:dyDescent="0.2">
      <c r="A8" s="37"/>
      <c r="B8" s="55">
        <v>36</v>
      </c>
      <c r="C8" s="56" t="s">
        <v>39</v>
      </c>
      <c r="D8" s="57">
        <f>'Headloss Calcs'!$A$56</f>
        <v>36</v>
      </c>
      <c r="E8" s="53">
        <f t="shared" si="0"/>
        <v>55.70409982174688</v>
      </c>
      <c r="F8" s="38">
        <f>'Headloss Calcs'!$E$18</f>
        <v>140</v>
      </c>
      <c r="G8" s="53">
        <f t="shared" si="1"/>
        <v>7.0686</v>
      </c>
      <c r="H8" s="53">
        <f t="shared" si="2"/>
        <v>9.4247999999999994</v>
      </c>
      <c r="I8" s="53">
        <f t="shared" si="3"/>
        <v>0.75</v>
      </c>
      <c r="J8" s="53">
        <f t="shared" si="4"/>
        <v>7.8804996493997228</v>
      </c>
      <c r="K8" s="53">
        <f t="shared" si="5"/>
        <v>0</v>
      </c>
      <c r="L8" s="53">
        <v>0.4</v>
      </c>
      <c r="M8" s="58">
        <f t="shared" si="6"/>
        <v>0.38572841443595746</v>
      </c>
      <c r="N8" s="58">
        <f t="shared" si="7"/>
        <v>0.38572841443595746</v>
      </c>
      <c r="O8" s="59">
        <f t="shared" si="8"/>
        <v>11.866731522332444</v>
      </c>
    </row>
    <row r="9" spans="1:15" x14ac:dyDescent="0.2">
      <c r="A9" s="37">
        <v>1320</v>
      </c>
      <c r="B9" s="55">
        <v>36</v>
      </c>
      <c r="C9" s="56" t="s">
        <v>23</v>
      </c>
      <c r="D9" s="57">
        <f>'Headloss Calcs'!$A$56</f>
        <v>36</v>
      </c>
      <c r="E9" s="53">
        <f t="shared" si="0"/>
        <v>55.70409982174688</v>
      </c>
      <c r="F9" s="38">
        <f>'Headloss Calcs'!$E$18</f>
        <v>140</v>
      </c>
      <c r="G9" s="53">
        <f t="shared" si="1"/>
        <v>7.0686</v>
      </c>
      <c r="H9" s="53">
        <f t="shared" si="2"/>
        <v>9.4247999999999994</v>
      </c>
      <c r="I9" s="53">
        <f t="shared" si="3"/>
        <v>0.75</v>
      </c>
      <c r="J9" s="53">
        <f t="shared" si="4"/>
        <v>7.8804996493997228</v>
      </c>
      <c r="K9" s="53">
        <f t="shared" si="5"/>
        <v>5.40298919131678</v>
      </c>
      <c r="L9" s="53"/>
      <c r="M9" s="58">
        <f t="shared" si="6"/>
        <v>0</v>
      </c>
      <c r="N9" s="58">
        <f t="shared" si="7"/>
        <v>5.40298919131678</v>
      </c>
      <c r="O9" s="59">
        <f t="shared" si="8"/>
        <v>17.269720713649225</v>
      </c>
    </row>
    <row r="10" spans="1:15" x14ac:dyDescent="0.2">
      <c r="A10" s="37"/>
      <c r="B10" s="55">
        <v>36</v>
      </c>
      <c r="C10" s="56" t="s">
        <v>39</v>
      </c>
      <c r="D10" s="57">
        <f>'Headloss Calcs'!$A$56</f>
        <v>36</v>
      </c>
      <c r="E10" s="53">
        <f t="shared" si="0"/>
        <v>55.70409982174688</v>
      </c>
      <c r="F10" s="38">
        <f>'Headloss Calcs'!$E$18</f>
        <v>140</v>
      </c>
      <c r="G10" s="53">
        <f t="shared" si="1"/>
        <v>7.0686</v>
      </c>
      <c r="H10" s="53">
        <f t="shared" si="2"/>
        <v>9.4247999999999994</v>
      </c>
      <c r="I10" s="53">
        <f t="shared" si="3"/>
        <v>0.75</v>
      </c>
      <c r="J10" s="53">
        <f t="shared" si="4"/>
        <v>7.8804996493997228</v>
      </c>
      <c r="K10" s="53">
        <f t="shared" si="5"/>
        <v>0</v>
      </c>
      <c r="L10" s="53">
        <v>0.4</v>
      </c>
      <c r="M10" s="58">
        <f t="shared" si="6"/>
        <v>0.38572841443595746</v>
      </c>
      <c r="N10" s="58">
        <f t="shared" si="7"/>
        <v>0.38572841443595746</v>
      </c>
      <c r="O10" s="59">
        <f t="shared" si="8"/>
        <v>17.655449128085181</v>
      </c>
    </row>
    <row r="11" spans="1:15" x14ac:dyDescent="0.2">
      <c r="A11" s="37">
        <v>1320</v>
      </c>
      <c r="B11" s="55">
        <v>36</v>
      </c>
      <c r="C11" s="56" t="s">
        <v>23</v>
      </c>
      <c r="D11" s="57">
        <f>'Headloss Calcs'!$A$56</f>
        <v>36</v>
      </c>
      <c r="E11" s="53">
        <f t="shared" si="0"/>
        <v>55.70409982174688</v>
      </c>
      <c r="F11" s="38">
        <f>'Headloss Calcs'!$E$18</f>
        <v>140</v>
      </c>
      <c r="G11" s="53">
        <f t="shared" si="1"/>
        <v>7.0686</v>
      </c>
      <c r="H11" s="53">
        <f t="shared" si="2"/>
        <v>9.4247999999999994</v>
      </c>
      <c r="I11" s="53">
        <f t="shared" si="3"/>
        <v>0.75</v>
      </c>
      <c r="J11" s="53">
        <f t="shared" si="4"/>
        <v>7.8804996493997228</v>
      </c>
      <c r="K11" s="53">
        <f t="shared" si="5"/>
        <v>5.40298919131678</v>
      </c>
      <c r="L11" s="53"/>
      <c r="M11" s="58">
        <f t="shared" si="6"/>
        <v>0</v>
      </c>
      <c r="N11" s="58">
        <f t="shared" si="7"/>
        <v>5.40298919131678</v>
      </c>
      <c r="O11" s="59">
        <f t="shared" si="8"/>
        <v>23.058438319401962</v>
      </c>
    </row>
    <row r="12" spans="1:15" x14ac:dyDescent="0.2">
      <c r="A12" s="37"/>
      <c r="B12" s="55">
        <v>36</v>
      </c>
      <c r="C12" s="56" t="s">
        <v>48</v>
      </c>
      <c r="D12" s="57">
        <f>'Headloss Calcs'!$A$56</f>
        <v>36</v>
      </c>
      <c r="E12" s="53">
        <f t="shared" si="0"/>
        <v>55.70409982174688</v>
      </c>
      <c r="F12" s="38">
        <f>'Headloss Calcs'!$E$18</f>
        <v>140</v>
      </c>
      <c r="G12" s="53">
        <f t="shared" si="1"/>
        <v>7.0686</v>
      </c>
      <c r="H12" s="53">
        <f t="shared" si="2"/>
        <v>9.4247999999999994</v>
      </c>
      <c r="I12" s="53">
        <f t="shared" si="3"/>
        <v>0.75</v>
      </c>
      <c r="J12" s="53">
        <f t="shared" si="4"/>
        <v>7.8804996493997228</v>
      </c>
      <c r="K12" s="53">
        <f t="shared" si="5"/>
        <v>0</v>
      </c>
      <c r="L12" s="53">
        <v>0.4</v>
      </c>
      <c r="M12" s="58">
        <f t="shared" si="6"/>
        <v>0.38572841443595746</v>
      </c>
      <c r="N12" s="58">
        <f t="shared" si="7"/>
        <v>0.38572841443595746</v>
      </c>
      <c r="O12" s="59">
        <f t="shared" si="8"/>
        <v>23.444166733837918</v>
      </c>
    </row>
    <row r="13" spans="1:15" x14ac:dyDescent="0.2">
      <c r="A13" s="37">
        <v>1320</v>
      </c>
      <c r="B13" s="55">
        <v>36</v>
      </c>
      <c r="C13" s="56" t="s">
        <v>23</v>
      </c>
      <c r="D13" s="57">
        <f>'Headloss Calcs'!$A$56</f>
        <v>36</v>
      </c>
      <c r="E13" s="53">
        <f t="shared" si="0"/>
        <v>55.70409982174688</v>
      </c>
      <c r="F13" s="38">
        <f>'Headloss Calcs'!$E$18</f>
        <v>140</v>
      </c>
      <c r="G13" s="53">
        <f t="shared" si="1"/>
        <v>7.0686</v>
      </c>
      <c r="H13" s="53">
        <f t="shared" si="2"/>
        <v>9.4247999999999994</v>
      </c>
      <c r="I13" s="53">
        <f t="shared" si="3"/>
        <v>0.75</v>
      </c>
      <c r="J13" s="53">
        <f t="shared" si="4"/>
        <v>7.8804996493997228</v>
      </c>
      <c r="K13" s="53">
        <f t="shared" si="5"/>
        <v>5.40298919131678</v>
      </c>
      <c r="L13" s="53"/>
      <c r="M13" s="58">
        <f t="shared" si="6"/>
        <v>0</v>
      </c>
      <c r="N13" s="58">
        <f t="shared" si="7"/>
        <v>5.40298919131678</v>
      </c>
      <c r="O13" s="59">
        <f t="shared" si="8"/>
        <v>28.847155925154699</v>
      </c>
    </row>
    <row r="14" spans="1:15" x14ac:dyDescent="0.2">
      <c r="A14" s="37"/>
      <c r="B14" s="55">
        <v>36</v>
      </c>
      <c r="C14" s="56" t="s">
        <v>39</v>
      </c>
      <c r="D14" s="57">
        <f>'Headloss Calcs'!$A$56</f>
        <v>36</v>
      </c>
      <c r="E14" s="53">
        <f t="shared" si="0"/>
        <v>55.70409982174688</v>
      </c>
      <c r="F14" s="38">
        <f>'Headloss Calcs'!$E$18</f>
        <v>140</v>
      </c>
      <c r="G14" s="53">
        <f t="shared" si="1"/>
        <v>7.0686</v>
      </c>
      <c r="H14" s="53">
        <f t="shared" si="2"/>
        <v>9.4247999999999994</v>
      </c>
      <c r="I14" s="53">
        <f t="shared" si="3"/>
        <v>0.75</v>
      </c>
      <c r="J14" s="53">
        <f t="shared" si="4"/>
        <v>7.8804996493997228</v>
      </c>
      <c r="K14" s="53">
        <f t="shared" si="5"/>
        <v>0</v>
      </c>
      <c r="L14" s="53">
        <v>0.4</v>
      </c>
      <c r="M14" s="58">
        <f t="shared" si="6"/>
        <v>0.38572841443595746</v>
      </c>
      <c r="N14" s="58">
        <f t="shared" si="7"/>
        <v>0.38572841443595746</v>
      </c>
      <c r="O14" s="59">
        <f t="shared" si="8"/>
        <v>29.232884339590655</v>
      </c>
    </row>
    <row r="15" spans="1:15" x14ac:dyDescent="0.2">
      <c r="A15" s="37">
        <v>1320</v>
      </c>
      <c r="B15" s="55">
        <v>36</v>
      </c>
      <c r="C15" s="56" t="s">
        <v>23</v>
      </c>
      <c r="D15" s="57">
        <f>'Headloss Calcs'!$A$56</f>
        <v>36</v>
      </c>
      <c r="E15" s="53">
        <f t="shared" si="0"/>
        <v>55.70409982174688</v>
      </c>
      <c r="F15" s="38">
        <f>'Headloss Calcs'!$E$18</f>
        <v>140</v>
      </c>
      <c r="G15" s="53">
        <f t="shared" si="1"/>
        <v>7.0686</v>
      </c>
      <c r="H15" s="53">
        <f t="shared" si="2"/>
        <v>9.4247999999999994</v>
      </c>
      <c r="I15" s="53">
        <f t="shared" si="3"/>
        <v>0.75</v>
      </c>
      <c r="J15" s="53">
        <f t="shared" si="4"/>
        <v>7.8804996493997228</v>
      </c>
      <c r="K15" s="53">
        <f t="shared" si="5"/>
        <v>5.40298919131678</v>
      </c>
      <c r="L15" s="53"/>
      <c r="M15" s="58">
        <f t="shared" si="6"/>
        <v>0</v>
      </c>
      <c r="N15" s="58">
        <f t="shared" si="7"/>
        <v>5.40298919131678</v>
      </c>
      <c r="O15" s="59">
        <f t="shared" si="8"/>
        <v>34.635873530907432</v>
      </c>
    </row>
    <row r="16" spans="1:15" x14ac:dyDescent="0.2">
      <c r="A16" s="37"/>
      <c r="B16" s="55">
        <v>36</v>
      </c>
      <c r="C16" s="56" t="s">
        <v>45</v>
      </c>
      <c r="D16" s="57">
        <f>'Headloss Calcs'!$A$56</f>
        <v>36</v>
      </c>
      <c r="E16" s="53">
        <f t="shared" si="0"/>
        <v>55.70409982174688</v>
      </c>
      <c r="F16" s="38">
        <f>'Headloss Calcs'!$E$18</f>
        <v>140</v>
      </c>
      <c r="G16" s="53">
        <f t="shared" si="1"/>
        <v>7.0686</v>
      </c>
      <c r="H16" s="53">
        <f t="shared" si="2"/>
        <v>9.4247999999999994</v>
      </c>
      <c r="I16" s="53">
        <f t="shared" si="3"/>
        <v>0.75</v>
      </c>
      <c r="J16" s="53">
        <f t="shared" si="4"/>
        <v>7.8804996493997228</v>
      </c>
      <c r="K16" s="53">
        <f t="shared" si="5"/>
        <v>0</v>
      </c>
      <c r="L16" s="53">
        <v>0.2</v>
      </c>
      <c r="M16" s="58">
        <f t="shared" si="6"/>
        <v>0.19286420721797873</v>
      </c>
      <c r="N16" s="58">
        <f t="shared" si="7"/>
        <v>0.19286420721797873</v>
      </c>
      <c r="O16" s="59">
        <f t="shared" si="8"/>
        <v>34.828737738125412</v>
      </c>
    </row>
    <row r="17" spans="1:15" x14ac:dyDescent="0.2">
      <c r="A17" s="37">
        <v>1320</v>
      </c>
      <c r="B17" s="55">
        <v>36</v>
      </c>
      <c r="C17" s="56" t="s">
        <v>23</v>
      </c>
      <c r="D17" s="57">
        <f>'Headloss Calcs'!$A$56</f>
        <v>36</v>
      </c>
      <c r="E17" s="53">
        <f t="shared" si="0"/>
        <v>55.70409982174688</v>
      </c>
      <c r="F17" s="38">
        <f>'Headloss Calcs'!$E$18</f>
        <v>140</v>
      </c>
      <c r="G17" s="53">
        <f t="shared" si="1"/>
        <v>7.0686</v>
      </c>
      <c r="H17" s="53">
        <f t="shared" si="2"/>
        <v>9.4247999999999994</v>
      </c>
      <c r="I17" s="53">
        <f t="shared" si="3"/>
        <v>0.75</v>
      </c>
      <c r="J17" s="53">
        <f t="shared" si="4"/>
        <v>7.8804996493997228</v>
      </c>
      <c r="K17" s="53">
        <f t="shared" si="5"/>
        <v>5.40298919131678</v>
      </c>
      <c r="L17" s="53"/>
      <c r="M17" s="58">
        <f t="shared" si="6"/>
        <v>0</v>
      </c>
      <c r="N17" s="58">
        <f t="shared" si="7"/>
        <v>5.40298919131678</v>
      </c>
      <c r="O17" s="59">
        <f t="shared" si="8"/>
        <v>40.231726929442189</v>
      </c>
    </row>
    <row r="18" spans="1:15" ht="12" customHeight="1" x14ac:dyDescent="0.2">
      <c r="A18" s="37"/>
      <c r="B18" s="55">
        <v>36</v>
      </c>
      <c r="C18" s="56" t="s">
        <v>44</v>
      </c>
      <c r="D18" s="57">
        <f>'Headloss Calcs'!$A$56</f>
        <v>36</v>
      </c>
      <c r="E18" s="53">
        <f t="shared" si="0"/>
        <v>55.70409982174688</v>
      </c>
      <c r="F18" s="38">
        <f>'Headloss Calcs'!$E$18</f>
        <v>140</v>
      </c>
      <c r="G18" s="53">
        <f t="shared" si="1"/>
        <v>7.0686</v>
      </c>
      <c r="H18" s="53">
        <f t="shared" si="2"/>
        <v>9.4247999999999994</v>
      </c>
      <c r="I18" s="53">
        <f t="shared" si="3"/>
        <v>0.75</v>
      </c>
      <c r="J18" s="53">
        <f t="shared" si="4"/>
        <v>7.8804996493997228</v>
      </c>
      <c r="K18" s="53">
        <f t="shared" si="5"/>
        <v>0</v>
      </c>
      <c r="L18" s="53">
        <v>1</v>
      </c>
      <c r="M18" s="58">
        <f t="shared" si="6"/>
        <v>0.96432103608989361</v>
      </c>
      <c r="N18" s="58">
        <f t="shared" si="7"/>
        <v>0.96432103608989361</v>
      </c>
      <c r="O18" s="59">
        <f t="shared" si="8"/>
        <v>41.196047965532081</v>
      </c>
    </row>
    <row r="19" spans="1:15" ht="13.5" thickBot="1" x14ac:dyDescent="0.25">
      <c r="A19" s="39"/>
      <c r="B19" s="40"/>
      <c r="C19" s="41"/>
      <c r="D19" s="40"/>
      <c r="E19" s="42"/>
      <c r="F19" s="40"/>
      <c r="G19" s="54"/>
      <c r="H19" s="54"/>
      <c r="I19" s="54"/>
      <c r="J19" s="54"/>
      <c r="K19" s="54"/>
      <c r="L19" s="54"/>
      <c r="M19" s="60"/>
      <c r="N19" s="60" t="s">
        <v>40</v>
      </c>
      <c r="O19" s="61">
        <f>O18</f>
        <v>41.196047965532081</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Calcs'!$A$56</f>
        <v>36</v>
      </c>
      <c r="E22" s="53">
        <f t="shared" ref="E22:E37" si="9">D22*1000000/(7.48*24*60*60)</f>
        <v>55.70409982174688</v>
      </c>
      <c r="F22" s="38">
        <f>'Headloss Calcs'!$H$18</f>
        <v>100</v>
      </c>
      <c r="G22" s="53">
        <f t="shared" ref="G22:G37" si="10">3.1416/4*(B22/12)^2</f>
        <v>7.0686</v>
      </c>
      <c r="H22" s="53">
        <f t="shared" ref="H22:H37" si="11">3.1416*(B22/12)</f>
        <v>9.4247999999999994</v>
      </c>
      <c r="I22" s="53">
        <f t="shared" ref="I22:I37" si="12">G22/H22</f>
        <v>0.75</v>
      </c>
      <c r="J22" s="53">
        <f t="shared" ref="J22:J37" si="13">E22/G22</f>
        <v>7.8804996493997228</v>
      </c>
      <c r="K22" s="53">
        <f t="shared" ref="K22:K37" si="14">(J22/(1.318*F22*I22^0.63))^1.85*A22</f>
        <v>0</v>
      </c>
      <c r="L22" s="53">
        <v>0.25</v>
      </c>
      <c r="M22" s="58">
        <f t="shared" ref="M22:M37" si="15">L22*(J22^2)/(2*32.2)</f>
        <v>0.2410802590224734</v>
      </c>
      <c r="N22" s="58">
        <f t="shared" ref="N22:N37" si="16">K22+M22</f>
        <v>0.2410802590224734</v>
      </c>
      <c r="O22" s="59">
        <f>N22</f>
        <v>0.2410802590224734</v>
      </c>
    </row>
    <row r="23" spans="1:15" x14ac:dyDescent="0.2">
      <c r="A23" s="37"/>
      <c r="B23" s="55">
        <v>36</v>
      </c>
      <c r="C23" s="56" t="s">
        <v>47</v>
      </c>
      <c r="D23" s="57">
        <f>'Headloss Calcs'!$A$56</f>
        <v>36</v>
      </c>
      <c r="E23" s="53">
        <f t="shared" si="9"/>
        <v>55.70409982174688</v>
      </c>
      <c r="F23" s="38">
        <f>'Headloss Calcs'!$H$18</f>
        <v>100</v>
      </c>
      <c r="G23" s="53">
        <f t="shared" si="10"/>
        <v>7.0686</v>
      </c>
      <c r="H23" s="53">
        <f t="shared" si="11"/>
        <v>9.4247999999999994</v>
      </c>
      <c r="I23" s="53">
        <f t="shared" si="12"/>
        <v>0.75</v>
      </c>
      <c r="J23" s="53">
        <f t="shared" si="13"/>
        <v>7.8804996493997228</v>
      </c>
      <c r="K23" s="53">
        <f t="shared" si="14"/>
        <v>0</v>
      </c>
      <c r="L23" s="53">
        <v>0.25</v>
      </c>
      <c r="M23" s="58">
        <f t="shared" si="15"/>
        <v>0.2410802590224734</v>
      </c>
      <c r="N23" s="58">
        <f t="shared" si="16"/>
        <v>0.2410802590224734</v>
      </c>
      <c r="O23" s="59">
        <f t="shared" ref="O23:O37" si="17">N23+O22</f>
        <v>0.48216051804494681</v>
      </c>
    </row>
    <row r="24" spans="1:15" x14ac:dyDescent="0.2">
      <c r="A24" s="37">
        <v>1320</v>
      </c>
      <c r="B24" s="55">
        <v>36</v>
      </c>
      <c r="C24" s="56" t="s">
        <v>23</v>
      </c>
      <c r="D24" s="57">
        <f>'Headloss Calcs'!$A$56</f>
        <v>36</v>
      </c>
      <c r="E24" s="53">
        <f t="shared" si="9"/>
        <v>55.70409982174688</v>
      </c>
      <c r="F24" s="38">
        <f>'Headloss Calcs'!$H$18</f>
        <v>100</v>
      </c>
      <c r="G24" s="53">
        <f t="shared" si="10"/>
        <v>7.0686</v>
      </c>
      <c r="H24" s="53">
        <f t="shared" si="11"/>
        <v>9.4247999999999994</v>
      </c>
      <c r="I24" s="53">
        <f t="shared" si="12"/>
        <v>0.75</v>
      </c>
      <c r="J24" s="53">
        <f t="shared" si="13"/>
        <v>7.8804996493997228</v>
      </c>
      <c r="K24" s="53">
        <f t="shared" si="14"/>
        <v>10.068643515168805</v>
      </c>
      <c r="L24" s="53"/>
      <c r="M24" s="58">
        <f t="shared" si="15"/>
        <v>0</v>
      </c>
      <c r="N24" s="58">
        <f t="shared" si="16"/>
        <v>10.068643515168805</v>
      </c>
      <c r="O24" s="59">
        <f t="shared" si="17"/>
        <v>10.550804033213751</v>
      </c>
    </row>
    <row r="25" spans="1:15" x14ac:dyDescent="0.2">
      <c r="A25" s="37"/>
      <c r="B25" s="55">
        <v>36</v>
      </c>
      <c r="C25" s="56" t="s">
        <v>45</v>
      </c>
      <c r="D25" s="57">
        <f>'Headloss Calcs'!$A$56</f>
        <v>36</v>
      </c>
      <c r="E25" s="53">
        <f t="shared" si="9"/>
        <v>55.70409982174688</v>
      </c>
      <c r="F25" s="38">
        <f>'Headloss Calcs'!$H$18</f>
        <v>100</v>
      </c>
      <c r="G25" s="53">
        <f t="shared" si="10"/>
        <v>7.0686</v>
      </c>
      <c r="H25" s="53">
        <f t="shared" si="11"/>
        <v>9.4247999999999994</v>
      </c>
      <c r="I25" s="53">
        <f t="shared" si="12"/>
        <v>0.75</v>
      </c>
      <c r="J25" s="53">
        <f t="shared" si="13"/>
        <v>7.8804996493997228</v>
      </c>
      <c r="K25" s="53">
        <f t="shared" si="14"/>
        <v>0</v>
      </c>
      <c r="L25" s="53">
        <v>0.2</v>
      </c>
      <c r="M25" s="58">
        <f t="shared" si="15"/>
        <v>0.19286420721797873</v>
      </c>
      <c r="N25" s="58">
        <f t="shared" si="16"/>
        <v>0.19286420721797873</v>
      </c>
      <c r="O25" s="59">
        <f t="shared" si="17"/>
        <v>10.743668240431729</v>
      </c>
    </row>
    <row r="26" spans="1:15" x14ac:dyDescent="0.2">
      <c r="A26" s="37">
        <v>1320</v>
      </c>
      <c r="B26" s="55">
        <v>36</v>
      </c>
      <c r="C26" s="69" t="s">
        <v>23</v>
      </c>
      <c r="D26" s="57">
        <f>'Headloss Calcs'!$A$56</f>
        <v>36</v>
      </c>
      <c r="E26" s="53">
        <f t="shared" si="9"/>
        <v>55.70409982174688</v>
      </c>
      <c r="F26" s="38">
        <f>'Headloss Calcs'!$H$18</f>
        <v>100</v>
      </c>
      <c r="G26" s="53">
        <f t="shared" si="10"/>
        <v>7.0686</v>
      </c>
      <c r="H26" s="53">
        <f t="shared" si="11"/>
        <v>9.4247999999999994</v>
      </c>
      <c r="I26" s="53">
        <f t="shared" si="12"/>
        <v>0.75</v>
      </c>
      <c r="J26" s="53">
        <f t="shared" si="13"/>
        <v>7.8804996493997228</v>
      </c>
      <c r="K26" s="53">
        <f t="shared" si="14"/>
        <v>10.068643515168805</v>
      </c>
      <c r="L26" s="53"/>
      <c r="M26" s="58">
        <f t="shared" si="15"/>
        <v>0</v>
      </c>
      <c r="N26" s="58">
        <f t="shared" si="16"/>
        <v>10.068643515168805</v>
      </c>
      <c r="O26" s="59">
        <f t="shared" si="17"/>
        <v>20.812311755600533</v>
      </c>
    </row>
    <row r="27" spans="1:15" x14ac:dyDescent="0.2">
      <c r="A27" s="37"/>
      <c r="B27" s="55">
        <v>36</v>
      </c>
      <c r="C27" s="56" t="s">
        <v>39</v>
      </c>
      <c r="D27" s="57">
        <f>'Headloss Calcs'!$A$56</f>
        <v>36</v>
      </c>
      <c r="E27" s="53">
        <f t="shared" si="9"/>
        <v>55.70409982174688</v>
      </c>
      <c r="F27" s="38">
        <f>'Headloss Calcs'!$H$18</f>
        <v>100</v>
      </c>
      <c r="G27" s="53">
        <f t="shared" si="10"/>
        <v>7.0686</v>
      </c>
      <c r="H27" s="53">
        <f t="shared" si="11"/>
        <v>9.4247999999999994</v>
      </c>
      <c r="I27" s="53">
        <f t="shared" si="12"/>
        <v>0.75</v>
      </c>
      <c r="J27" s="53">
        <f t="shared" si="13"/>
        <v>7.8804996493997228</v>
      </c>
      <c r="K27" s="53">
        <f t="shared" si="14"/>
        <v>0</v>
      </c>
      <c r="L27" s="53">
        <v>0.4</v>
      </c>
      <c r="M27" s="58">
        <f t="shared" si="15"/>
        <v>0.38572841443595746</v>
      </c>
      <c r="N27" s="58">
        <f t="shared" si="16"/>
        <v>0.38572841443595746</v>
      </c>
      <c r="O27" s="59">
        <f t="shared" si="17"/>
        <v>21.198040170036489</v>
      </c>
    </row>
    <row r="28" spans="1:15" x14ac:dyDescent="0.2">
      <c r="A28" s="37">
        <v>1320</v>
      </c>
      <c r="B28" s="55">
        <v>36</v>
      </c>
      <c r="C28" s="56" t="s">
        <v>23</v>
      </c>
      <c r="D28" s="57">
        <f>'Headloss Calcs'!$A$56</f>
        <v>36</v>
      </c>
      <c r="E28" s="53">
        <f t="shared" si="9"/>
        <v>55.70409982174688</v>
      </c>
      <c r="F28" s="38">
        <f>'Headloss Calcs'!$H$18</f>
        <v>100</v>
      </c>
      <c r="G28" s="53">
        <f t="shared" si="10"/>
        <v>7.0686</v>
      </c>
      <c r="H28" s="53">
        <f t="shared" si="11"/>
        <v>9.4247999999999994</v>
      </c>
      <c r="I28" s="53">
        <f t="shared" si="12"/>
        <v>0.75</v>
      </c>
      <c r="J28" s="53">
        <f t="shared" si="13"/>
        <v>7.8804996493997228</v>
      </c>
      <c r="K28" s="53">
        <f t="shared" si="14"/>
        <v>10.068643515168805</v>
      </c>
      <c r="L28" s="53"/>
      <c r="M28" s="58">
        <f t="shared" si="15"/>
        <v>0</v>
      </c>
      <c r="N28" s="58">
        <f t="shared" si="16"/>
        <v>10.068643515168805</v>
      </c>
      <c r="O28" s="59">
        <f t="shared" si="17"/>
        <v>31.266683685205294</v>
      </c>
    </row>
    <row r="29" spans="1:15" x14ac:dyDescent="0.2">
      <c r="A29" s="37"/>
      <c r="B29" s="55">
        <v>36</v>
      </c>
      <c r="C29" s="56" t="s">
        <v>39</v>
      </c>
      <c r="D29" s="57">
        <f>'Headloss Calcs'!$A$56</f>
        <v>36</v>
      </c>
      <c r="E29" s="53">
        <f t="shared" si="9"/>
        <v>55.70409982174688</v>
      </c>
      <c r="F29" s="38">
        <f>'Headloss Calcs'!$H$18</f>
        <v>100</v>
      </c>
      <c r="G29" s="53">
        <f t="shared" si="10"/>
        <v>7.0686</v>
      </c>
      <c r="H29" s="53">
        <f t="shared" si="11"/>
        <v>9.4247999999999994</v>
      </c>
      <c r="I29" s="53">
        <f t="shared" si="12"/>
        <v>0.75</v>
      </c>
      <c r="J29" s="53">
        <f t="shared" si="13"/>
        <v>7.8804996493997228</v>
      </c>
      <c r="K29" s="53">
        <f t="shared" si="14"/>
        <v>0</v>
      </c>
      <c r="L29" s="53">
        <v>0.4</v>
      </c>
      <c r="M29" s="58">
        <f t="shared" si="15"/>
        <v>0.38572841443595746</v>
      </c>
      <c r="N29" s="58">
        <f t="shared" si="16"/>
        <v>0.38572841443595746</v>
      </c>
      <c r="O29" s="59">
        <f t="shared" si="17"/>
        <v>31.65241209964125</v>
      </c>
    </row>
    <row r="30" spans="1:15" x14ac:dyDescent="0.2">
      <c r="A30" s="37">
        <v>1320</v>
      </c>
      <c r="B30" s="55">
        <v>36</v>
      </c>
      <c r="C30" s="56" t="s">
        <v>23</v>
      </c>
      <c r="D30" s="57">
        <f>'Headloss Calcs'!$A$56</f>
        <v>36</v>
      </c>
      <c r="E30" s="53">
        <f t="shared" si="9"/>
        <v>55.70409982174688</v>
      </c>
      <c r="F30" s="38">
        <f>'Headloss Calcs'!$H$18</f>
        <v>100</v>
      </c>
      <c r="G30" s="53">
        <f t="shared" si="10"/>
        <v>7.0686</v>
      </c>
      <c r="H30" s="53">
        <f t="shared" si="11"/>
        <v>9.4247999999999994</v>
      </c>
      <c r="I30" s="53">
        <f t="shared" si="12"/>
        <v>0.75</v>
      </c>
      <c r="J30" s="53">
        <f t="shared" si="13"/>
        <v>7.8804996493997228</v>
      </c>
      <c r="K30" s="53">
        <f t="shared" si="14"/>
        <v>10.068643515168805</v>
      </c>
      <c r="L30" s="53"/>
      <c r="M30" s="58">
        <f t="shared" si="15"/>
        <v>0</v>
      </c>
      <c r="N30" s="58">
        <f t="shared" si="16"/>
        <v>10.068643515168805</v>
      </c>
      <c r="O30" s="59">
        <f t="shared" si="17"/>
        <v>41.721055614810055</v>
      </c>
    </row>
    <row r="31" spans="1:15" x14ac:dyDescent="0.2">
      <c r="A31" s="37"/>
      <c r="B31" s="55">
        <v>36</v>
      </c>
      <c r="C31" s="56" t="s">
        <v>48</v>
      </c>
      <c r="D31" s="57">
        <f>'Headloss Calcs'!$A$56</f>
        <v>36</v>
      </c>
      <c r="E31" s="53">
        <f t="shared" si="9"/>
        <v>55.70409982174688</v>
      </c>
      <c r="F31" s="38">
        <f>'Headloss Calcs'!$H$18</f>
        <v>100</v>
      </c>
      <c r="G31" s="53">
        <f t="shared" si="10"/>
        <v>7.0686</v>
      </c>
      <c r="H31" s="53">
        <f t="shared" si="11"/>
        <v>9.4247999999999994</v>
      </c>
      <c r="I31" s="53">
        <f t="shared" si="12"/>
        <v>0.75</v>
      </c>
      <c r="J31" s="53">
        <f t="shared" si="13"/>
        <v>7.8804996493997228</v>
      </c>
      <c r="K31" s="53">
        <f t="shared" si="14"/>
        <v>0</v>
      </c>
      <c r="L31" s="53">
        <v>0.4</v>
      </c>
      <c r="M31" s="58">
        <f t="shared" si="15"/>
        <v>0.38572841443595746</v>
      </c>
      <c r="N31" s="58">
        <f t="shared" si="16"/>
        <v>0.38572841443595746</v>
      </c>
      <c r="O31" s="59">
        <f t="shared" si="17"/>
        <v>42.106784029246015</v>
      </c>
    </row>
    <row r="32" spans="1:15" x14ac:dyDescent="0.2">
      <c r="A32" s="37">
        <v>1320</v>
      </c>
      <c r="B32" s="55">
        <v>36</v>
      </c>
      <c r="C32" s="56" t="s">
        <v>23</v>
      </c>
      <c r="D32" s="57">
        <f>'Headloss Calcs'!$A$56</f>
        <v>36</v>
      </c>
      <c r="E32" s="53">
        <f t="shared" si="9"/>
        <v>55.70409982174688</v>
      </c>
      <c r="F32" s="38">
        <f>'Headloss Calcs'!$H$18</f>
        <v>100</v>
      </c>
      <c r="G32" s="53">
        <f t="shared" si="10"/>
        <v>7.0686</v>
      </c>
      <c r="H32" s="53">
        <f t="shared" si="11"/>
        <v>9.4247999999999994</v>
      </c>
      <c r="I32" s="53">
        <f t="shared" si="12"/>
        <v>0.75</v>
      </c>
      <c r="J32" s="53">
        <f t="shared" si="13"/>
        <v>7.8804996493997228</v>
      </c>
      <c r="K32" s="53">
        <f t="shared" si="14"/>
        <v>10.068643515168805</v>
      </c>
      <c r="L32" s="53"/>
      <c r="M32" s="58">
        <f t="shared" si="15"/>
        <v>0</v>
      </c>
      <c r="N32" s="58">
        <f t="shared" si="16"/>
        <v>10.068643515168805</v>
      </c>
      <c r="O32" s="59">
        <f t="shared" si="17"/>
        <v>52.175427544414816</v>
      </c>
    </row>
    <row r="33" spans="1:15" x14ac:dyDescent="0.2">
      <c r="A33" s="37"/>
      <c r="B33" s="55">
        <v>36</v>
      </c>
      <c r="C33" s="56" t="s">
        <v>39</v>
      </c>
      <c r="D33" s="57">
        <f>'Headloss Calcs'!$A$56</f>
        <v>36</v>
      </c>
      <c r="E33" s="53">
        <f t="shared" si="9"/>
        <v>55.70409982174688</v>
      </c>
      <c r="F33" s="38">
        <f>'Headloss Calcs'!$H$18</f>
        <v>100</v>
      </c>
      <c r="G33" s="53">
        <f t="shared" si="10"/>
        <v>7.0686</v>
      </c>
      <c r="H33" s="53">
        <f t="shared" si="11"/>
        <v>9.4247999999999994</v>
      </c>
      <c r="I33" s="53">
        <f t="shared" si="12"/>
        <v>0.75</v>
      </c>
      <c r="J33" s="53">
        <f t="shared" si="13"/>
        <v>7.8804996493997228</v>
      </c>
      <c r="K33" s="53">
        <f t="shared" si="14"/>
        <v>0</v>
      </c>
      <c r="L33" s="53">
        <v>0.4</v>
      </c>
      <c r="M33" s="58">
        <f t="shared" si="15"/>
        <v>0.38572841443595746</v>
      </c>
      <c r="N33" s="58">
        <f t="shared" si="16"/>
        <v>0.38572841443595746</v>
      </c>
      <c r="O33" s="59">
        <f t="shared" si="17"/>
        <v>52.561155958850776</v>
      </c>
    </row>
    <row r="34" spans="1:15" x14ac:dyDescent="0.2">
      <c r="A34" s="37">
        <v>1320</v>
      </c>
      <c r="B34" s="55">
        <v>36</v>
      </c>
      <c r="C34" s="56" t="s">
        <v>23</v>
      </c>
      <c r="D34" s="57">
        <f>'Headloss Calcs'!$A$56</f>
        <v>36</v>
      </c>
      <c r="E34" s="53">
        <f t="shared" si="9"/>
        <v>55.70409982174688</v>
      </c>
      <c r="F34" s="38">
        <f>'Headloss Calcs'!$H$18</f>
        <v>100</v>
      </c>
      <c r="G34" s="53">
        <f t="shared" si="10"/>
        <v>7.0686</v>
      </c>
      <c r="H34" s="53">
        <f t="shared" si="11"/>
        <v>9.4247999999999994</v>
      </c>
      <c r="I34" s="53">
        <f t="shared" si="12"/>
        <v>0.75</v>
      </c>
      <c r="J34" s="53">
        <f t="shared" si="13"/>
        <v>7.8804996493997228</v>
      </c>
      <c r="K34" s="53">
        <f t="shared" si="14"/>
        <v>10.068643515168805</v>
      </c>
      <c r="L34" s="53"/>
      <c r="M34" s="58">
        <f t="shared" si="15"/>
        <v>0</v>
      </c>
      <c r="N34" s="58">
        <f t="shared" si="16"/>
        <v>10.068643515168805</v>
      </c>
      <c r="O34" s="59">
        <f t="shared" si="17"/>
        <v>62.629799474019578</v>
      </c>
    </row>
    <row r="35" spans="1:15" x14ac:dyDescent="0.2">
      <c r="A35" s="37"/>
      <c r="B35" s="55">
        <v>36</v>
      </c>
      <c r="C35" s="56" t="s">
        <v>45</v>
      </c>
      <c r="D35" s="57">
        <f>'Headloss Calcs'!$A$56</f>
        <v>36</v>
      </c>
      <c r="E35" s="53">
        <f t="shared" si="9"/>
        <v>55.70409982174688</v>
      </c>
      <c r="F35" s="38">
        <f>'Headloss Calcs'!$H$18</f>
        <v>100</v>
      </c>
      <c r="G35" s="53">
        <f t="shared" si="10"/>
        <v>7.0686</v>
      </c>
      <c r="H35" s="53">
        <f t="shared" si="11"/>
        <v>9.4247999999999994</v>
      </c>
      <c r="I35" s="53">
        <f t="shared" si="12"/>
        <v>0.75</v>
      </c>
      <c r="J35" s="53">
        <f t="shared" si="13"/>
        <v>7.8804996493997228</v>
      </c>
      <c r="K35" s="53">
        <f t="shared" si="14"/>
        <v>0</v>
      </c>
      <c r="L35" s="53">
        <v>0.2</v>
      </c>
      <c r="M35" s="58">
        <f t="shared" si="15"/>
        <v>0.19286420721797873</v>
      </c>
      <c r="N35" s="58">
        <f t="shared" si="16"/>
        <v>0.19286420721797873</v>
      </c>
      <c r="O35" s="59">
        <f t="shared" si="17"/>
        <v>62.822663681237557</v>
      </c>
    </row>
    <row r="36" spans="1:15" x14ac:dyDescent="0.2">
      <c r="A36" s="37">
        <v>1320</v>
      </c>
      <c r="B36" s="55">
        <v>36</v>
      </c>
      <c r="C36" s="56" t="s">
        <v>23</v>
      </c>
      <c r="D36" s="57">
        <f>'Headloss Calcs'!$A$56</f>
        <v>36</v>
      </c>
      <c r="E36" s="53">
        <f t="shared" si="9"/>
        <v>55.70409982174688</v>
      </c>
      <c r="F36" s="38">
        <f>'Headloss Calcs'!$H$18</f>
        <v>100</v>
      </c>
      <c r="G36" s="53">
        <f t="shared" si="10"/>
        <v>7.0686</v>
      </c>
      <c r="H36" s="53">
        <f t="shared" si="11"/>
        <v>9.4247999999999994</v>
      </c>
      <c r="I36" s="53">
        <f t="shared" si="12"/>
        <v>0.75</v>
      </c>
      <c r="J36" s="53">
        <f t="shared" si="13"/>
        <v>7.8804996493997228</v>
      </c>
      <c r="K36" s="53">
        <f t="shared" si="14"/>
        <v>10.068643515168805</v>
      </c>
      <c r="L36" s="53"/>
      <c r="M36" s="58">
        <f t="shared" si="15"/>
        <v>0</v>
      </c>
      <c r="N36" s="58">
        <f t="shared" si="16"/>
        <v>10.068643515168805</v>
      </c>
      <c r="O36" s="59">
        <f t="shared" si="17"/>
        <v>72.891307196406359</v>
      </c>
    </row>
    <row r="37" spans="1:15" ht="12" customHeight="1" x14ac:dyDescent="0.2">
      <c r="A37" s="37"/>
      <c r="B37" s="55">
        <v>36</v>
      </c>
      <c r="C37" s="56" t="s">
        <v>44</v>
      </c>
      <c r="D37" s="57">
        <f>'Headloss Calcs'!$A$56</f>
        <v>36</v>
      </c>
      <c r="E37" s="53">
        <f t="shared" si="9"/>
        <v>55.70409982174688</v>
      </c>
      <c r="F37" s="38">
        <f>'Headloss Calcs'!$H$18</f>
        <v>100</v>
      </c>
      <c r="G37" s="53">
        <f t="shared" si="10"/>
        <v>7.0686</v>
      </c>
      <c r="H37" s="53">
        <f t="shared" si="11"/>
        <v>9.4247999999999994</v>
      </c>
      <c r="I37" s="53">
        <f t="shared" si="12"/>
        <v>0.75</v>
      </c>
      <c r="J37" s="53">
        <f t="shared" si="13"/>
        <v>7.8804996493997228</v>
      </c>
      <c r="K37" s="53">
        <f t="shared" si="14"/>
        <v>0</v>
      </c>
      <c r="L37" s="53">
        <v>1</v>
      </c>
      <c r="M37" s="58">
        <f t="shared" si="15"/>
        <v>0.96432103608989361</v>
      </c>
      <c r="N37" s="58">
        <f t="shared" si="16"/>
        <v>0.96432103608989361</v>
      </c>
      <c r="O37" s="59">
        <f t="shared" si="17"/>
        <v>73.855628232496258</v>
      </c>
    </row>
    <row r="38" spans="1:15" ht="13.5" thickBot="1" x14ac:dyDescent="0.25">
      <c r="A38" s="39"/>
      <c r="B38" s="40"/>
      <c r="C38" s="41"/>
      <c r="D38" s="40"/>
      <c r="E38" s="42"/>
      <c r="F38" s="40"/>
      <c r="G38" s="54"/>
      <c r="H38" s="54"/>
      <c r="I38" s="54"/>
      <c r="J38" s="54"/>
      <c r="K38" s="54"/>
      <c r="L38" s="54"/>
      <c r="M38" s="60"/>
      <c r="N38" s="60" t="s">
        <v>40</v>
      </c>
      <c r="O38" s="61">
        <f>O37</f>
        <v>73.855628232496258</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0"/>
  <sheetViews>
    <sheetView topLeftCell="C1" workbookViewId="0">
      <selection activeCell="A2" sqref="A2:O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Calcs'!$A$21</f>
        <v>1</v>
      </c>
      <c r="E3" s="53">
        <f t="shared" ref="E3:E18" si="0">D3*1000000/(7.48*24*60*60)</f>
        <v>1.5473361061596356</v>
      </c>
      <c r="F3" s="38">
        <f>'Headloss Calcs'!$E$18</f>
        <v>140</v>
      </c>
      <c r="G3" s="53">
        <f>3.1416/4*(B3/12)^2</f>
        <v>7.0686</v>
      </c>
      <c r="H3" s="53">
        <f>3.1416*(B3/12)</f>
        <v>9.4247999999999994</v>
      </c>
      <c r="I3" s="53">
        <f>G3/H3</f>
        <v>0.75</v>
      </c>
      <c r="J3" s="53">
        <f>E3/G3</f>
        <v>0.2189027680388812</v>
      </c>
      <c r="K3" s="53">
        <f>(J3/(1.318*F3*I3^0.63))^1.85*A3</f>
        <v>0</v>
      </c>
      <c r="L3" s="53">
        <v>0.25</v>
      </c>
      <c r="M3" s="58">
        <f>L3*(J3^2)/(2*32.2)</f>
        <v>1.8601871838153813E-4</v>
      </c>
      <c r="N3" s="58">
        <f>K3+M3</f>
        <v>1.8601871838153813E-4</v>
      </c>
      <c r="O3" s="59">
        <f>N3</f>
        <v>1.8601871838153813E-4</v>
      </c>
    </row>
    <row r="4" spans="1:15" x14ac:dyDescent="0.2">
      <c r="A4" s="37"/>
      <c r="B4" s="55">
        <v>36</v>
      </c>
      <c r="C4" s="56" t="s">
        <v>47</v>
      </c>
      <c r="D4" s="57">
        <f>'Headloss Calcs'!$A$21</f>
        <v>1</v>
      </c>
      <c r="E4" s="53">
        <f t="shared" si="0"/>
        <v>1.5473361061596356</v>
      </c>
      <c r="F4" s="38">
        <f>'Headloss Calcs'!$E$18</f>
        <v>140</v>
      </c>
      <c r="G4" s="53">
        <f t="shared" ref="G4:G18" si="1">3.1416/4*(B4/12)^2</f>
        <v>7.0686</v>
      </c>
      <c r="H4" s="53">
        <f t="shared" ref="H4:H18" si="2">3.1416*(B4/12)</f>
        <v>9.4247999999999994</v>
      </c>
      <c r="I4" s="53">
        <f t="shared" ref="I4:I18" si="3">G4/H4</f>
        <v>0.75</v>
      </c>
      <c r="J4" s="53">
        <f t="shared" ref="J4:J18" si="4">E4/G4</f>
        <v>0.2189027680388812</v>
      </c>
      <c r="K4" s="53">
        <f t="shared" ref="K4:K18" si="5">(J4/(1.318*F4*I4^0.63))^1.85*A4</f>
        <v>0</v>
      </c>
      <c r="L4" s="53">
        <v>0.25</v>
      </c>
      <c r="M4" s="58">
        <f t="shared" ref="M4:M18" si="6">L4*(J4^2)/(2*32.2)</f>
        <v>1.8601871838153813E-4</v>
      </c>
      <c r="N4" s="58">
        <f t="shared" ref="N4:N18" si="7">K4+M4</f>
        <v>1.8601871838153813E-4</v>
      </c>
      <c r="O4" s="59">
        <f>N4+O3</f>
        <v>3.7203743676307626E-4</v>
      </c>
    </row>
    <row r="5" spans="1:15" x14ac:dyDescent="0.2">
      <c r="A5" s="37">
        <v>1320</v>
      </c>
      <c r="B5" s="55">
        <v>36</v>
      </c>
      <c r="C5" s="56" t="s">
        <v>23</v>
      </c>
      <c r="D5" s="57">
        <f>'Headloss Calcs'!$A$21</f>
        <v>1</v>
      </c>
      <c r="E5" s="53">
        <f t="shared" si="0"/>
        <v>1.5473361061596356</v>
      </c>
      <c r="F5" s="38">
        <f>'Headloss Calcs'!$E$18</f>
        <v>140</v>
      </c>
      <c r="G5" s="53">
        <f t="shared" si="1"/>
        <v>7.0686</v>
      </c>
      <c r="H5" s="53">
        <f t="shared" si="2"/>
        <v>9.4247999999999994</v>
      </c>
      <c r="I5" s="53">
        <f t="shared" si="3"/>
        <v>0.75</v>
      </c>
      <c r="J5" s="53">
        <f t="shared" si="4"/>
        <v>0.2189027680388812</v>
      </c>
      <c r="K5" s="53">
        <f t="shared" si="5"/>
        <v>7.1363225682195015E-3</v>
      </c>
      <c r="L5" s="53"/>
      <c r="M5" s="58">
        <f t="shared" si="6"/>
        <v>0</v>
      </c>
      <c r="N5" s="58">
        <f t="shared" si="7"/>
        <v>7.1363225682195015E-3</v>
      </c>
      <c r="O5" s="59">
        <f t="shared" ref="O5:O18" si="8">N5+O4</f>
        <v>7.5083600049825781E-3</v>
      </c>
    </row>
    <row r="6" spans="1:15" x14ac:dyDescent="0.2">
      <c r="A6" s="37"/>
      <c r="B6" s="55">
        <v>36</v>
      </c>
      <c r="C6" s="56" t="s">
        <v>45</v>
      </c>
      <c r="D6" s="57">
        <f>'Headloss Calcs'!$A$21</f>
        <v>1</v>
      </c>
      <c r="E6" s="53">
        <f t="shared" si="0"/>
        <v>1.5473361061596356</v>
      </c>
      <c r="F6" s="38">
        <f>'Headloss Calcs'!$E$18</f>
        <v>140</v>
      </c>
      <c r="G6" s="53">
        <f t="shared" si="1"/>
        <v>7.0686</v>
      </c>
      <c r="H6" s="53">
        <f t="shared" si="2"/>
        <v>9.4247999999999994</v>
      </c>
      <c r="I6" s="53">
        <f t="shared" si="3"/>
        <v>0.75</v>
      </c>
      <c r="J6" s="53">
        <f t="shared" si="4"/>
        <v>0.2189027680388812</v>
      </c>
      <c r="K6" s="53">
        <f t="shared" si="5"/>
        <v>0</v>
      </c>
      <c r="L6" s="53">
        <v>0.2</v>
      </c>
      <c r="M6" s="58">
        <f t="shared" si="6"/>
        <v>1.4881497470523052E-4</v>
      </c>
      <c r="N6" s="58">
        <f t="shared" si="7"/>
        <v>1.4881497470523052E-4</v>
      </c>
      <c r="O6" s="59">
        <f t="shared" si="8"/>
        <v>7.6571749796878084E-3</v>
      </c>
    </row>
    <row r="7" spans="1:15" x14ac:dyDescent="0.2">
      <c r="A7" s="37">
        <v>1320</v>
      </c>
      <c r="B7" s="55">
        <v>36</v>
      </c>
      <c r="C7" s="69" t="s">
        <v>23</v>
      </c>
      <c r="D7" s="57">
        <f>'Headloss Calcs'!$A$21</f>
        <v>1</v>
      </c>
      <c r="E7" s="53">
        <f t="shared" si="0"/>
        <v>1.5473361061596356</v>
      </c>
      <c r="F7" s="38">
        <f>'Headloss Calcs'!$E$18</f>
        <v>140</v>
      </c>
      <c r="G7" s="53">
        <f t="shared" si="1"/>
        <v>7.0686</v>
      </c>
      <c r="H7" s="53">
        <f t="shared" si="2"/>
        <v>9.4247999999999994</v>
      </c>
      <c r="I7" s="53">
        <f t="shared" si="3"/>
        <v>0.75</v>
      </c>
      <c r="J7" s="53">
        <f t="shared" si="4"/>
        <v>0.2189027680388812</v>
      </c>
      <c r="K7" s="53">
        <f t="shared" si="5"/>
        <v>7.1363225682195015E-3</v>
      </c>
      <c r="L7" s="53"/>
      <c r="M7" s="58">
        <f t="shared" si="6"/>
        <v>0</v>
      </c>
      <c r="N7" s="58">
        <f t="shared" si="7"/>
        <v>7.1363225682195015E-3</v>
      </c>
      <c r="O7" s="59">
        <f t="shared" si="8"/>
        <v>1.4793497547907309E-2</v>
      </c>
    </row>
    <row r="8" spans="1:15" x14ac:dyDescent="0.2">
      <c r="A8" s="37"/>
      <c r="B8" s="55">
        <v>36</v>
      </c>
      <c r="C8" s="56" t="s">
        <v>39</v>
      </c>
      <c r="D8" s="57">
        <v>1</v>
      </c>
      <c r="E8" s="53">
        <f t="shared" si="0"/>
        <v>1.5473361061596356</v>
      </c>
      <c r="F8" s="38">
        <f>'Headloss Calcs'!$E$18</f>
        <v>140</v>
      </c>
      <c r="G8" s="53">
        <f t="shared" si="1"/>
        <v>7.0686</v>
      </c>
      <c r="H8" s="53">
        <f t="shared" si="2"/>
        <v>9.4247999999999994</v>
      </c>
      <c r="I8" s="53">
        <f t="shared" si="3"/>
        <v>0.75</v>
      </c>
      <c r="J8" s="53">
        <f t="shared" si="4"/>
        <v>0.2189027680388812</v>
      </c>
      <c r="K8" s="53">
        <f t="shared" si="5"/>
        <v>0</v>
      </c>
      <c r="L8" s="53">
        <v>0.4</v>
      </c>
      <c r="M8" s="58">
        <f t="shared" si="6"/>
        <v>2.9762994941046105E-4</v>
      </c>
      <c r="N8" s="58">
        <f t="shared" si="7"/>
        <v>2.9762994941046105E-4</v>
      </c>
      <c r="O8" s="59">
        <f t="shared" si="8"/>
        <v>1.509112749731777E-2</v>
      </c>
    </row>
    <row r="9" spans="1:15" x14ac:dyDescent="0.2">
      <c r="A9" s="37">
        <v>1320</v>
      </c>
      <c r="B9" s="55">
        <v>36</v>
      </c>
      <c r="C9" s="56" t="s">
        <v>23</v>
      </c>
      <c r="D9" s="57">
        <v>1</v>
      </c>
      <c r="E9" s="53">
        <f t="shared" si="0"/>
        <v>1.5473361061596356</v>
      </c>
      <c r="F9" s="38">
        <f>'Headloss Calcs'!$E$18</f>
        <v>140</v>
      </c>
      <c r="G9" s="53">
        <f t="shared" si="1"/>
        <v>7.0686</v>
      </c>
      <c r="H9" s="53">
        <f t="shared" si="2"/>
        <v>9.4247999999999994</v>
      </c>
      <c r="I9" s="53">
        <f t="shared" si="3"/>
        <v>0.75</v>
      </c>
      <c r="J9" s="53">
        <f t="shared" si="4"/>
        <v>0.2189027680388812</v>
      </c>
      <c r="K9" s="53">
        <f t="shared" si="5"/>
        <v>7.1363225682195015E-3</v>
      </c>
      <c r="L9" s="53"/>
      <c r="M9" s="58">
        <f t="shared" si="6"/>
        <v>0</v>
      </c>
      <c r="N9" s="58">
        <f t="shared" si="7"/>
        <v>7.1363225682195015E-3</v>
      </c>
      <c r="O9" s="59">
        <f t="shared" si="8"/>
        <v>2.2227450065537273E-2</v>
      </c>
    </row>
    <row r="10" spans="1:15" x14ac:dyDescent="0.2">
      <c r="A10" s="37"/>
      <c r="B10" s="55">
        <v>36</v>
      </c>
      <c r="C10" s="56" t="s">
        <v>39</v>
      </c>
      <c r="D10" s="57">
        <v>1</v>
      </c>
      <c r="E10" s="53">
        <f t="shared" si="0"/>
        <v>1.5473361061596356</v>
      </c>
      <c r="F10" s="38">
        <f>'Headloss Calcs'!$E$18</f>
        <v>140</v>
      </c>
      <c r="G10" s="53">
        <f t="shared" si="1"/>
        <v>7.0686</v>
      </c>
      <c r="H10" s="53">
        <f t="shared" si="2"/>
        <v>9.4247999999999994</v>
      </c>
      <c r="I10" s="53">
        <f t="shared" si="3"/>
        <v>0.75</v>
      </c>
      <c r="J10" s="53">
        <f t="shared" si="4"/>
        <v>0.2189027680388812</v>
      </c>
      <c r="K10" s="53">
        <f t="shared" si="5"/>
        <v>0</v>
      </c>
      <c r="L10" s="53">
        <v>0.4</v>
      </c>
      <c r="M10" s="58">
        <f t="shared" si="6"/>
        <v>2.9762994941046105E-4</v>
      </c>
      <c r="N10" s="58">
        <f t="shared" si="7"/>
        <v>2.9762994941046105E-4</v>
      </c>
      <c r="O10" s="59">
        <f t="shared" si="8"/>
        <v>2.2525080014947733E-2</v>
      </c>
    </row>
    <row r="11" spans="1:15" x14ac:dyDescent="0.2">
      <c r="A11" s="37">
        <v>1320</v>
      </c>
      <c r="B11" s="55">
        <v>36</v>
      </c>
      <c r="C11" s="56" t="s">
        <v>23</v>
      </c>
      <c r="D11" s="57">
        <v>1</v>
      </c>
      <c r="E11" s="53">
        <f t="shared" si="0"/>
        <v>1.5473361061596356</v>
      </c>
      <c r="F11" s="38">
        <f>'Headloss Calcs'!$E$18</f>
        <v>140</v>
      </c>
      <c r="G11" s="53">
        <f t="shared" si="1"/>
        <v>7.0686</v>
      </c>
      <c r="H11" s="53">
        <f t="shared" si="2"/>
        <v>9.4247999999999994</v>
      </c>
      <c r="I11" s="53">
        <f t="shared" si="3"/>
        <v>0.75</v>
      </c>
      <c r="J11" s="53">
        <f t="shared" si="4"/>
        <v>0.2189027680388812</v>
      </c>
      <c r="K11" s="53">
        <f t="shared" si="5"/>
        <v>7.1363225682195015E-3</v>
      </c>
      <c r="L11" s="53"/>
      <c r="M11" s="58">
        <f t="shared" si="6"/>
        <v>0</v>
      </c>
      <c r="N11" s="58">
        <f t="shared" si="7"/>
        <v>7.1363225682195015E-3</v>
      </c>
      <c r="O11" s="59">
        <f t="shared" si="8"/>
        <v>2.9661402583167233E-2</v>
      </c>
    </row>
    <row r="12" spans="1:15" x14ac:dyDescent="0.2">
      <c r="A12" s="37"/>
      <c r="B12" s="55">
        <v>36</v>
      </c>
      <c r="C12" s="56" t="s">
        <v>48</v>
      </c>
      <c r="D12" s="57">
        <v>1</v>
      </c>
      <c r="E12" s="53">
        <f t="shared" si="0"/>
        <v>1.5473361061596356</v>
      </c>
      <c r="F12" s="38">
        <f>'Headloss Calcs'!$E$18</f>
        <v>140</v>
      </c>
      <c r="G12" s="53">
        <f t="shared" si="1"/>
        <v>7.0686</v>
      </c>
      <c r="H12" s="53">
        <f t="shared" si="2"/>
        <v>9.4247999999999994</v>
      </c>
      <c r="I12" s="53">
        <f t="shared" si="3"/>
        <v>0.75</v>
      </c>
      <c r="J12" s="53">
        <f t="shared" si="4"/>
        <v>0.2189027680388812</v>
      </c>
      <c r="K12" s="53">
        <f t="shared" si="5"/>
        <v>0</v>
      </c>
      <c r="L12" s="53">
        <v>0.4</v>
      </c>
      <c r="M12" s="58">
        <f t="shared" si="6"/>
        <v>2.9762994941046105E-4</v>
      </c>
      <c r="N12" s="58">
        <f t="shared" si="7"/>
        <v>2.9762994941046105E-4</v>
      </c>
      <c r="O12" s="59">
        <f t="shared" si="8"/>
        <v>2.9959032532577694E-2</v>
      </c>
    </row>
    <row r="13" spans="1:15" x14ac:dyDescent="0.2">
      <c r="A13" s="37">
        <v>1320</v>
      </c>
      <c r="B13" s="55">
        <v>36</v>
      </c>
      <c r="C13" s="56" t="s">
        <v>23</v>
      </c>
      <c r="D13" s="57">
        <v>1</v>
      </c>
      <c r="E13" s="53">
        <f t="shared" si="0"/>
        <v>1.5473361061596356</v>
      </c>
      <c r="F13" s="38">
        <f>'Headloss Calcs'!$E$18</f>
        <v>140</v>
      </c>
      <c r="G13" s="53">
        <f t="shared" si="1"/>
        <v>7.0686</v>
      </c>
      <c r="H13" s="53">
        <f t="shared" si="2"/>
        <v>9.4247999999999994</v>
      </c>
      <c r="I13" s="53">
        <f t="shared" si="3"/>
        <v>0.75</v>
      </c>
      <c r="J13" s="53">
        <f t="shared" si="4"/>
        <v>0.2189027680388812</v>
      </c>
      <c r="K13" s="53">
        <f t="shared" si="5"/>
        <v>7.1363225682195015E-3</v>
      </c>
      <c r="L13" s="53"/>
      <c r="M13" s="58">
        <f t="shared" si="6"/>
        <v>0</v>
      </c>
      <c r="N13" s="58">
        <f t="shared" si="7"/>
        <v>7.1363225682195015E-3</v>
      </c>
      <c r="O13" s="59">
        <f t="shared" si="8"/>
        <v>3.7095355100797194E-2</v>
      </c>
    </row>
    <row r="14" spans="1:15" x14ac:dyDescent="0.2">
      <c r="A14" s="37"/>
      <c r="B14" s="55">
        <v>36</v>
      </c>
      <c r="C14" s="56" t="s">
        <v>39</v>
      </c>
      <c r="D14" s="57">
        <v>1</v>
      </c>
      <c r="E14" s="53">
        <f t="shared" si="0"/>
        <v>1.5473361061596356</v>
      </c>
      <c r="F14" s="38">
        <f>'Headloss Calcs'!$E$18</f>
        <v>140</v>
      </c>
      <c r="G14" s="53">
        <f t="shared" si="1"/>
        <v>7.0686</v>
      </c>
      <c r="H14" s="53">
        <f t="shared" si="2"/>
        <v>9.4247999999999994</v>
      </c>
      <c r="I14" s="53">
        <f t="shared" si="3"/>
        <v>0.75</v>
      </c>
      <c r="J14" s="53">
        <f t="shared" si="4"/>
        <v>0.2189027680388812</v>
      </c>
      <c r="K14" s="53">
        <f t="shared" si="5"/>
        <v>0</v>
      </c>
      <c r="L14" s="53">
        <v>0.4</v>
      </c>
      <c r="M14" s="58">
        <f t="shared" si="6"/>
        <v>2.9762994941046105E-4</v>
      </c>
      <c r="N14" s="58">
        <f t="shared" si="7"/>
        <v>2.9762994941046105E-4</v>
      </c>
      <c r="O14" s="59">
        <f t="shared" si="8"/>
        <v>3.7392985050207654E-2</v>
      </c>
    </row>
    <row r="15" spans="1:15" x14ac:dyDescent="0.2">
      <c r="A15" s="37">
        <v>1320</v>
      </c>
      <c r="B15" s="55">
        <v>36</v>
      </c>
      <c r="C15" s="56" t="s">
        <v>23</v>
      </c>
      <c r="D15" s="57">
        <v>1</v>
      </c>
      <c r="E15" s="53">
        <f t="shared" si="0"/>
        <v>1.5473361061596356</v>
      </c>
      <c r="F15" s="38">
        <f>'Headloss Calcs'!$E$18</f>
        <v>140</v>
      </c>
      <c r="G15" s="53">
        <f t="shared" si="1"/>
        <v>7.0686</v>
      </c>
      <c r="H15" s="53">
        <f t="shared" si="2"/>
        <v>9.4247999999999994</v>
      </c>
      <c r="I15" s="53">
        <f t="shared" si="3"/>
        <v>0.75</v>
      </c>
      <c r="J15" s="53">
        <f t="shared" si="4"/>
        <v>0.2189027680388812</v>
      </c>
      <c r="K15" s="53">
        <f t="shared" si="5"/>
        <v>7.1363225682195015E-3</v>
      </c>
      <c r="L15" s="53"/>
      <c r="M15" s="58">
        <f t="shared" si="6"/>
        <v>0</v>
      </c>
      <c r="N15" s="58">
        <f t="shared" si="7"/>
        <v>7.1363225682195015E-3</v>
      </c>
      <c r="O15" s="59">
        <f t="shared" si="8"/>
        <v>4.4529307618427154E-2</v>
      </c>
    </row>
    <row r="16" spans="1:15" x14ac:dyDescent="0.2">
      <c r="A16" s="37"/>
      <c r="B16" s="55">
        <v>36</v>
      </c>
      <c r="C16" s="56" t="s">
        <v>45</v>
      </c>
      <c r="D16" s="57">
        <v>1</v>
      </c>
      <c r="E16" s="53">
        <f t="shared" si="0"/>
        <v>1.5473361061596356</v>
      </c>
      <c r="F16" s="38">
        <f>'Headloss Calcs'!$E$18</f>
        <v>140</v>
      </c>
      <c r="G16" s="53">
        <f>3.1416/4*(B16/12)^2</f>
        <v>7.0686</v>
      </c>
      <c r="H16" s="53">
        <f>3.1416*(B16/12)</f>
        <v>9.4247999999999994</v>
      </c>
      <c r="I16" s="53">
        <f>G16/H16</f>
        <v>0.75</v>
      </c>
      <c r="J16" s="53">
        <f>E16/G16</f>
        <v>0.2189027680388812</v>
      </c>
      <c r="K16" s="53">
        <f>(J16/(1.318*F16*I16^0.63))^1.85*A16</f>
        <v>0</v>
      </c>
      <c r="L16" s="53">
        <v>0.2</v>
      </c>
      <c r="M16" s="58">
        <f>L16*(J16^2)/(2*32.2)</f>
        <v>1.4881497470523052E-4</v>
      </c>
      <c r="N16" s="58">
        <f>K16+M16</f>
        <v>1.4881497470523052E-4</v>
      </c>
      <c r="O16" s="59">
        <f t="shared" si="8"/>
        <v>4.4678122593132384E-2</v>
      </c>
    </row>
    <row r="17" spans="1:15" x14ac:dyDescent="0.2">
      <c r="A17" s="37">
        <v>1320</v>
      </c>
      <c r="B17" s="55">
        <v>36</v>
      </c>
      <c r="C17" s="56" t="s">
        <v>23</v>
      </c>
      <c r="D17" s="57">
        <v>1</v>
      </c>
      <c r="E17" s="53">
        <f t="shared" si="0"/>
        <v>1.5473361061596356</v>
      </c>
      <c r="F17" s="38">
        <f>'Headloss Calcs'!$E$18</f>
        <v>140</v>
      </c>
      <c r="G17" s="53">
        <f>3.1416/4*(B17/12)^2</f>
        <v>7.0686</v>
      </c>
      <c r="H17" s="53">
        <f>3.1416*(B17/12)</f>
        <v>9.4247999999999994</v>
      </c>
      <c r="I17" s="53">
        <f>G17/H17</f>
        <v>0.75</v>
      </c>
      <c r="J17" s="53">
        <f>E17/G17</f>
        <v>0.2189027680388812</v>
      </c>
      <c r="K17" s="53">
        <f>(J17/(1.318*F17*I17^0.63))^1.85*A17</f>
        <v>7.1363225682195015E-3</v>
      </c>
      <c r="L17" s="53"/>
      <c r="M17" s="58">
        <f>L17*(J17^2)/(2*32.2)</f>
        <v>0</v>
      </c>
      <c r="N17" s="58">
        <f>K17+M17</f>
        <v>7.1363225682195015E-3</v>
      </c>
      <c r="O17" s="59">
        <f t="shared" si="8"/>
        <v>5.1814445161351884E-2</v>
      </c>
    </row>
    <row r="18" spans="1:15" ht="12" customHeight="1" x14ac:dyDescent="0.2">
      <c r="A18" s="37"/>
      <c r="B18" s="55">
        <v>36</v>
      </c>
      <c r="C18" s="56" t="s">
        <v>44</v>
      </c>
      <c r="D18" s="57">
        <v>1</v>
      </c>
      <c r="E18" s="53">
        <f t="shared" si="0"/>
        <v>1.5473361061596356</v>
      </c>
      <c r="F18" s="38">
        <f>'Headloss Calcs'!$E$18</f>
        <v>140</v>
      </c>
      <c r="G18" s="53">
        <f t="shared" si="1"/>
        <v>7.0686</v>
      </c>
      <c r="H18" s="53">
        <f t="shared" si="2"/>
        <v>9.4247999999999994</v>
      </c>
      <c r="I18" s="53">
        <f t="shared" si="3"/>
        <v>0.75</v>
      </c>
      <c r="J18" s="53">
        <f t="shared" si="4"/>
        <v>0.2189027680388812</v>
      </c>
      <c r="K18" s="53">
        <f t="shared" si="5"/>
        <v>0</v>
      </c>
      <c r="L18" s="53">
        <v>1</v>
      </c>
      <c r="M18" s="58">
        <f t="shared" si="6"/>
        <v>7.4407487352615251E-4</v>
      </c>
      <c r="N18" s="58">
        <f t="shared" si="7"/>
        <v>7.4407487352615251E-4</v>
      </c>
      <c r="O18" s="59">
        <f t="shared" si="8"/>
        <v>5.2558520034878035E-2</v>
      </c>
    </row>
    <row r="19" spans="1:15" ht="13.5" thickBot="1" x14ac:dyDescent="0.25">
      <c r="A19" s="39"/>
      <c r="B19" s="40"/>
      <c r="C19" s="41"/>
      <c r="D19" s="40"/>
      <c r="E19" s="42"/>
      <c r="F19" s="40"/>
      <c r="G19" s="54"/>
      <c r="H19" s="54"/>
      <c r="I19" s="54"/>
      <c r="J19" s="54"/>
      <c r="K19" s="54"/>
      <c r="L19" s="54"/>
      <c r="M19" s="60"/>
      <c r="N19" s="60" t="s">
        <v>40</v>
      </c>
      <c r="O19" s="61">
        <f>O18</f>
        <v>5.2558520034878035E-2</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Calcs'!$A$21</f>
        <v>1</v>
      </c>
      <c r="E22" s="53">
        <f t="shared" ref="E22:E37" si="9">D22*1000000/(7.48*24*60*60)</f>
        <v>1.5473361061596356</v>
      </c>
      <c r="F22" s="38">
        <f>'Headloss Calcs'!$H$18</f>
        <v>100</v>
      </c>
      <c r="G22" s="53">
        <f>3.1416/4*(B22/12)^2</f>
        <v>7.0686</v>
      </c>
      <c r="H22" s="53">
        <f>3.1416*(B22/12)</f>
        <v>9.4247999999999994</v>
      </c>
      <c r="I22" s="53">
        <f>G22/H22</f>
        <v>0.75</v>
      </c>
      <c r="J22" s="53">
        <f>E22/G22</f>
        <v>0.2189027680388812</v>
      </c>
      <c r="K22" s="53">
        <f>(J22/(1.318*F22*I22^0.63))^1.85*A22</f>
        <v>0</v>
      </c>
      <c r="L22" s="53">
        <v>0.25</v>
      </c>
      <c r="M22" s="58">
        <f>L22*(J22^2)/(2*32.2)</f>
        <v>1.8601871838153813E-4</v>
      </c>
      <c r="N22" s="58">
        <f>K22+M22</f>
        <v>1.8601871838153813E-4</v>
      </c>
      <c r="O22" s="59">
        <f>N22</f>
        <v>1.8601871838153813E-4</v>
      </c>
    </row>
    <row r="23" spans="1:15" x14ac:dyDescent="0.2">
      <c r="A23" s="37"/>
      <c r="B23" s="55">
        <v>36</v>
      </c>
      <c r="C23" s="56" t="s">
        <v>47</v>
      </c>
      <c r="D23" s="57">
        <f>'Headloss Calcs'!$A$21</f>
        <v>1</v>
      </c>
      <c r="E23" s="53">
        <f t="shared" si="9"/>
        <v>1.5473361061596356</v>
      </c>
      <c r="F23" s="38">
        <f>'Headloss Calcs'!$H$18</f>
        <v>100</v>
      </c>
      <c r="G23" s="53">
        <f t="shared" ref="G23:G37" si="10">3.1416/4*(B23/12)^2</f>
        <v>7.0686</v>
      </c>
      <c r="H23" s="53">
        <f t="shared" ref="H23:H37" si="11">3.1416*(B23/12)</f>
        <v>9.4247999999999994</v>
      </c>
      <c r="I23" s="53">
        <f t="shared" ref="I23:I37" si="12">G23/H23</f>
        <v>0.75</v>
      </c>
      <c r="J23" s="53">
        <f t="shared" ref="J23:J37" si="13">E23/G23</f>
        <v>0.2189027680388812</v>
      </c>
      <c r="K23" s="53">
        <f t="shared" ref="K23:K37" si="14">(J23/(1.318*F23*I23^0.63))^1.85*A23</f>
        <v>0</v>
      </c>
      <c r="L23" s="53">
        <v>0.25</v>
      </c>
      <c r="M23" s="58">
        <f t="shared" ref="M23:M37" si="15">L23*(J23^2)/(2*32.2)</f>
        <v>1.8601871838153813E-4</v>
      </c>
      <c r="N23" s="58">
        <f t="shared" ref="N23:N37" si="16">K23+M23</f>
        <v>1.8601871838153813E-4</v>
      </c>
      <c r="O23" s="59">
        <f>N23+O22</f>
        <v>3.7203743676307626E-4</v>
      </c>
    </row>
    <row r="24" spans="1:15" x14ac:dyDescent="0.2">
      <c r="A24" s="37">
        <v>1320</v>
      </c>
      <c r="B24" s="55">
        <v>36</v>
      </c>
      <c r="C24" s="56" t="s">
        <v>23</v>
      </c>
      <c r="D24" s="57">
        <f>'Headloss Calcs'!$A$21</f>
        <v>1</v>
      </c>
      <c r="E24" s="53">
        <f t="shared" si="9"/>
        <v>1.5473361061596356</v>
      </c>
      <c r="F24" s="38">
        <f>'Headloss Calcs'!$H$18</f>
        <v>100</v>
      </c>
      <c r="G24" s="53">
        <f t="shared" si="10"/>
        <v>7.0686</v>
      </c>
      <c r="H24" s="53">
        <f t="shared" si="11"/>
        <v>9.4247999999999994</v>
      </c>
      <c r="I24" s="53">
        <f t="shared" si="12"/>
        <v>0.75</v>
      </c>
      <c r="J24" s="53">
        <f t="shared" si="13"/>
        <v>0.2189027680388812</v>
      </c>
      <c r="K24" s="53">
        <f t="shared" si="14"/>
        <v>1.3298765813585583E-2</v>
      </c>
      <c r="L24" s="53"/>
      <c r="M24" s="58">
        <f t="shared" si="15"/>
        <v>0</v>
      </c>
      <c r="N24" s="58">
        <f t="shared" si="16"/>
        <v>1.3298765813585583E-2</v>
      </c>
      <c r="O24" s="59">
        <f t="shared" ref="O24:O37" si="17">N24+O23</f>
        <v>1.3670803250348659E-2</v>
      </c>
    </row>
    <row r="25" spans="1:15" x14ac:dyDescent="0.2">
      <c r="A25" s="37"/>
      <c r="B25" s="55">
        <v>36</v>
      </c>
      <c r="C25" s="56" t="s">
        <v>45</v>
      </c>
      <c r="D25" s="57">
        <f>'Headloss Calcs'!$A$21</f>
        <v>1</v>
      </c>
      <c r="E25" s="53">
        <f t="shared" si="9"/>
        <v>1.5473361061596356</v>
      </c>
      <c r="F25" s="38">
        <f>'Headloss Calcs'!$H$18</f>
        <v>100</v>
      </c>
      <c r="G25" s="53">
        <f t="shared" si="10"/>
        <v>7.0686</v>
      </c>
      <c r="H25" s="53">
        <f t="shared" si="11"/>
        <v>9.4247999999999994</v>
      </c>
      <c r="I25" s="53">
        <f t="shared" si="12"/>
        <v>0.75</v>
      </c>
      <c r="J25" s="53">
        <f t="shared" si="13"/>
        <v>0.2189027680388812</v>
      </c>
      <c r="K25" s="53">
        <f t="shared" si="14"/>
        <v>0</v>
      </c>
      <c r="L25" s="53">
        <v>0.2</v>
      </c>
      <c r="M25" s="58">
        <f t="shared" si="15"/>
        <v>1.4881497470523052E-4</v>
      </c>
      <c r="N25" s="58">
        <f t="shared" si="16"/>
        <v>1.4881497470523052E-4</v>
      </c>
      <c r="O25" s="59">
        <f t="shared" si="17"/>
        <v>1.3819618225053889E-2</v>
      </c>
    </row>
    <row r="26" spans="1:15" x14ac:dyDescent="0.2">
      <c r="A26" s="37">
        <v>1320</v>
      </c>
      <c r="B26" s="55">
        <v>36</v>
      </c>
      <c r="C26" s="69" t="s">
        <v>23</v>
      </c>
      <c r="D26" s="57">
        <f>'Headloss Calcs'!$A$21</f>
        <v>1</v>
      </c>
      <c r="E26" s="53">
        <f t="shared" si="9"/>
        <v>1.5473361061596356</v>
      </c>
      <c r="F26" s="38">
        <f>'Headloss Calcs'!$H$18</f>
        <v>100</v>
      </c>
      <c r="G26" s="53">
        <f t="shared" si="10"/>
        <v>7.0686</v>
      </c>
      <c r="H26" s="53">
        <f t="shared" si="11"/>
        <v>9.4247999999999994</v>
      </c>
      <c r="I26" s="53">
        <f t="shared" si="12"/>
        <v>0.75</v>
      </c>
      <c r="J26" s="53">
        <f t="shared" si="13"/>
        <v>0.2189027680388812</v>
      </c>
      <c r="K26" s="53">
        <f t="shared" si="14"/>
        <v>1.3298765813585583E-2</v>
      </c>
      <c r="L26" s="53"/>
      <c r="M26" s="58">
        <f t="shared" si="15"/>
        <v>0</v>
      </c>
      <c r="N26" s="58">
        <f t="shared" si="16"/>
        <v>1.3298765813585583E-2</v>
      </c>
      <c r="O26" s="59">
        <f t="shared" si="17"/>
        <v>2.7118384038639472E-2</v>
      </c>
    </row>
    <row r="27" spans="1:15" x14ac:dyDescent="0.2">
      <c r="A27" s="37"/>
      <c r="B27" s="55">
        <v>36</v>
      </c>
      <c r="C27" s="56" t="s">
        <v>39</v>
      </c>
      <c r="D27" s="57">
        <v>1</v>
      </c>
      <c r="E27" s="53">
        <f t="shared" si="9"/>
        <v>1.5473361061596356</v>
      </c>
      <c r="F27" s="38">
        <f>'Headloss Calcs'!$H$18</f>
        <v>100</v>
      </c>
      <c r="G27" s="53">
        <f t="shared" si="10"/>
        <v>7.0686</v>
      </c>
      <c r="H27" s="53">
        <f t="shared" si="11"/>
        <v>9.4247999999999994</v>
      </c>
      <c r="I27" s="53">
        <f t="shared" si="12"/>
        <v>0.75</v>
      </c>
      <c r="J27" s="53">
        <f t="shared" si="13"/>
        <v>0.2189027680388812</v>
      </c>
      <c r="K27" s="53">
        <f t="shared" si="14"/>
        <v>0</v>
      </c>
      <c r="L27" s="53">
        <v>0.4</v>
      </c>
      <c r="M27" s="58">
        <f t="shared" si="15"/>
        <v>2.9762994941046105E-4</v>
      </c>
      <c r="N27" s="58">
        <f t="shared" si="16"/>
        <v>2.9762994941046105E-4</v>
      </c>
      <c r="O27" s="59">
        <f t="shared" si="17"/>
        <v>2.7416013988049933E-2</v>
      </c>
    </row>
    <row r="28" spans="1:15" x14ac:dyDescent="0.2">
      <c r="A28" s="37">
        <v>1320</v>
      </c>
      <c r="B28" s="55">
        <v>36</v>
      </c>
      <c r="C28" s="56" t="s">
        <v>23</v>
      </c>
      <c r="D28" s="57">
        <v>1</v>
      </c>
      <c r="E28" s="53">
        <f t="shared" si="9"/>
        <v>1.5473361061596356</v>
      </c>
      <c r="F28" s="38">
        <f>'Headloss Calcs'!$H$18</f>
        <v>100</v>
      </c>
      <c r="G28" s="53">
        <f t="shared" si="10"/>
        <v>7.0686</v>
      </c>
      <c r="H28" s="53">
        <f t="shared" si="11"/>
        <v>9.4247999999999994</v>
      </c>
      <c r="I28" s="53">
        <f t="shared" si="12"/>
        <v>0.75</v>
      </c>
      <c r="J28" s="53">
        <f t="shared" si="13"/>
        <v>0.2189027680388812</v>
      </c>
      <c r="K28" s="53">
        <f t="shared" si="14"/>
        <v>1.3298765813585583E-2</v>
      </c>
      <c r="L28" s="53"/>
      <c r="M28" s="58">
        <f t="shared" si="15"/>
        <v>0</v>
      </c>
      <c r="N28" s="58">
        <f t="shared" si="16"/>
        <v>1.3298765813585583E-2</v>
      </c>
      <c r="O28" s="59">
        <f t="shared" si="17"/>
        <v>4.0714779801635514E-2</v>
      </c>
    </row>
    <row r="29" spans="1:15" x14ac:dyDescent="0.2">
      <c r="A29" s="37"/>
      <c r="B29" s="55">
        <v>36</v>
      </c>
      <c r="C29" s="56" t="s">
        <v>39</v>
      </c>
      <c r="D29" s="57">
        <v>1</v>
      </c>
      <c r="E29" s="53">
        <f t="shared" si="9"/>
        <v>1.5473361061596356</v>
      </c>
      <c r="F29" s="38">
        <f>'Headloss Calcs'!$H$18</f>
        <v>100</v>
      </c>
      <c r="G29" s="53">
        <f t="shared" si="10"/>
        <v>7.0686</v>
      </c>
      <c r="H29" s="53">
        <f t="shared" si="11"/>
        <v>9.4247999999999994</v>
      </c>
      <c r="I29" s="53">
        <f t="shared" si="12"/>
        <v>0.75</v>
      </c>
      <c r="J29" s="53">
        <f t="shared" si="13"/>
        <v>0.2189027680388812</v>
      </c>
      <c r="K29" s="53">
        <f t="shared" si="14"/>
        <v>0</v>
      </c>
      <c r="L29" s="53">
        <v>0.4</v>
      </c>
      <c r="M29" s="58">
        <f t="shared" si="15"/>
        <v>2.9762994941046105E-4</v>
      </c>
      <c r="N29" s="58">
        <f t="shared" si="16"/>
        <v>2.9762994941046105E-4</v>
      </c>
      <c r="O29" s="59">
        <f t="shared" si="17"/>
        <v>4.1012409751045975E-2</v>
      </c>
    </row>
    <row r="30" spans="1:15" x14ac:dyDescent="0.2">
      <c r="A30" s="37">
        <v>1320</v>
      </c>
      <c r="B30" s="55">
        <v>36</v>
      </c>
      <c r="C30" s="56" t="s">
        <v>23</v>
      </c>
      <c r="D30" s="57">
        <v>1</v>
      </c>
      <c r="E30" s="53">
        <f t="shared" si="9"/>
        <v>1.5473361061596356</v>
      </c>
      <c r="F30" s="38">
        <f>'Headloss Calcs'!$H$18</f>
        <v>100</v>
      </c>
      <c r="G30" s="53">
        <f t="shared" si="10"/>
        <v>7.0686</v>
      </c>
      <c r="H30" s="53">
        <f t="shared" si="11"/>
        <v>9.4247999999999994</v>
      </c>
      <c r="I30" s="53">
        <f t="shared" si="12"/>
        <v>0.75</v>
      </c>
      <c r="J30" s="53">
        <f t="shared" si="13"/>
        <v>0.2189027680388812</v>
      </c>
      <c r="K30" s="53">
        <f t="shared" si="14"/>
        <v>1.3298765813585583E-2</v>
      </c>
      <c r="L30" s="53"/>
      <c r="M30" s="58">
        <f t="shared" si="15"/>
        <v>0</v>
      </c>
      <c r="N30" s="58">
        <f t="shared" si="16"/>
        <v>1.3298765813585583E-2</v>
      </c>
      <c r="O30" s="59">
        <f t="shared" si="17"/>
        <v>5.431117556463156E-2</v>
      </c>
    </row>
    <row r="31" spans="1:15" x14ac:dyDescent="0.2">
      <c r="A31" s="37"/>
      <c r="B31" s="55">
        <v>36</v>
      </c>
      <c r="C31" s="56" t="s">
        <v>48</v>
      </c>
      <c r="D31" s="57">
        <v>1</v>
      </c>
      <c r="E31" s="53">
        <f t="shared" si="9"/>
        <v>1.5473361061596356</v>
      </c>
      <c r="F31" s="38">
        <f>'Headloss Calcs'!$H$18</f>
        <v>100</v>
      </c>
      <c r="G31" s="53">
        <f t="shared" si="10"/>
        <v>7.0686</v>
      </c>
      <c r="H31" s="53">
        <f t="shared" si="11"/>
        <v>9.4247999999999994</v>
      </c>
      <c r="I31" s="53">
        <f t="shared" si="12"/>
        <v>0.75</v>
      </c>
      <c r="J31" s="53">
        <f t="shared" si="13"/>
        <v>0.2189027680388812</v>
      </c>
      <c r="K31" s="53">
        <f t="shared" si="14"/>
        <v>0</v>
      </c>
      <c r="L31" s="53">
        <v>0.4</v>
      </c>
      <c r="M31" s="58">
        <f t="shared" si="15"/>
        <v>2.9762994941046105E-4</v>
      </c>
      <c r="N31" s="58">
        <f t="shared" si="16"/>
        <v>2.9762994941046105E-4</v>
      </c>
      <c r="O31" s="59">
        <f t="shared" si="17"/>
        <v>5.4608805514042021E-2</v>
      </c>
    </row>
    <row r="32" spans="1:15" x14ac:dyDescent="0.2">
      <c r="A32" s="37">
        <v>1320</v>
      </c>
      <c r="B32" s="55">
        <v>36</v>
      </c>
      <c r="C32" s="56" t="s">
        <v>23</v>
      </c>
      <c r="D32" s="57">
        <v>1</v>
      </c>
      <c r="E32" s="53">
        <f t="shared" si="9"/>
        <v>1.5473361061596356</v>
      </c>
      <c r="F32" s="38">
        <f>'Headloss Calcs'!$H$18</f>
        <v>100</v>
      </c>
      <c r="G32" s="53">
        <f t="shared" si="10"/>
        <v>7.0686</v>
      </c>
      <c r="H32" s="53">
        <f t="shared" si="11"/>
        <v>9.4247999999999994</v>
      </c>
      <c r="I32" s="53">
        <f t="shared" si="12"/>
        <v>0.75</v>
      </c>
      <c r="J32" s="53">
        <f t="shared" si="13"/>
        <v>0.2189027680388812</v>
      </c>
      <c r="K32" s="53">
        <f t="shared" si="14"/>
        <v>1.3298765813585583E-2</v>
      </c>
      <c r="L32" s="53"/>
      <c r="M32" s="58">
        <f t="shared" si="15"/>
        <v>0</v>
      </c>
      <c r="N32" s="58">
        <f t="shared" si="16"/>
        <v>1.3298765813585583E-2</v>
      </c>
      <c r="O32" s="59">
        <f t="shared" si="17"/>
        <v>6.7907571327627606E-2</v>
      </c>
    </row>
    <row r="33" spans="1:15" x14ac:dyDescent="0.2">
      <c r="A33" s="37"/>
      <c r="B33" s="55">
        <v>36</v>
      </c>
      <c r="C33" s="56" t="s">
        <v>39</v>
      </c>
      <c r="D33" s="57">
        <v>1</v>
      </c>
      <c r="E33" s="53">
        <f t="shared" si="9"/>
        <v>1.5473361061596356</v>
      </c>
      <c r="F33" s="38">
        <f>'Headloss Calcs'!$H$18</f>
        <v>100</v>
      </c>
      <c r="G33" s="53">
        <f t="shared" si="10"/>
        <v>7.0686</v>
      </c>
      <c r="H33" s="53">
        <f t="shared" si="11"/>
        <v>9.4247999999999994</v>
      </c>
      <c r="I33" s="53">
        <f t="shared" si="12"/>
        <v>0.75</v>
      </c>
      <c r="J33" s="53">
        <f t="shared" si="13"/>
        <v>0.2189027680388812</v>
      </c>
      <c r="K33" s="53">
        <f t="shared" si="14"/>
        <v>0</v>
      </c>
      <c r="L33" s="53">
        <v>0.4</v>
      </c>
      <c r="M33" s="58">
        <f t="shared" si="15"/>
        <v>2.9762994941046105E-4</v>
      </c>
      <c r="N33" s="58">
        <f t="shared" si="16"/>
        <v>2.9762994941046105E-4</v>
      </c>
      <c r="O33" s="59">
        <f t="shared" si="17"/>
        <v>6.8205201277038066E-2</v>
      </c>
    </row>
    <row r="34" spans="1:15" x14ac:dyDescent="0.2">
      <c r="A34" s="37">
        <v>1320</v>
      </c>
      <c r="B34" s="55">
        <v>36</v>
      </c>
      <c r="C34" s="56" t="s">
        <v>23</v>
      </c>
      <c r="D34" s="57">
        <v>1</v>
      </c>
      <c r="E34" s="53">
        <f t="shared" si="9"/>
        <v>1.5473361061596356</v>
      </c>
      <c r="F34" s="38">
        <f>'Headloss Calcs'!$H$18</f>
        <v>100</v>
      </c>
      <c r="G34" s="53">
        <f t="shared" si="10"/>
        <v>7.0686</v>
      </c>
      <c r="H34" s="53">
        <f t="shared" si="11"/>
        <v>9.4247999999999994</v>
      </c>
      <c r="I34" s="53">
        <f t="shared" si="12"/>
        <v>0.75</v>
      </c>
      <c r="J34" s="53">
        <f t="shared" si="13"/>
        <v>0.2189027680388812</v>
      </c>
      <c r="K34" s="53">
        <f t="shared" si="14"/>
        <v>1.3298765813585583E-2</v>
      </c>
      <c r="L34" s="53"/>
      <c r="M34" s="58">
        <f t="shared" si="15"/>
        <v>0</v>
      </c>
      <c r="N34" s="58">
        <f t="shared" si="16"/>
        <v>1.3298765813585583E-2</v>
      </c>
      <c r="O34" s="59">
        <f t="shared" si="17"/>
        <v>8.1503967090623644E-2</v>
      </c>
    </row>
    <row r="35" spans="1:15" x14ac:dyDescent="0.2">
      <c r="A35" s="37"/>
      <c r="B35" s="55">
        <v>36</v>
      </c>
      <c r="C35" s="56" t="s">
        <v>45</v>
      </c>
      <c r="D35" s="57">
        <v>1</v>
      </c>
      <c r="E35" s="53">
        <f t="shared" si="9"/>
        <v>1.5473361061596356</v>
      </c>
      <c r="F35" s="38">
        <f>'Headloss Calcs'!$H$18</f>
        <v>100</v>
      </c>
      <c r="G35" s="53">
        <f t="shared" si="10"/>
        <v>7.0686</v>
      </c>
      <c r="H35" s="53">
        <f t="shared" si="11"/>
        <v>9.4247999999999994</v>
      </c>
      <c r="I35" s="53">
        <f t="shared" si="12"/>
        <v>0.75</v>
      </c>
      <c r="J35" s="53">
        <f t="shared" si="13"/>
        <v>0.2189027680388812</v>
      </c>
      <c r="K35" s="53">
        <f t="shared" si="14"/>
        <v>0</v>
      </c>
      <c r="L35" s="53">
        <v>0.2</v>
      </c>
      <c r="M35" s="58">
        <f t="shared" si="15"/>
        <v>1.4881497470523052E-4</v>
      </c>
      <c r="N35" s="58">
        <f t="shared" si="16"/>
        <v>1.4881497470523052E-4</v>
      </c>
      <c r="O35" s="59">
        <f t="shared" si="17"/>
        <v>8.1652782065328874E-2</v>
      </c>
    </row>
    <row r="36" spans="1:15" x14ac:dyDescent="0.2">
      <c r="A36" s="37">
        <v>1320</v>
      </c>
      <c r="B36" s="55">
        <v>36</v>
      </c>
      <c r="C36" s="56" t="s">
        <v>23</v>
      </c>
      <c r="D36" s="57">
        <v>1</v>
      </c>
      <c r="E36" s="53">
        <f t="shared" si="9"/>
        <v>1.5473361061596356</v>
      </c>
      <c r="F36" s="38">
        <f>'Headloss Calcs'!$H$18</f>
        <v>100</v>
      </c>
      <c r="G36" s="53">
        <f t="shared" si="10"/>
        <v>7.0686</v>
      </c>
      <c r="H36" s="53">
        <f t="shared" si="11"/>
        <v>9.4247999999999994</v>
      </c>
      <c r="I36" s="53">
        <f t="shared" si="12"/>
        <v>0.75</v>
      </c>
      <c r="J36" s="53">
        <f t="shared" si="13"/>
        <v>0.2189027680388812</v>
      </c>
      <c r="K36" s="53">
        <f t="shared" si="14"/>
        <v>1.3298765813585583E-2</v>
      </c>
      <c r="L36" s="53"/>
      <c r="M36" s="58">
        <f t="shared" si="15"/>
        <v>0</v>
      </c>
      <c r="N36" s="58">
        <f t="shared" si="16"/>
        <v>1.3298765813585583E-2</v>
      </c>
      <c r="O36" s="59">
        <f t="shared" si="17"/>
        <v>9.4951547878914452E-2</v>
      </c>
    </row>
    <row r="37" spans="1:15" ht="12" customHeight="1" x14ac:dyDescent="0.2">
      <c r="A37" s="37"/>
      <c r="B37" s="55">
        <v>36</v>
      </c>
      <c r="C37" s="56" t="s">
        <v>44</v>
      </c>
      <c r="D37" s="57">
        <v>1</v>
      </c>
      <c r="E37" s="53">
        <f t="shared" si="9"/>
        <v>1.5473361061596356</v>
      </c>
      <c r="F37" s="38">
        <f>'Headloss Calcs'!$H$18</f>
        <v>100</v>
      </c>
      <c r="G37" s="53">
        <f t="shared" si="10"/>
        <v>7.0686</v>
      </c>
      <c r="H37" s="53">
        <f t="shared" si="11"/>
        <v>9.4247999999999994</v>
      </c>
      <c r="I37" s="53">
        <f t="shared" si="12"/>
        <v>0.75</v>
      </c>
      <c r="J37" s="53">
        <f t="shared" si="13"/>
        <v>0.2189027680388812</v>
      </c>
      <c r="K37" s="53">
        <f t="shared" si="14"/>
        <v>0</v>
      </c>
      <c r="L37" s="53">
        <v>1</v>
      </c>
      <c r="M37" s="58">
        <f t="shared" si="15"/>
        <v>7.4407487352615251E-4</v>
      </c>
      <c r="N37" s="58">
        <f t="shared" si="16"/>
        <v>7.4407487352615251E-4</v>
      </c>
      <c r="O37" s="59">
        <f t="shared" si="17"/>
        <v>9.5695622752440604E-2</v>
      </c>
    </row>
    <row r="38" spans="1:15" ht="13.5" thickBot="1" x14ac:dyDescent="0.25">
      <c r="A38" s="39"/>
      <c r="B38" s="40"/>
      <c r="C38" s="41"/>
      <c r="D38" s="40"/>
      <c r="E38" s="42"/>
      <c r="F38" s="40"/>
      <c r="G38" s="54"/>
      <c r="H38" s="54"/>
      <c r="I38" s="54"/>
      <c r="J38" s="54"/>
      <c r="K38" s="54"/>
      <c r="L38" s="54"/>
      <c r="M38" s="60"/>
      <c r="N38" s="60" t="s">
        <v>40</v>
      </c>
      <c r="O38" s="61">
        <f>O37</f>
        <v>9.5695622752440604E-2</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0"/>
  <sheetViews>
    <sheetView topLeftCell="C17"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Calcs'!$A$22</f>
        <v>2</v>
      </c>
      <c r="E3" s="53">
        <f t="shared" ref="E3:E18" si="0">D3*1000000/(7.48*24*60*60)</f>
        <v>3.0946722123192711</v>
      </c>
      <c r="F3" s="38">
        <f>'Headloss Calcs'!$E$18</f>
        <v>140</v>
      </c>
      <c r="G3" s="53">
        <f t="shared" ref="G3:G18" si="1">3.1416/4*(B3/12)^2</f>
        <v>7.0686</v>
      </c>
      <c r="H3" s="53">
        <f t="shared" ref="H3:H18" si="2">3.1416*(B3/12)</f>
        <v>9.4247999999999994</v>
      </c>
      <c r="I3" s="53">
        <f t="shared" ref="I3:I18" si="3">G3/H3</f>
        <v>0.75</v>
      </c>
      <c r="J3" s="53">
        <f t="shared" ref="J3:J18" si="4">E3/G3</f>
        <v>0.4378055360777624</v>
      </c>
      <c r="K3" s="53">
        <f t="shared" ref="K3:K18" si="5">(J3/(1.318*F3*I3^0.63))^1.85*A3</f>
        <v>0</v>
      </c>
      <c r="L3" s="53">
        <v>0.25</v>
      </c>
      <c r="M3" s="58">
        <f t="shared" ref="M3:M18" si="6">L3*(J3^2)/(2*32.2)</f>
        <v>7.4407487352615251E-4</v>
      </c>
      <c r="N3" s="58">
        <f t="shared" ref="N3:N18" si="7">K3+M3</f>
        <v>7.4407487352615251E-4</v>
      </c>
      <c r="O3" s="59">
        <f>N3</f>
        <v>7.4407487352615251E-4</v>
      </c>
    </row>
    <row r="4" spans="1:15" x14ac:dyDescent="0.2">
      <c r="A4" s="37"/>
      <c r="B4" s="55">
        <v>36</v>
      </c>
      <c r="C4" s="56" t="s">
        <v>47</v>
      </c>
      <c r="D4" s="57">
        <f>'Headloss Calcs'!$A$22</f>
        <v>2</v>
      </c>
      <c r="E4" s="53">
        <f t="shared" si="0"/>
        <v>3.0946722123192711</v>
      </c>
      <c r="F4" s="38">
        <f>'Headloss Calcs'!$E$18</f>
        <v>140</v>
      </c>
      <c r="G4" s="53">
        <f t="shared" si="1"/>
        <v>7.0686</v>
      </c>
      <c r="H4" s="53">
        <f t="shared" si="2"/>
        <v>9.4247999999999994</v>
      </c>
      <c r="I4" s="53">
        <f t="shared" si="3"/>
        <v>0.75</v>
      </c>
      <c r="J4" s="53">
        <f t="shared" si="4"/>
        <v>0.4378055360777624</v>
      </c>
      <c r="K4" s="53">
        <f t="shared" si="5"/>
        <v>0</v>
      </c>
      <c r="L4" s="53">
        <v>0.25</v>
      </c>
      <c r="M4" s="58">
        <f t="shared" si="6"/>
        <v>7.4407487352615251E-4</v>
      </c>
      <c r="N4" s="58">
        <f t="shared" si="7"/>
        <v>7.4407487352615251E-4</v>
      </c>
      <c r="O4" s="59">
        <f t="shared" ref="O4:O18" si="8">N4+O3</f>
        <v>1.488149747052305E-3</v>
      </c>
    </row>
    <row r="5" spans="1:15" x14ac:dyDescent="0.2">
      <c r="A5" s="37">
        <v>1320</v>
      </c>
      <c r="B5" s="55">
        <v>36</v>
      </c>
      <c r="C5" s="56" t="s">
        <v>23</v>
      </c>
      <c r="D5" s="57">
        <f>'Headloss Calcs'!$A$22</f>
        <v>2</v>
      </c>
      <c r="E5" s="53">
        <f t="shared" si="0"/>
        <v>3.0946722123192711</v>
      </c>
      <c r="F5" s="38">
        <f>'Headloss Calcs'!$E$18</f>
        <v>140</v>
      </c>
      <c r="G5" s="53">
        <f t="shared" si="1"/>
        <v>7.0686</v>
      </c>
      <c r="H5" s="53">
        <f t="shared" si="2"/>
        <v>9.4247999999999994</v>
      </c>
      <c r="I5" s="53">
        <f t="shared" si="3"/>
        <v>0.75</v>
      </c>
      <c r="J5" s="53">
        <f t="shared" si="4"/>
        <v>0.4378055360777624</v>
      </c>
      <c r="K5" s="53">
        <f t="shared" si="5"/>
        <v>2.5726456063791706E-2</v>
      </c>
      <c r="L5" s="53"/>
      <c r="M5" s="58">
        <f t="shared" si="6"/>
        <v>0</v>
      </c>
      <c r="N5" s="58">
        <f t="shared" si="7"/>
        <v>2.5726456063791706E-2</v>
      </c>
      <c r="O5" s="59">
        <f t="shared" si="8"/>
        <v>2.7214605810844013E-2</v>
      </c>
    </row>
    <row r="6" spans="1:15" x14ac:dyDescent="0.2">
      <c r="A6" s="37"/>
      <c r="B6" s="55">
        <v>36</v>
      </c>
      <c r="C6" s="56" t="s">
        <v>45</v>
      </c>
      <c r="D6" s="57">
        <f>'Headloss Calcs'!$A$22</f>
        <v>2</v>
      </c>
      <c r="E6" s="53">
        <f t="shared" si="0"/>
        <v>3.0946722123192711</v>
      </c>
      <c r="F6" s="38">
        <f>'Headloss Calcs'!$E$18</f>
        <v>140</v>
      </c>
      <c r="G6" s="53">
        <f t="shared" si="1"/>
        <v>7.0686</v>
      </c>
      <c r="H6" s="53">
        <f t="shared" si="2"/>
        <v>9.4247999999999994</v>
      </c>
      <c r="I6" s="53">
        <f t="shared" si="3"/>
        <v>0.75</v>
      </c>
      <c r="J6" s="53">
        <f t="shared" si="4"/>
        <v>0.4378055360777624</v>
      </c>
      <c r="K6" s="53">
        <f t="shared" si="5"/>
        <v>0</v>
      </c>
      <c r="L6" s="53">
        <v>0.2</v>
      </c>
      <c r="M6" s="58">
        <f t="shared" si="6"/>
        <v>5.952598988209221E-4</v>
      </c>
      <c r="N6" s="58">
        <f t="shared" si="7"/>
        <v>5.952598988209221E-4</v>
      </c>
      <c r="O6" s="59">
        <f t="shared" si="8"/>
        <v>2.7809865709664934E-2</v>
      </c>
    </row>
    <row r="7" spans="1:15" x14ac:dyDescent="0.2">
      <c r="A7" s="37">
        <v>1320</v>
      </c>
      <c r="B7" s="55">
        <v>36</v>
      </c>
      <c r="C7" s="69" t="s">
        <v>23</v>
      </c>
      <c r="D7" s="57">
        <f>'Headloss Calcs'!$A$22</f>
        <v>2</v>
      </c>
      <c r="E7" s="53">
        <f t="shared" si="0"/>
        <v>3.0946722123192711</v>
      </c>
      <c r="F7" s="38">
        <f>'Headloss Calcs'!$E$18</f>
        <v>140</v>
      </c>
      <c r="G7" s="53">
        <f t="shared" si="1"/>
        <v>7.0686</v>
      </c>
      <c r="H7" s="53">
        <f t="shared" si="2"/>
        <v>9.4247999999999994</v>
      </c>
      <c r="I7" s="53">
        <f t="shared" si="3"/>
        <v>0.75</v>
      </c>
      <c r="J7" s="53">
        <f t="shared" si="4"/>
        <v>0.4378055360777624</v>
      </c>
      <c r="K7" s="53">
        <f t="shared" si="5"/>
        <v>2.5726456063791706E-2</v>
      </c>
      <c r="L7" s="53"/>
      <c r="M7" s="58">
        <f t="shared" si="6"/>
        <v>0</v>
      </c>
      <c r="N7" s="58">
        <f t="shared" si="7"/>
        <v>2.5726456063791706E-2</v>
      </c>
      <c r="O7" s="59">
        <f t="shared" si="8"/>
        <v>5.3536321773456644E-2</v>
      </c>
    </row>
    <row r="8" spans="1:15" x14ac:dyDescent="0.2">
      <c r="A8" s="37"/>
      <c r="B8" s="55">
        <v>36</v>
      </c>
      <c r="C8" s="56" t="s">
        <v>39</v>
      </c>
      <c r="D8" s="57">
        <f>'Headloss Calcs'!$A$22</f>
        <v>2</v>
      </c>
      <c r="E8" s="53">
        <f t="shared" si="0"/>
        <v>3.0946722123192711</v>
      </c>
      <c r="F8" s="38">
        <f>'Headloss Calcs'!$E$18</f>
        <v>140</v>
      </c>
      <c r="G8" s="53">
        <f t="shared" si="1"/>
        <v>7.0686</v>
      </c>
      <c r="H8" s="53">
        <f t="shared" si="2"/>
        <v>9.4247999999999994</v>
      </c>
      <c r="I8" s="53">
        <f t="shared" si="3"/>
        <v>0.75</v>
      </c>
      <c r="J8" s="53">
        <f t="shared" si="4"/>
        <v>0.4378055360777624</v>
      </c>
      <c r="K8" s="53">
        <f t="shared" si="5"/>
        <v>0</v>
      </c>
      <c r="L8" s="53">
        <v>0.4</v>
      </c>
      <c r="M8" s="58">
        <f t="shared" si="6"/>
        <v>1.1905197976418442E-3</v>
      </c>
      <c r="N8" s="58">
        <f t="shared" si="7"/>
        <v>1.1905197976418442E-3</v>
      </c>
      <c r="O8" s="59">
        <f t="shared" si="8"/>
        <v>5.4726841571098486E-2</v>
      </c>
    </row>
    <row r="9" spans="1:15" x14ac:dyDescent="0.2">
      <c r="A9" s="37">
        <v>1320</v>
      </c>
      <c r="B9" s="55">
        <v>36</v>
      </c>
      <c r="C9" s="56" t="s">
        <v>23</v>
      </c>
      <c r="D9" s="57">
        <f>'Headloss Calcs'!$A$22</f>
        <v>2</v>
      </c>
      <c r="E9" s="53">
        <f t="shared" si="0"/>
        <v>3.0946722123192711</v>
      </c>
      <c r="F9" s="38">
        <f>'Headloss Calcs'!$E$18</f>
        <v>140</v>
      </c>
      <c r="G9" s="53">
        <f t="shared" si="1"/>
        <v>7.0686</v>
      </c>
      <c r="H9" s="53">
        <f t="shared" si="2"/>
        <v>9.4247999999999994</v>
      </c>
      <c r="I9" s="53">
        <f t="shared" si="3"/>
        <v>0.75</v>
      </c>
      <c r="J9" s="53">
        <f t="shared" si="4"/>
        <v>0.4378055360777624</v>
      </c>
      <c r="K9" s="53">
        <f t="shared" si="5"/>
        <v>2.5726456063791706E-2</v>
      </c>
      <c r="L9" s="53"/>
      <c r="M9" s="58">
        <f t="shared" si="6"/>
        <v>0</v>
      </c>
      <c r="N9" s="58">
        <f t="shared" si="7"/>
        <v>2.5726456063791706E-2</v>
      </c>
      <c r="O9" s="59">
        <f t="shared" si="8"/>
        <v>8.0453297634890189E-2</v>
      </c>
    </row>
    <row r="10" spans="1:15" x14ac:dyDescent="0.2">
      <c r="A10" s="37"/>
      <c r="B10" s="55">
        <v>36</v>
      </c>
      <c r="C10" s="56" t="s">
        <v>39</v>
      </c>
      <c r="D10" s="57">
        <f>'Headloss Calcs'!$A$22</f>
        <v>2</v>
      </c>
      <c r="E10" s="53">
        <f t="shared" si="0"/>
        <v>3.0946722123192711</v>
      </c>
      <c r="F10" s="38">
        <f>'Headloss Calcs'!$E$18</f>
        <v>140</v>
      </c>
      <c r="G10" s="53">
        <f t="shared" si="1"/>
        <v>7.0686</v>
      </c>
      <c r="H10" s="53">
        <f t="shared" si="2"/>
        <v>9.4247999999999994</v>
      </c>
      <c r="I10" s="53">
        <f t="shared" si="3"/>
        <v>0.75</v>
      </c>
      <c r="J10" s="53">
        <f t="shared" si="4"/>
        <v>0.4378055360777624</v>
      </c>
      <c r="K10" s="53">
        <f t="shared" si="5"/>
        <v>0</v>
      </c>
      <c r="L10" s="53">
        <v>0.4</v>
      </c>
      <c r="M10" s="58">
        <f t="shared" si="6"/>
        <v>1.1905197976418442E-3</v>
      </c>
      <c r="N10" s="58">
        <f t="shared" si="7"/>
        <v>1.1905197976418442E-3</v>
      </c>
      <c r="O10" s="59">
        <f t="shared" si="8"/>
        <v>8.1643817432532031E-2</v>
      </c>
    </row>
    <row r="11" spans="1:15" x14ac:dyDescent="0.2">
      <c r="A11" s="37">
        <v>1320</v>
      </c>
      <c r="B11" s="55">
        <v>36</v>
      </c>
      <c r="C11" s="56" t="s">
        <v>23</v>
      </c>
      <c r="D11" s="57">
        <f>'Headloss Calcs'!$A$22</f>
        <v>2</v>
      </c>
      <c r="E11" s="53">
        <f t="shared" si="0"/>
        <v>3.0946722123192711</v>
      </c>
      <c r="F11" s="38">
        <f>'Headloss Calcs'!$E$18</f>
        <v>140</v>
      </c>
      <c r="G11" s="53">
        <f t="shared" si="1"/>
        <v>7.0686</v>
      </c>
      <c r="H11" s="53">
        <f t="shared" si="2"/>
        <v>9.4247999999999994</v>
      </c>
      <c r="I11" s="53">
        <f t="shared" si="3"/>
        <v>0.75</v>
      </c>
      <c r="J11" s="53">
        <f t="shared" si="4"/>
        <v>0.4378055360777624</v>
      </c>
      <c r="K11" s="53">
        <f t="shared" si="5"/>
        <v>2.5726456063791706E-2</v>
      </c>
      <c r="L11" s="53"/>
      <c r="M11" s="58">
        <f t="shared" si="6"/>
        <v>0</v>
      </c>
      <c r="N11" s="58">
        <f t="shared" si="7"/>
        <v>2.5726456063791706E-2</v>
      </c>
      <c r="O11" s="59">
        <f t="shared" si="8"/>
        <v>0.10737027349632373</v>
      </c>
    </row>
    <row r="12" spans="1:15" x14ac:dyDescent="0.2">
      <c r="A12" s="37"/>
      <c r="B12" s="55">
        <v>36</v>
      </c>
      <c r="C12" s="56" t="s">
        <v>48</v>
      </c>
      <c r="D12" s="57">
        <f>'Headloss Calcs'!$A$22</f>
        <v>2</v>
      </c>
      <c r="E12" s="53">
        <f t="shared" si="0"/>
        <v>3.0946722123192711</v>
      </c>
      <c r="F12" s="38">
        <f>'Headloss Calcs'!$E$18</f>
        <v>140</v>
      </c>
      <c r="G12" s="53">
        <f t="shared" si="1"/>
        <v>7.0686</v>
      </c>
      <c r="H12" s="53">
        <f t="shared" si="2"/>
        <v>9.4247999999999994</v>
      </c>
      <c r="I12" s="53">
        <f t="shared" si="3"/>
        <v>0.75</v>
      </c>
      <c r="J12" s="53">
        <f t="shared" si="4"/>
        <v>0.4378055360777624</v>
      </c>
      <c r="K12" s="53">
        <f t="shared" si="5"/>
        <v>0</v>
      </c>
      <c r="L12" s="53">
        <v>0.4</v>
      </c>
      <c r="M12" s="58">
        <f t="shared" si="6"/>
        <v>1.1905197976418442E-3</v>
      </c>
      <c r="N12" s="58">
        <f t="shared" si="7"/>
        <v>1.1905197976418442E-3</v>
      </c>
      <c r="O12" s="59">
        <f t="shared" si="8"/>
        <v>0.10856079329396558</v>
      </c>
    </row>
    <row r="13" spans="1:15" x14ac:dyDescent="0.2">
      <c r="A13" s="37">
        <v>1320</v>
      </c>
      <c r="B13" s="55">
        <v>36</v>
      </c>
      <c r="C13" s="56" t="s">
        <v>23</v>
      </c>
      <c r="D13" s="57">
        <f>'Headloss Calcs'!$A$22</f>
        <v>2</v>
      </c>
      <c r="E13" s="53">
        <f t="shared" si="0"/>
        <v>3.0946722123192711</v>
      </c>
      <c r="F13" s="38">
        <f>'Headloss Calcs'!$E$18</f>
        <v>140</v>
      </c>
      <c r="G13" s="53">
        <f t="shared" si="1"/>
        <v>7.0686</v>
      </c>
      <c r="H13" s="53">
        <f t="shared" si="2"/>
        <v>9.4247999999999994</v>
      </c>
      <c r="I13" s="53">
        <f t="shared" si="3"/>
        <v>0.75</v>
      </c>
      <c r="J13" s="53">
        <f t="shared" si="4"/>
        <v>0.4378055360777624</v>
      </c>
      <c r="K13" s="53">
        <f t="shared" si="5"/>
        <v>2.5726456063791706E-2</v>
      </c>
      <c r="L13" s="53"/>
      <c r="M13" s="58">
        <f t="shared" si="6"/>
        <v>0</v>
      </c>
      <c r="N13" s="58">
        <f t="shared" si="7"/>
        <v>2.5726456063791706E-2</v>
      </c>
      <c r="O13" s="59">
        <f t="shared" si="8"/>
        <v>0.13428724935775729</v>
      </c>
    </row>
    <row r="14" spans="1:15" x14ac:dyDescent="0.2">
      <c r="A14" s="37"/>
      <c r="B14" s="55">
        <v>36</v>
      </c>
      <c r="C14" s="56" t="s">
        <v>39</v>
      </c>
      <c r="D14" s="57">
        <f>'Headloss Calcs'!$A$22</f>
        <v>2</v>
      </c>
      <c r="E14" s="53">
        <f t="shared" si="0"/>
        <v>3.0946722123192711</v>
      </c>
      <c r="F14" s="38">
        <f>'Headloss Calcs'!$E$18</f>
        <v>140</v>
      </c>
      <c r="G14" s="53">
        <f t="shared" si="1"/>
        <v>7.0686</v>
      </c>
      <c r="H14" s="53">
        <f t="shared" si="2"/>
        <v>9.4247999999999994</v>
      </c>
      <c r="I14" s="53">
        <f t="shared" si="3"/>
        <v>0.75</v>
      </c>
      <c r="J14" s="53">
        <f t="shared" si="4"/>
        <v>0.4378055360777624</v>
      </c>
      <c r="K14" s="53">
        <f t="shared" si="5"/>
        <v>0</v>
      </c>
      <c r="L14" s="53">
        <v>0.4</v>
      </c>
      <c r="M14" s="58">
        <f t="shared" si="6"/>
        <v>1.1905197976418442E-3</v>
      </c>
      <c r="N14" s="58">
        <f t="shared" si="7"/>
        <v>1.1905197976418442E-3</v>
      </c>
      <c r="O14" s="59">
        <f t="shared" si="8"/>
        <v>0.13547776915539914</v>
      </c>
    </row>
    <row r="15" spans="1:15" x14ac:dyDescent="0.2">
      <c r="A15" s="37">
        <v>1320</v>
      </c>
      <c r="B15" s="55">
        <v>36</v>
      </c>
      <c r="C15" s="56" t="s">
        <v>23</v>
      </c>
      <c r="D15" s="57">
        <f>'Headloss Calcs'!$A$22</f>
        <v>2</v>
      </c>
      <c r="E15" s="53">
        <f t="shared" si="0"/>
        <v>3.0946722123192711</v>
      </c>
      <c r="F15" s="38">
        <f>'Headloss Calcs'!$E$18</f>
        <v>140</v>
      </c>
      <c r="G15" s="53">
        <f t="shared" si="1"/>
        <v>7.0686</v>
      </c>
      <c r="H15" s="53">
        <f t="shared" si="2"/>
        <v>9.4247999999999994</v>
      </c>
      <c r="I15" s="53">
        <f t="shared" si="3"/>
        <v>0.75</v>
      </c>
      <c r="J15" s="53">
        <f t="shared" si="4"/>
        <v>0.4378055360777624</v>
      </c>
      <c r="K15" s="53">
        <f t="shared" si="5"/>
        <v>2.5726456063791706E-2</v>
      </c>
      <c r="L15" s="53"/>
      <c r="M15" s="58">
        <f t="shared" si="6"/>
        <v>0</v>
      </c>
      <c r="N15" s="58">
        <f t="shared" si="7"/>
        <v>2.5726456063791706E-2</v>
      </c>
      <c r="O15" s="59">
        <f t="shared" si="8"/>
        <v>0.16120422521919084</v>
      </c>
    </row>
    <row r="16" spans="1:15" x14ac:dyDescent="0.2">
      <c r="A16" s="37"/>
      <c r="B16" s="55">
        <v>36</v>
      </c>
      <c r="C16" s="56" t="s">
        <v>45</v>
      </c>
      <c r="D16" s="57">
        <f>'Headloss Calcs'!$A$22</f>
        <v>2</v>
      </c>
      <c r="E16" s="53">
        <f t="shared" si="0"/>
        <v>3.0946722123192711</v>
      </c>
      <c r="F16" s="38">
        <f>'Headloss Calcs'!$E$18</f>
        <v>140</v>
      </c>
      <c r="G16" s="53">
        <f t="shared" si="1"/>
        <v>7.0686</v>
      </c>
      <c r="H16" s="53">
        <f t="shared" si="2"/>
        <v>9.4247999999999994</v>
      </c>
      <c r="I16" s="53">
        <f t="shared" si="3"/>
        <v>0.75</v>
      </c>
      <c r="J16" s="53">
        <f t="shared" si="4"/>
        <v>0.4378055360777624</v>
      </c>
      <c r="K16" s="53">
        <f t="shared" si="5"/>
        <v>0</v>
      </c>
      <c r="L16" s="53">
        <v>0.2</v>
      </c>
      <c r="M16" s="58">
        <f t="shared" si="6"/>
        <v>5.952598988209221E-4</v>
      </c>
      <c r="N16" s="58">
        <f t="shared" si="7"/>
        <v>5.952598988209221E-4</v>
      </c>
      <c r="O16" s="59">
        <f t="shared" si="8"/>
        <v>0.16179948511801176</v>
      </c>
    </row>
    <row r="17" spans="1:15" x14ac:dyDescent="0.2">
      <c r="A17" s="37">
        <v>1320</v>
      </c>
      <c r="B17" s="55">
        <v>36</v>
      </c>
      <c r="C17" s="56" t="s">
        <v>23</v>
      </c>
      <c r="D17" s="57">
        <f>'Headloss Calcs'!$A$22</f>
        <v>2</v>
      </c>
      <c r="E17" s="53">
        <f t="shared" si="0"/>
        <v>3.0946722123192711</v>
      </c>
      <c r="F17" s="38">
        <f>'Headloss Calcs'!$E$18</f>
        <v>140</v>
      </c>
      <c r="G17" s="53">
        <f t="shared" si="1"/>
        <v>7.0686</v>
      </c>
      <c r="H17" s="53">
        <f t="shared" si="2"/>
        <v>9.4247999999999994</v>
      </c>
      <c r="I17" s="53">
        <f t="shared" si="3"/>
        <v>0.75</v>
      </c>
      <c r="J17" s="53">
        <f t="shared" si="4"/>
        <v>0.4378055360777624</v>
      </c>
      <c r="K17" s="53">
        <f t="shared" si="5"/>
        <v>2.5726456063791706E-2</v>
      </c>
      <c r="L17" s="53"/>
      <c r="M17" s="58">
        <f t="shared" si="6"/>
        <v>0</v>
      </c>
      <c r="N17" s="58">
        <f t="shared" si="7"/>
        <v>2.5726456063791706E-2</v>
      </c>
      <c r="O17" s="59">
        <f t="shared" si="8"/>
        <v>0.18752594118180346</v>
      </c>
    </row>
    <row r="18" spans="1:15" ht="12" customHeight="1" x14ac:dyDescent="0.2">
      <c r="A18" s="37"/>
      <c r="B18" s="55">
        <v>36</v>
      </c>
      <c r="C18" s="56" t="s">
        <v>44</v>
      </c>
      <c r="D18" s="57">
        <f>'Headloss Calcs'!$A$22</f>
        <v>2</v>
      </c>
      <c r="E18" s="53">
        <f t="shared" si="0"/>
        <v>3.0946722123192711</v>
      </c>
      <c r="F18" s="38">
        <f>'Headloss Calcs'!$E$18</f>
        <v>140</v>
      </c>
      <c r="G18" s="53">
        <f t="shared" si="1"/>
        <v>7.0686</v>
      </c>
      <c r="H18" s="53">
        <f t="shared" si="2"/>
        <v>9.4247999999999994</v>
      </c>
      <c r="I18" s="53">
        <f t="shared" si="3"/>
        <v>0.75</v>
      </c>
      <c r="J18" s="53">
        <f t="shared" si="4"/>
        <v>0.4378055360777624</v>
      </c>
      <c r="K18" s="53">
        <f t="shared" si="5"/>
        <v>0</v>
      </c>
      <c r="L18" s="53">
        <v>1</v>
      </c>
      <c r="M18" s="58">
        <f t="shared" si="6"/>
        <v>2.9762994941046101E-3</v>
      </c>
      <c r="N18" s="58">
        <f t="shared" si="7"/>
        <v>2.9762994941046101E-3</v>
      </c>
      <c r="O18" s="59">
        <f t="shared" si="8"/>
        <v>0.19050224067590807</v>
      </c>
    </row>
    <row r="19" spans="1:15" ht="13.5" thickBot="1" x14ac:dyDescent="0.25">
      <c r="A19" s="39"/>
      <c r="B19" s="40"/>
      <c r="C19" s="41"/>
      <c r="D19" s="40"/>
      <c r="E19" s="42"/>
      <c r="F19" s="40"/>
      <c r="G19" s="54"/>
      <c r="H19" s="54"/>
      <c r="I19" s="54"/>
      <c r="J19" s="54"/>
      <c r="K19" s="54"/>
      <c r="L19" s="54"/>
      <c r="M19" s="60"/>
      <c r="N19" s="60" t="s">
        <v>40</v>
      </c>
      <c r="O19" s="61">
        <f>O18</f>
        <v>0.19050224067590807</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Calcs'!$A$22</f>
        <v>2</v>
      </c>
      <c r="E22" s="53">
        <f t="shared" ref="E22:E37" si="9">D22*1000000/(7.48*24*60*60)</f>
        <v>3.0946722123192711</v>
      </c>
      <c r="F22" s="38">
        <f>'Headloss Calcs'!$H$18</f>
        <v>100</v>
      </c>
      <c r="G22" s="53">
        <f t="shared" ref="G22:G37" si="10">3.1416/4*(B22/12)^2</f>
        <v>7.0686</v>
      </c>
      <c r="H22" s="53">
        <f t="shared" ref="H22:H37" si="11">3.1416*(B22/12)</f>
        <v>9.4247999999999994</v>
      </c>
      <c r="I22" s="53">
        <f t="shared" ref="I22:I37" si="12">G22/H22</f>
        <v>0.75</v>
      </c>
      <c r="J22" s="53">
        <f t="shared" ref="J22:J37" si="13">E22/G22</f>
        <v>0.4378055360777624</v>
      </c>
      <c r="K22" s="53">
        <f t="shared" ref="K22:K37" si="14">(J22/(1.318*F22*I22^0.63))^1.85*A22</f>
        <v>0</v>
      </c>
      <c r="L22" s="53">
        <v>0.25</v>
      </c>
      <c r="M22" s="58">
        <f t="shared" ref="M22:M37" si="15">L22*(J22^2)/(2*32.2)</f>
        <v>7.4407487352615251E-4</v>
      </c>
      <c r="N22" s="58">
        <f t="shared" ref="N22:N37" si="16">K22+M22</f>
        <v>7.4407487352615251E-4</v>
      </c>
      <c r="O22" s="59">
        <f>N22</f>
        <v>7.4407487352615251E-4</v>
      </c>
    </row>
    <row r="23" spans="1:15" x14ac:dyDescent="0.2">
      <c r="A23" s="37"/>
      <c r="B23" s="55">
        <v>36</v>
      </c>
      <c r="C23" s="56" t="s">
        <v>47</v>
      </c>
      <c r="D23" s="57">
        <f>'Headloss Calcs'!$A$22</f>
        <v>2</v>
      </c>
      <c r="E23" s="53">
        <f t="shared" si="9"/>
        <v>3.0946722123192711</v>
      </c>
      <c r="F23" s="38">
        <f>'Headloss Calcs'!$H$18</f>
        <v>100</v>
      </c>
      <c r="G23" s="53">
        <f t="shared" si="10"/>
        <v>7.0686</v>
      </c>
      <c r="H23" s="53">
        <f t="shared" si="11"/>
        <v>9.4247999999999994</v>
      </c>
      <c r="I23" s="53">
        <f t="shared" si="12"/>
        <v>0.75</v>
      </c>
      <c r="J23" s="53">
        <f t="shared" si="13"/>
        <v>0.4378055360777624</v>
      </c>
      <c r="K23" s="53">
        <f t="shared" si="14"/>
        <v>0</v>
      </c>
      <c r="L23" s="53">
        <v>0.25</v>
      </c>
      <c r="M23" s="58">
        <f t="shared" si="15"/>
        <v>7.4407487352615251E-4</v>
      </c>
      <c r="N23" s="58">
        <f t="shared" si="16"/>
        <v>7.4407487352615251E-4</v>
      </c>
      <c r="O23" s="59">
        <f t="shared" ref="O23:O37" si="17">N23+O22</f>
        <v>1.488149747052305E-3</v>
      </c>
    </row>
    <row r="24" spans="1:15" x14ac:dyDescent="0.2">
      <c r="A24" s="37">
        <v>1320</v>
      </c>
      <c r="B24" s="55">
        <v>36</v>
      </c>
      <c r="C24" s="56" t="s">
        <v>23</v>
      </c>
      <c r="D24" s="57">
        <f>'Headloss Calcs'!$A$22</f>
        <v>2</v>
      </c>
      <c r="E24" s="53">
        <f t="shared" si="9"/>
        <v>3.0946722123192711</v>
      </c>
      <c r="F24" s="38">
        <f>'Headloss Calcs'!$H$18</f>
        <v>100</v>
      </c>
      <c r="G24" s="53">
        <f t="shared" si="10"/>
        <v>7.0686</v>
      </c>
      <c r="H24" s="53">
        <f t="shared" si="11"/>
        <v>9.4247999999999994</v>
      </c>
      <c r="I24" s="53">
        <f t="shared" si="12"/>
        <v>0.75</v>
      </c>
      <c r="J24" s="53">
        <f t="shared" si="13"/>
        <v>0.4378055360777624</v>
      </c>
      <c r="K24" s="53">
        <f t="shared" si="14"/>
        <v>4.7942075366588434E-2</v>
      </c>
      <c r="L24" s="53"/>
      <c r="M24" s="58">
        <f t="shared" si="15"/>
        <v>0</v>
      </c>
      <c r="N24" s="58">
        <f t="shared" si="16"/>
        <v>4.7942075366588434E-2</v>
      </c>
      <c r="O24" s="59">
        <f t="shared" si="17"/>
        <v>4.9430225113640737E-2</v>
      </c>
    </row>
    <row r="25" spans="1:15" x14ac:dyDescent="0.2">
      <c r="A25" s="37"/>
      <c r="B25" s="55">
        <v>36</v>
      </c>
      <c r="C25" s="56" t="s">
        <v>45</v>
      </c>
      <c r="D25" s="57">
        <f>'Headloss Calcs'!$A$22</f>
        <v>2</v>
      </c>
      <c r="E25" s="53">
        <f t="shared" si="9"/>
        <v>3.0946722123192711</v>
      </c>
      <c r="F25" s="38">
        <f>'Headloss Calcs'!$H$18</f>
        <v>100</v>
      </c>
      <c r="G25" s="53">
        <f t="shared" si="10"/>
        <v>7.0686</v>
      </c>
      <c r="H25" s="53">
        <f t="shared" si="11"/>
        <v>9.4247999999999994</v>
      </c>
      <c r="I25" s="53">
        <f t="shared" si="12"/>
        <v>0.75</v>
      </c>
      <c r="J25" s="53">
        <f t="shared" si="13"/>
        <v>0.4378055360777624</v>
      </c>
      <c r="K25" s="53">
        <f t="shared" si="14"/>
        <v>0</v>
      </c>
      <c r="L25" s="53">
        <v>0.2</v>
      </c>
      <c r="M25" s="58">
        <f t="shared" si="15"/>
        <v>5.952598988209221E-4</v>
      </c>
      <c r="N25" s="58">
        <f t="shared" si="16"/>
        <v>5.952598988209221E-4</v>
      </c>
      <c r="O25" s="59">
        <f t="shared" si="17"/>
        <v>5.0025485012461658E-2</v>
      </c>
    </row>
    <row r="26" spans="1:15" x14ac:dyDescent="0.2">
      <c r="A26" s="37">
        <v>1320</v>
      </c>
      <c r="B26" s="55">
        <v>36</v>
      </c>
      <c r="C26" s="69" t="s">
        <v>23</v>
      </c>
      <c r="D26" s="57">
        <f>'Headloss Calcs'!$A$22</f>
        <v>2</v>
      </c>
      <c r="E26" s="53">
        <f t="shared" si="9"/>
        <v>3.0946722123192711</v>
      </c>
      <c r="F26" s="38">
        <f>'Headloss Calcs'!$H$18</f>
        <v>100</v>
      </c>
      <c r="G26" s="53">
        <f t="shared" si="10"/>
        <v>7.0686</v>
      </c>
      <c r="H26" s="53">
        <f t="shared" si="11"/>
        <v>9.4247999999999994</v>
      </c>
      <c r="I26" s="53">
        <f t="shared" si="12"/>
        <v>0.75</v>
      </c>
      <c r="J26" s="53">
        <f t="shared" si="13"/>
        <v>0.4378055360777624</v>
      </c>
      <c r="K26" s="53">
        <f t="shared" si="14"/>
        <v>4.7942075366588434E-2</v>
      </c>
      <c r="L26" s="53"/>
      <c r="M26" s="58">
        <f t="shared" si="15"/>
        <v>0</v>
      </c>
      <c r="N26" s="58">
        <f t="shared" si="16"/>
        <v>4.7942075366588434E-2</v>
      </c>
      <c r="O26" s="59">
        <f t="shared" si="17"/>
        <v>9.7967560379050092E-2</v>
      </c>
    </row>
    <row r="27" spans="1:15" x14ac:dyDescent="0.2">
      <c r="A27" s="37"/>
      <c r="B27" s="55">
        <v>36</v>
      </c>
      <c r="C27" s="56" t="s">
        <v>39</v>
      </c>
      <c r="D27" s="57">
        <f>'Headloss Calcs'!$A$22</f>
        <v>2</v>
      </c>
      <c r="E27" s="53">
        <f t="shared" si="9"/>
        <v>3.0946722123192711</v>
      </c>
      <c r="F27" s="38">
        <f>'Headloss Calcs'!$H$18</f>
        <v>100</v>
      </c>
      <c r="G27" s="53">
        <f t="shared" si="10"/>
        <v>7.0686</v>
      </c>
      <c r="H27" s="53">
        <f t="shared" si="11"/>
        <v>9.4247999999999994</v>
      </c>
      <c r="I27" s="53">
        <f t="shared" si="12"/>
        <v>0.75</v>
      </c>
      <c r="J27" s="53">
        <f t="shared" si="13"/>
        <v>0.4378055360777624</v>
      </c>
      <c r="K27" s="53">
        <f t="shared" si="14"/>
        <v>0</v>
      </c>
      <c r="L27" s="53">
        <v>0.4</v>
      </c>
      <c r="M27" s="58">
        <f t="shared" si="15"/>
        <v>1.1905197976418442E-3</v>
      </c>
      <c r="N27" s="58">
        <f t="shared" si="16"/>
        <v>1.1905197976418442E-3</v>
      </c>
      <c r="O27" s="59">
        <f t="shared" si="17"/>
        <v>9.9158080176691935E-2</v>
      </c>
    </row>
    <row r="28" spans="1:15" x14ac:dyDescent="0.2">
      <c r="A28" s="37">
        <v>1320</v>
      </c>
      <c r="B28" s="55">
        <v>36</v>
      </c>
      <c r="C28" s="56" t="s">
        <v>23</v>
      </c>
      <c r="D28" s="57">
        <f>'Headloss Calcs'!$A$22</f>
        <v>2</v>
      </c>
      <c r="E28" s="53">
        <f t="shared" si="9"/>
        <v>3.0946722123192711</v>
      </c>
      <c r="F28" s="38">
        <f>'Headloss Calcs'!$H$18</f>
        <v>100</v>
      </c>
      <c r="G28" s="53">
        <f t="shared" si="10"/>
        <v>7.0686</v>
      </c>
      <c r="H28" s="53">
        <f t="shared" si="11"/>
        <v>9.4247999999999994</v>
      </c>
      <c r="I28" s="53">
        <f t="shared" si="12"/>
        <v>0.75</v>
      </c>
      <c r="J28" s="53">
        <f t="shared" si="13"/>
        <v>0.4378055360777624</v>
      </c>
      <c r="K28" s="53">
        <f t="shared" si="14"/>
        <v>4.7942075366588434E-2</v>
      </c>
      <c r="L28" s="53"/>
      <c r="M28" s="58">
        <f t="shared" si="15"/>
        <v>0</v>
      </c>
      <c r="N28" s="58">
        <f t="shared" si="16"/>
        <v>4.7942075366588434E-2</v>
      </c>
      <c r="O28" s="59">
        <f t="shared" si="17"/>
        <v>0.14710015554328038</v>
      </c>
    </row>
    <row r="29" spans="1:15" x14ac:dyDescent="0.2">
      <c r="A29" s="37"/>
      <c r="B29" s="55">
        <v>36</v>
      </c>
      <c r="C29" s="56" t="s">
        <v>39</v>
      </c>
      <c r="D29" s="57">
        <f>'Headloss Calcs'!$A$22</f>
        <v>2</v>
      </c>
      <c r="E29" s="53">
        <f t="shared" si="9"/>
        <v>3.0946722123192711</v>
      </c>
      <c r="F29" s="38">
        <f>'Headloss Calcs'!$H$18</f>
        <v>100</v>
      </c>
      <c r="G29" s="53">
        <f t="shared" si="10"/>
        <v>7.0686</v>
      </c>
      <c r="H29" s="53">
        <f t="shared" si="11"/>
        <v>9.4247999999999994</v>
      </c>
      <c r="I29" s="53">
        <f t="shared" si="12"/>
        <v>0.75</v>
      </c>
      <c r="J29" s="53">
        <f t="shared" si="13"/>
        <v>0.4378055360777624</v>
      </c>
      <c r="K29" s="53">
        <f t="shared" si="14"/>
        <v>0</v>
      </c>
      <c r="L29" s="53">
        <v>0.4</v>
      </c>
      <c r="M29" s="58">
        <f t="shared" si="15"/>
        <v>1.1905197976418442E-3</v>
      </c>
      <c r="N29" s="58">
        <f t="shared" si="16"/>
        <v>1.1905197976418442E-3</v>
      </c>
      <c r="O29" s="59">
        <f t="shared" si="17"/>
        <v>0.14829067534092222</v>
      </c>
    </row>
    <row r="30" spans="1:15" x14ac:dyDescent="0.2">
      <c r="A30" s="37">
        <v>1320</v>
      </c>
      <c r="B30" s="55">
        <v>36</v>
      </c>
      <c r="C30" s="56" t="s">
        <v>23</v>
      </c>
      <c r="D30" s="57">
        <f>'Headloss Calcs'!$A$22</f>
        <v>2</v>
      </c>
      <c r="E30" s="53">
        <f t="shared" si="9"/>
        <v>3.0946722123192711</v>
      </c>
      <c r="F30" s="38">
        <f>'Headloss Calcs'!$H$18</f>
        <v>100</v>
      </c>
      <c r="G30" s="53">
        <f t="shared" si="10"/>
        <v>7.0686</v>
      </c>
      <c r="H30" s="53">
        <f t="shared" si="11"/>
        <v>9.4247999999999994</v>
      </c>
      <c r="I30" s="53">
        <f t="shared" si="12"/>
        <v>0.75</v>
      </c>
      <c r="J30" s="53">
        <f t="shared" si="13"/>
        <v>0.4378055360777624</v>
      </c>
      <c r="K30" s="53">
        <f t="shared" si="14"/>
        <v>4.7942075366588434E-2</v>
      </c>
      <c r="L30" s="53"/>
      <c r="M30" s="58">
        <f t="shared" si="15"/>
        <v>0</v>
      </c>
      <c r="N30" s="58">
        <f t="shared" si="16"/>
        <v>4.7942075366588434E-2</v>
      </c>
      <c r="O30" s="59">
        <f t="shared" si="17"/>
        <v>0.19623275070751064</v>
      </c>
    </row>
    <row r="31" spans="1:15" x14ac:dyDescent="0.2">
      <c r="A31" s="37"/>
      <c r="B31" s="55">
        <v>36</v>
      </c>
      <c r="C31" s="56" t="s">
        <v>48</v>
      </c>
      <c r="D31" s="57">
        <f>'Headloss Calcs'!$A$22</f>
        <v>2</v>
      </c>
      <c r="E31" s="53">
        <f t="shared" si="9"/>
        <v>3.0946722123192711</v>
      </c>
      <c r="F31" s="38">
        <f>'Headloss Calcs'!$H$18</f>
        <v>100</v>
      </c>
      <c r="G31" s="53">
        <f t="shared" si="10"/>
        <v>7.0686</v>
      </c>
      <c r="H31" s="53">
        <f t="shared" si="11"/>
        <v>9.4247999999999994</v>
      </c>
      <c r="I31" s="53">
        <f t="shared" si="12"/>
        <v>0.75</v>
      </c>
      <c r="J31" s="53">
        <f t="shared" si="13"/>
        <v>0.4378055360777624</v>
      </c>
      <c r="K31" s="53">
        <f t="shared" si="14"/>
        <v>0</v>
      </c>
      <c r="L31" s="53">
        <v>0.4</v>
      </c>
      <c r="M31" s="58">
        <f t="shared" si="15"/>
        <v>1.1905197976418442E-3</v>
      </c>
      <c r="N31" s="58">
        <f t="shared" si="16"/>
        <v>1.1905197976418442E-3</v>
      </c>
      <c r="O31" s="59">
        <f t="shared" si="17"/>
        <v>0.19742327050515249</v>
      </c>
    </row>
    <row r="32" spans="1:15" x14ac:dyDescent="0.2">
      <c r="A32" s="37">
        <v>1320</v>
      </c>
      <c r="B32" s="55">
        <v>36</v>
      </c>
      <c r="C32" s="56" t="s">
        <v>23</v>
      </c>
      <c r="D32" s="57">
        <f>'Headloss Calcs'!$A$22</f>
        <v>2</v>
      </c>
      <c r="E32" s="53">
        <f t="shared" si="9"/>
        <v>3.0946722123192711</v>
      </c>
      <c r="F32" s="38">
        <f>'Headloss Calcs'!$H$18</f>
        <v>100</v>
      </c>
      <c r="G32" s="53">
        <f t="shared" si="10"/>
        <v>7.0686</v>
      </c>
      <c r="H32" s="53">
        <f t="shared" si="11"/>
        <v>9.4247999999999994</v>
      </c>
      <c r="I32" s="53">
        <f t="shared" si="12"/>
        <v>0.75</v>
      </c>
      <c r="J32" s="53">
        <f t="shared" si="13"/>
        <v>0.4378055360777624</v>
      </c>
      <c r="K32" s="53">
        <f t="shared" si="14"/>
        <v>4.7942075366588434E-2</v>
      </c>
      <c r="L32" s="53"/>
      <c r="M32" s="58">
        <f t="shared" si="15"/>
        <v>0</v>
      </c>
      <c r="N32" s="58">
        <f t="shared" si="16"/>
        <v>4.7942075366588434E-2</v>
      </c>
      <c r="O32" s="59">
        <f t="shared" si="17"/>
        <v>0.24536534587174091</v>
      </c>
    </row>
    <row r="33" spans="1:15" x14ac:dyDescent="0.2">
      <c r="A33" s="37"/>
      <c r="B33" s="55">
        <v>36</v>
      </c>
      <c r="C33" s="56" t="s">
        <v>39</v>
      </c>
      <c r="D33" s="57">
        <f>'Headloss Calcs'!$A$22</f>
        <v>2</v>
      </c>
      <c r="E33" s="53">
        <f t="shared" si="9"/>
        <v>3.0946722123192711</v>
      </c>
      <c r="F33" s="38">
        <f>'Headloss Calcs'!$H$18</f>
        <v>100</v>
      </c>
      <c r="G33" s="53">
        <f t="shared" si="10"/>
        <v>7.0686</v>
      </c>
      <c r="H33" s="53">
        <f t="shared" si="11"/>
        <v>9.4247999999999994</v>
      </c>
      <c r="I33" s="53">
        <f t="shared" si="12"/>
        <v>0.75</v>
      </c>
      <c r="J33" s="53">
        <f t="shared" si="13"/>
        <v>0.4378055360777624</v>
      </c>
      <c r="K33" s="53">
        <f t="shared" si="14"/>
        <v>0</v>
      </c>
      <c r="L33" s="53">
        <v>0.4</v>
      </c>
      <c r="M33" s="58">
        <f t="shared" si="15"/>
        <v>1.1905197976418442E-3</v>
      </c>
      <c r="N33" s="58">
        <f t="shared" si="16"/>
        <v>1.1905197976418442E-3</v>
      </c>
      <c r="O33" s="59">
        <f t="shared" si="17"/>
        <v>0.24655586566938276</v>
      </c>
    </row>
    <row r="34" spans="1:15" x14ac:dyDescent="0.2">
      <c r="A34" s="37">
        <v>1320</v>
      </c>
      <c r="B34" s="55">
        <v>36</v>
      </c>
      <c r="C34" s="56" t="s">
        <v>23</v>
      </c>
      <c r="D34" s="57">
        <f>'Headloss Calcs'!$A$22</f>
        <v>2</v>
      </c>
      <c r="E34" s="53">
        <f t="shared" si="9"/>
        <v>3.0946722123192711</v>
      </c>
      <c r="F34" s="38">
        <f>'Headloss Calcs'!$H$18</f>
        <v>100</v>
      </c>
      <c r="G34" s="53">
        <f t="shared" si="10"/>
        <v>7.0686</v>
      </c>
      <c r="H34" s="53">
        <f t="shared" si="11"/>
        <v>9.4247999999999994</v>
      </c>
      <c r="I34" s="53">
        <f t="shared" si="12"/>
        <v>0.75</v>
      </c>
      <c r="J34" s="53">
        <f t="shared" si="13"/>
        <v>0.4378055360777624</v>
      </c>
      <c r="K34" s="53">
        <f t="shared" si="14"/>
        <v>4.7942075366588434E-2</v>
      </c>
      <c r="L34" s="53"/>
      <c r="M34" s="58">
        <f t="shared" si="15"/>
        <v>0</v>
      </c>
      <c r="N34" s="58">
        <f t="shared" si="16"/>
        <v>4.7942075366588434E-2</v>
      </c>
      <c r="O34" s="59">
        <f t="shared" si="17"/>
        <v>0.29449794103597121</v>
      </c>
    </row>
    <row r="35" spans="1:15" x14ac:dyDescent="0.2">
      <c r="A35" s="37"/>
      <c r="B35" s="55">
        <v>36</v>
      </c>
      <c r="C35" s="56" t="s">
        <v>45</v>
      </c>
      <c r="D35" s="57">
        <f>'Headloss Calcs'!$A$22</f>
        <v>2</v>
      </c>
      <c r="E35" s="53">
        <f t="shared" si="9"/>
        <v>3.0946722123192711</v>
      </c>
      <c r="F35" s="38">
        <f>'Headloss Calcs'!$H$18</f>
        <v>100</v>
      </c>
      <c r="G35" s="53">
        <f t="shared" si="10"/>
        <v>7.0686</v>
      </c>
      <c r="H35" s="53">
        <f t="shared" si="11"/>
        <v>9.4247999999999994</v>
      </c>
      <c r="I35" s="53">
        <f t="shared" si="12"/>
        <v>0.75</v>
      </c>
      <c r="J35" s="53">
        <f t="shared" si="13"/>
        <v>0.4378055360777624</v>
      </c>
      <c r="K35" s="53">
        <f t="shared" si="14"/>
        <v>0</v>
      </c>
      <c r="L35" s="53">
        <v>0.2</v>
      </c>
      <c r="M35" s="58">
        <f t="shared" si="15"/>
        <v>5.952598988209221E-4</v>
      </c>
      <c r="N35" s="58">
        <f t="shared" si="16"/>
        <v>5.952598988209221E-4</v>
      </c>
      <c r="O35" s="59">
        <f t="shared" si="17"/>
        <v>0.29509320093479213</v>
      </c>
    </row>
    <row r="36" spans="1:15" x14ac:dyDescent="0.2">
      <c r="A36" s="37">
        <v>1320</v>
      </c>
      <c r="B36" s="55">
        <v>36</v>
      </c>
      <c r="C36" s="56" t="s">
        <v>23</v>
      </c>
      <c r="D36" s="57">
        <f>'Headloss Calcs'!$A$22</f>
        <v>2</v>
      </c>
      <c r="E36" s="53">
        <f t="shared" si="9"/>
        <v>3.0946722123192711</v>
      </c>
      <c r="F36" s="38">
        <f>'Headloss Calcs'!$H$18</f>
        <v>100</v>
      </c>
      <c r="G36" s="53">
        <f t="shared" si="10"/>
        <v>7.0686</v>
      </c>
      <c r="H36" s="53">
        <f t="shared" si="11"/>
        <v>9.4247999999999994</v>
      </c>
      <c r="I36" s="53">
        <f t="shared" si="12"/>
        <v>0.75</v>
      </c>
      <c r="J36" s="53">
        <f t="shared" si="13"/>
        <v>0.4378055360777624</v>
      </c>
      <c r="K36" s="53">
        <f t="shared" si="14"/>
        <v>4.7942075366588434E-2</v>
      </c>
      <c r="L36" s="53"/>
      <c r="M36" s="58">
        <f t="shared" si="15"/>
        <v>0</v>
      </c>
      <c r="N36" s="58">
        <f t="shared" si="16"/>
        <v>4.7942075366588434E-2</v>
      </c>
      <c r="O36" s="59">
        <f t="shared" si="17"/>
        <v>0.34303527630138059</v>
      </c>
    </row>
    <row r="37" spans="1:15" ht="12" customHeight="1" x14ac:dyDescent="0.2">
      <c r="A37" s="37"/>
      <c r="B37" s="55">
        <v>36</v>
      </c>
      <c r="C37" s="56" t="s">
        <v>44</v>
      </c>
      <c r="D37" s="57">
        <f>'Headloss Calcs'!$A$22</f>
        <v>2</v>
      </c>
      <c r="E37" s="53">
        <f t="shared" si="9"/>
        <v>3.0946722123192711</v>
      </c>
      <c r="F37" s="38">
        <f>'Headloss Calcs'!$H$18</f>
        <v>100</v>
      </c>
      <c r="G37" s="53">
        <f t="shared" si="10"/>
        <v>7.0686</v>
      </c>
      <c r="H37" s="53">
        <f t="shared" si="11"/>
        <v>9.4247999999999994</v>
      </c>
      <c r="I37" s="53">
        <f t="shared" si="12"/>
        <v>0.75</v>
      </c>
      <c r="J37" s="53">
        <f t="shared" si="13"/>
        <v>0.4378055360777624</v>
      </c>
      <c r="K37" s="53">
        <f t="shared" si="14"/>
        <v>0</v>
      </c>
      <c r="L37" s="53">
        <v>1</v>
      </c>
      <c r="M37" s="58">
        <f t="shared" si="15"/>
        <v>2.9762994941046101E-3</v>
      </c>
      <c r="N37" s="58">
        <f t="shared" si="16"/>
        <v>2.9762994941046101E-3</v>
      </c>
      <c r="O37" s="59">
        <f t="shared" si="17"/>
        <v>0.34601157579548519</v>
      </c>
    </row>
    <row r="38" spans="1:15" ht="13.5" thickBot="1" x14ac:dyDescent="0.25">
      <c r="A38" s="39"/>
      <c r="B38" s="40"/>
      <c r="C38" s="41"/>
      <c r="D38" s="40"/>
      <c r="E38" s="42"/>
      <c r="F38" s="40"/>
      <c r="G38" s="54"/>
      <c r="H38" s="54"/>
      <c r="I38" s="54"/>
      <c r="J38" s="54"/>
      <c r="K38" s="54"/>
      <c r="L38" s="54"/>
      <c r="M38" s="60"/>
      <c r="N38" s="60" t="s">
        <v>40</v>
      </c>
      <c r="O38" s="61">
        <f>O37</f>
        <v>0.34601157579548519</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Calcs'!$A$23</f>
        <v>3</v>
      </c>
      <c r="E3" s="53">
        <f t="shared" ref="E3:E18" si="0">D3*1000000/(7.48*24*60*60)</f>
        <v>4.6420083184789069</v>
      </c>
      <c r="F3" s="38">
        <f>'Headloss Calcs'!$E$18</f>
        <v>140</v>
      </c>
      <c r="G3" s="53">
        <f t="shared" ref="G3:G18" si="1">3.1416/4*(B3/12)^2</f>
        <v>7.0686</v>
      </c>
      <c r="H3" s="53">
        <f t="shared" ref="H3:H18" si="2">3.1416*(B3/12)</f>
        <v>9.4247999999999994</v>
      </c>
      <c r="I3" s="53">
        <f t="shared" ref="I3:I18" si="3">G3/H3</f>
        <v>0.75</v>
      </c>
      <c r="J3" s="53">
        <f t="shared" ref="J3:J18" si="4">E3/G3</f>
        <v>0.6567083041166436</v>
      </c>
      <c r="K3" s="53">
        <f t="shared" ref="K3:K18" si="5">(J3/(1.318*F3*I3^0.63))^1.85*A3</f>
        <v>0</v>
      </c>
      <c r="L3" s="53">
        <v>0.25</v>
      </c>
      <c r="M3" s="58">
        <f t="shared" ref="M3:M18" si="6">L3*(J3^2)/(2*32.2)</f>
        <v>1.6741684654338431E-3</v>
      </c>
      <c r="N3" s="58">
        <f t="shared" ref="N3:N18" si="7">K3+M3</f>
        <v>1.6741684654338431E-3</v>
      </c>
      <c r="O3" s="59">
        <f>N3</f>
        <v>1.6741684654338431E-3</v>
      </c>
    </row>
    <row r="4" spans="1:15" x14ac:dyDescent="0.2">
      <c r="A4" s="37"/>
      <c r="B4" s="55">
        <v>36</v>
      </c>
      <c r="C4" s="56" t="s">
        <v>47</v>
      </c>
      <c r="D4" s="57">
        <f>'Headloss Calcs'!$A$23</f>
        <v>3</v>
      </c>
      <c r="E4" s="53">
        <f t="shared" si="0"/>
        <v>4.6420083184789069</v>
      </c>
      <c r="F4" s="38">
        <f>'Headloss Calcs'!$E$18</f>
        <v>140</v>
      </c>
      <c r="G4" s="53">
        <f t="shared" si="1"/>
        <v>7.0686</v>
      </c>
      <c r="H4" s="53">
        <f t="shared" si="2"/>
        <v>9.4247999999999994</v>
      </c>
      <c r="I4" s="53">
        <f t="shared" si="3"/>
        <v>0.75</v>
      </c>
      <c r="J4" s="53">
        <f t="shared" si="4"/>
        <v>0.6567083041166436</v>
      </c>
      <c r="K4" s="53">
        <f t="shared" si="5"/>
        <v>0</v>
      </c>
      <c r="L4" s="53">
        <v>0.25</v>
      </c>
      <c r="M4" s="58">
        <f t="shared" si="6"/>
        <v>1.6741684654338431E-3</v>
      </c>
      <c r="N4" s="58">
        <f t="shared" si="7"/>
        <v>1.6741684654338431E-3</v>
      </c>
      <c r="O4" s="59">
        <f t="shared" ref="O4:O18" si="8">N4+O3</f>
        <v>3.3483369308676863E-3</v>
      </c>
    </row>
    <row r="5" spans="1:15" x14ac:dyDescent="0.2">
      <c r="A5" s="37">
        <v>1320</v>
      </c>
      <c r="B5" s="55">
        <v>36</v>
      </c>
      <c r="C5" s="56" t="s">
        <v>23</v>
      </c>
      <c r="D5" s="57">
        <f>'Headloss Calcs'!$A$23</f>
        <v>3</v>
      </c>
      <c r="E5" s="53">
        <f t="shared" si="0"/>
        <v>4.6420083184789069</v>
      </c>
      <c r="F5" s="38">
        <f>'Headloss Calcs'!$E$18</f>
        <v>140</v>
      </c>
      <c r="G5" s="53">
        <f t="shared" si="1"/>
        <v>7.0686</v>
      </c>
      <c r="H5" s="53">
        <f t="shared" si="2"/>
        <v>9.4247999999999994</v>
      </c>
      <c r="I5" s="53">
        <f t="shared" si="3"/>
        <v>0.75</v>
      </c>
      <c r="J5" s="53">
        <f t="shared" si="4"/>
        <v>0.6567083041166436</v>
      </c>
      <c r="K5" s="53">
        <f t="shared" si="5"/>
        <v>5.4468923674831457E-2</v>
      </c>
      <c r="L5" s="53"/>
      <c r="M5" s="58">
        <f t="shared" si="6"/>
        <v>0</v>
      </c>
      <c r="N5" s="58">
        <f t="shared" si="7"/>
        <v>5.4468923674831457E-2</v>
      </c>
      <c r="O5" s="59">
        <f t="shared" si="8"/>
        <v>5.7817260605699146E-2</v>
      </c>
    </row>
    <row r="6" spans="1:15" x14ac:dyDescent="0.2">
      <c r="A6" s="37"/>
      <c r="B6" s="55">
        <v>36</v>
      </c>
      <c r="C6" s="56" t="s">
        <v>45</v>
      </c>
      <c r="D6" s="57">
        <f>'Headloss Calcs'!$A$23</f>
        <v>3</v>
      </c>
      <c r="E6" s="53">
        <f t="shared" si="0"/>
        <v>4.6420083184789069</v>
      </c>
      <c r="F6" s="38">
        <f>'Headloss Calcs'!$E$18</f>
        <v>140</v>
      </c>
      <c r="G6" s="53">
        <f t="shared" si="1"/>
        <v>7.0686</v>
      </c>
      <c r="H6" s="53">
        <f t="shared" si="2"/>
        <v>9.4247999999999994</v>
      </c>
      <c r="I6" s="53">
        <f t="shared" si="3"/>
        <v>0.75</v>
      </c>
      <c r="J6" s="53">
        <f t="shared" si="4"/>
        <v>0.6567083041166436</v>
      </c>
      <c r="K6" s="53">
        <f t="shared" si="5"/>
        <v>0</v>
      </c>
      <c r="L6" s="53">
        <v>0.2</v>
      </c>
      <c r="M6" s="58">
        <f t="shared" si="6"/>
        <v>1.3393347723470747E-3</v>
      </c>
      <c r="N6" s="58">
        <f t="shared" si="7"/>
        <v>1.3393347723470747E-3</v>
      </c>
      <c r="O6" s="59">
        <f t="shared" si="8"/>
        <v>5.9156595378046219E-2</v>
      </c>
    </row>
    <row r="7" spans="1:15" x14ac:dyDescent="0.2">
      <c r="A7" s="37">
        <v>1320</v>
      </c>
      <c r="B7" s="55">
        <v>36</v>
      </c>
      <c r="C7" s="69" t="s">
        <v>23</v>
      </c>
      <c r="D7" s="57">
        <f>'Headloss Calcs'!$A$23</f>
        <v>3</v>
      </c>
      <c r="E7" s="53">
        <f t="shared" si="0"/>
        <v>4.6420083184789069</v>
      </c>
      <c r="F7" s="38">
        <f>'Headloss Calcs'!$E$18</f>
        <v>140</v>
      </c>
      <c r="G7" s="53">
        <f t="shared" si="1"/>
        <v>7.0686</v>
      </c>
      <c r="H7" s="53">
        <f t="shared" si="2"/>
        <v>9.4247999999999994</v>
      </c>
      <c r="I7" s="53">
        <f t="shared" si="3"/>
        <v>0.75</v>
      </c>
      <c r="J7" s="53">
        <f t="shared" si="4"/>
        <v>0.6567083041166436</v>
      </c>
      <c r="K7" s="53">
        <f t="shared" si="5"/>
        <v>5.4468923674831457E-2</v>
      </c>
      <c r="L7" s="53"/>
      <c r="M7" s="58">
        <f t="shared" si="6"/>
        <v>0</v>
      </c>
      <c r="N7" s="58">
        <f t="shared" si="7"/>
        <v>5.4468923674831457E-2</v>
      </c>
      <c r="O7" s="59">
        <f t="shared" si="8"/>
        <v>0.11362551905287768</v>
      </c>
    </row>
    <row r="8" spans="1:15" x14ac:dyDescent="0.2">
      <c r="A8" s="37"/>
      <c r="B8" s="55">
        <v>36</v>
      </c>
      <c r="C8" s="56" t="s">
        <v>39</v>
      </c>
      <c r="D8" s="57">
        <f>'Headloss Calcs'!$A$23</f>
        <v>3</v>
      </c>
      <c r="E8" s="53">
        <f t="shared" si="0"/>
        <v>4.6420083184789069</v>
      </c>
      <c r="F8" s="38">
        <f>'Headloss Calcs'!$E$18</f>
        <v>140</v>
      </c>
      <c r="G8" s="53">
        <f t="shared" si="1"/>
        <v>7.0686</v>
      </c>
      <c r="H8" s="53">
        <f t="shared" si="2"/>
        <v>9.4247999999999994</v>
      </c>
      <c r="I8" s="53">
        <f t="shared" si="3"/>
        <v>0.75</v>
      </c>
      <c r="J8" s="53">
        <f t="shared" si="4"/>
        <v>0.6567083041166436</v>
      </c>
      <c r="K8" s="53">
        <f t="shared" si="5"/>
        <v>0</v>
      </c>
      <c r="L8" s="53">
        <v>0.4</v>
      </c>
      <c r="M8" s="58">
        <f t="shared" si="6"/>
        <v>2.6786695446941494E-3</v>
      </c>
      <c r="N8" s="58">
        <f t="shared" si="7"/>
        <v>2.6786695446941494E-3</v>
      </c>
      <c r="O8" s="59">
        <f t="shared" si="8"/>
        <v>0.11630418859757183</v>
      </c>
    </row>
    <row r="9" spans="1:15" x14ac:dyDescent="0.2">
      <c r="A9" s="37">
        <v>1320</v>
      </c>
      <c r="B9" s="55">
        <v>36</v>
      </c>
      <c r="C9" s="56" t="s">
        <v>23</v>
      </c>
      <c r="D9" s="57">
        <f>'Headloss Calcs'!$A$23</f>
        <v>3</v>
      </c>
      <c r="E9" s="53">
        <f t="shared" si="0"/>
        <v>4.6420083184789069</v>
      </c>
      <c r="F9" s="38">
        <f>'Headloss Calcs'!$E$18</f>
        <v>140</v>
      </c>
      <c r="G9" s="53">
        <f t="shared" si="1"/>
        <v>7.0686</v>
      </c>
      <c r="H9" s="53">
        <f t="shared" si="2"/>
        <v>9.4247999999999994</v>
      </c>
      <c r="I9" s="53">
        <f t="shared" si="3"/>
        <v>0.75</v>
      </c>
      <c r="J9" s="53">
        <f t="shared" si="4"/>
        <v>0.6567083041166436</v>
      </c>
      <c r="K9" s="53">
        <f t="shared" si="5"/>
        <v>5.4468923674831457E-2</v>
      </c>
      <c r="L9" s="53"/>
      <c r="M9" s="58">
        <f t="shared" si="6"/>
        <v>0</v>
      </c>
      <c r="N9" s="58">
        <f t="shared" si="7"/>
        <v>5.4468923674831457E-2</v>
      </c>
      <c r="O9" s="59">
        <f t="shared" si="8"/>
        <v>0.17077311227240327</v>
      </c>
    </row>
    <row r="10" spans="1:15" x14ac:dyDescent="0.2">
      <c r="A10" s="37"/>
      <c r="B10" s="55">
        <v>36</v>
      </c>
      <c r="C10" s="56" t="s">
        <v>39</v>
      </c>
      <c r="D10" s="57">
        <f>'Headloss Calcs'!$A$23</f>
        <v>3</v>
      </c>
      <c r="E10" s="53">
        <f t="shared" si="0"/>
        <v>4.6420083184789069</v>
      </c>
      <c r="F10" s="38">
        <f>'Headloss Calcs'!$E$18</f>
        <v>140</v>
      </c>
      <c r="G10" s="53">
        <f t="shared" si="1"/>
        <v>7.0686</v>
      </c>
      <c r="H10" s="53">
        <f t="shared" si="2"/>
        <v>9.4247999999999994</v>
      </c>
      <c r="I10" s="53">
        <f t="shared" si="3"/>
        <v>0.75</v>
      </c>
      <c r="J10" s="53">
        <f t="shared" si="4"/>
        <v>0.6567083041166436</v>
      </c>
      <c r="K10" s="53">
        <f t="shared" si="5"/>
        <v>0</v>
      </c>
      <c r="L10" s="53">
        <v>0.4</v>
      </c>
      <c r="M10" s="58">
        <f t="shared" si="6"/>
        <v>2.6786695446941494E-3</v>
      </c>
      <c r="N10" s="58">
        <f t="shared" si="7"/>
        <v>2.6786695446941494E-3</v>
      </c>
      <c r="O10" s="59">
        <f t="shared" si="8"/>
        <v>0.17345178181709742</v>
      </c>
    </row>
    <row r="11" spans="1:15" x14ac:dyDescent="0.2">
      <c r="A11" s="37">
        <v>1320</v>
      </c>
      <c r="B11" s="55">
        <v>36</v>
      </c>
      <c r="C11" s="56" t="s">
        <v>23</v>
      </c>
      <c r="D11" s="57">
        <f>'Headloss Calcs'!$A$23</f>
        <v>3</v>
      </c>
      <c r="E11" s="53">
        <f t="shared" si="0"/>
        <v>4.6420083184789069</v>
      </c>
      <c r="F11" s="38">
        <f>'Headloss Calcs'!$E$18</f>
        <v>140</v>
      </c>
      <c r="G11" s="53">
        <f t="shared" si="1"/>
        <v>7.0686</v>
      </c>
      <c r="H11" s="53">
        <f t="shared" si="2"/>
        <v>9.4247999999999994</v>
      </c>
      <c r="I11" s="53">
        <f t="shared" si="3"/>
        <v>0.75</v>
      </c>
      <c r="J11" s="53">
        <f t="shared" si="4"/>
        <v>0.6567083041166436</v>
      </c>
      <c r="K11" s="53">
        <f t="shared" si="5"/>
        <v>5.4468923674831457E-2</v>
      </c>
      <c r="L11" s="53"/>
      <c r="M11" s="58">
        <f t="shared" si="6"/>
        <v>0</v>
      </c>
      <c r="N11" s="58">
        <f t="shared" si="7"/>
        <v>5.4468923674831457E-2</v>
      </c>
      <c r="O11" s="59">
        <f t="shared" si="8"/>
        <v>0.22792070549192889</v>
      </c>
    </row>
    <row r="12" spans="1:15" x14ac:dyDescent="0.2">
      <c r="A12" s="37"/>
      <c r="B12" s="55">
        <v>36</v>
      </c>
      <c r="C12" s="56" t="s">
        <v>48</v>
      </c>
      <c r="D12" s="57">
        <f>'Headloss Calcs'!$A$23</f>
        <v>3</v>
      </c>
      <c r="E12" s="53">
        <f t="shared" si="0"/>
        <v>4.6420083184789069</v>
      </c>
      <c r="F12" s="38">
        <f>'Headloss Calcs'!$E$18</f>
        <v>140</v>
      </c>
      <c r="G12" s="53">
        <f t="shared" si="1"/>
        <v>7.0686</v>
      </c>
      <c r="H12" s="53">
        <f t="shared" si="2"/>
        <v>9.4247999999999994</v>
      </c>
      <c r="I12" s="53">
        <f t="shared" si="3"/>
        <v>0.75</v>
      </c>
      <c r="J12" s="53">
        <f t="shared" si="4"/>
        <v>0.6567083041166436</v>
      </c>
      <c r="K12" s="53">
        <f t="shared" si="5"/>
        <v>0</v>
      </c>
      <c r="L12" s="53">
        <v>0.4</v>
      </c>
      <c r="M12" s="58">
        <f t="shared" si="6"/>
        <v>2.6786695446941494E-3</v>
      </c>
      <c r="N12" s="58">
        <f t="shared" si="7"/>
        <v>2.6786695446941494E-3</v>
      </c>
      <c r="O12" s="59">
        <f t="shared" si="8"/>
        <v>0.23059937503662303</v>
      </c>
    </row>
    <row r="13" spans="1:15" x14ac:dyDescent="0.2">
      <c r="A13" s="37">
        <v>1320</v>
      </c>
      <c r="B13" s="55">
        <v>36</v>
      </c>
      <c r="C13" s="56" t="s">
        <v>23</v>
      </c>
      <c r="D13" s="57">
        <f>'Headloss Calcs'!$A$23</f>
        <v>3</v>
      </c>
      <c r="E13" s="53">
        <f t="shared" si="0"/>
        <v>4.6420083184789069</v>
      </c>
      <c r="F13" s="38">
        <f>'Headloss Calcs'!$E$18</f>
        <v>140</v>
      </c>
      <c r="G13" s="53">
        <f t="shared" si="1"/>
        <v>7.0686</v>
      </c>
      <c r="H13" s="53">
        <f t="shared" si="2"/>
        <v>9.4247999999999994</v>
      </c>
      <c r="I13" s="53">
        <f t="shared" si="3"/>
        <v>0.75</v>
      </c>
      <c r="J13" s="53">
        <f t="shared" si="4"/>
        <v>0.6567083041166436</v>
      </c>
      <c r="K13" s="53">
        <f t="shared" si="5"/>
        <v>5.4468923674831457E-2</v>
      </c>
      <c r="L13" s="53"/>
      <c r="M13" s="58">
        <f t="shared" si="6"/>
        <v>0</v>
      </c>
      <c r="N13" s="58">
        <f t="shared" si="7"/>
        <v>5.4468923674831457E-2</v>
      </c>
      <c r="O13" s="59">
        <f t="shared" si="8"/>
        <v>0.2850682987114545</v>
      </c>
    </row>
    <row r="14" spans="1:15" x14ac:dyDescent="0.2">
      <c r="A14" s="37"/>
      <c r="B14" s="55">
        <v>36</v>
      </c>
      <c r="C14" s="56" t="s">
        <v>39</v>
      </c>
      <c r="D14" s="57">
        <f>'Headloss Calcs'!$A$23</f>
        <v>3</v>
      </c>
      <c r="E14" s="53">
        <f t="shared" si="0"/>
        <v>4.6420083184789069</v>
      </c>
      <c r="F14" s="38">
        <f>'Headloss Calcs'!$E$18</f>
        <v>140</v>
      </c>
      <c r="G14" s="53">
        <f t="shared" si="1"/>
        <v>7.0686</v>
      </c>
      <c r="H14" s="53">
        <f t="shared" si="2"/>
        <v>9.4247999999999994</v>
      </c>
      <c r="I14" s="53">
        <f t="shared" si="3"/>
        <v>0.75</v>
      </c>
      <c r="J14" s="53">
        <f t="shared" si="4"/>
        <v>0.6567083041166436</v>
      </c>
      <c r="K14" s="53">
        <f t="shared" si="5"/>
        <v>0</v>
      </c>
      <c r="L14" s="53">
        <v>0.4</v>
      </c>
      <c r="M14" s="58">
        <f t="shared" si="6"/>
        <v>2.6786695446941494E-3</v>
      </c>
      <c r="N14" s="58">
        <f t="shared" si="7"/>
        <v>2.6786695446941494E-3</v>
      </c>
      <c r="O14" s="59">
        <f t="shared" si="8"/>
        <v>0.28774696825614865</v>
      </c>
    </row>
    <row r="15" spans="1:15" x14ac:dyDescent="0.2">
      <c r="A15" s="37">
        <v>1320</v>
      </c>
      <c r="B15" s="55">
        <v>36</v>
      </c>
      <c r="C15" s="56" t="s">
        <v>23</v>
      </c>
      <c r="D15" s="57">
        <f>'Headloss Calcs'!$A$23</f>
        <v>3</v>
      </c>
      <c r="E15" s="53">
        <f t="shared" si="0"/>
        <v>4.6420083184789069</v>
      </c>
      <c r="F15" s="38">
        <f>'Headloss Calcs'!$E$18</f>
        <v>140</v>
      </c>
      <c r="G15" s="53">
        <f t="shared" si="1"/>
        <v>7.0686</v>
      </c>
      <c r="H15" s="53">
        <f t="shared" si="2"/>
        <v>9.4247999999999994</v>
      </c>
      <c r="I15" s="53">
        <f t="shared" si="3"/>
        <v>0.75</v>
      </c>
      <c r="J15" s="53">
        <f t="shared" si="4"/>
        <v>0.6567083041166436</v>
      </c>
      <c r="K15" s="53">
        <f t="shared" si="5"/>
        <v>5.4468923674831457E-2</v>
      </c>
      <c r="L15" s="53"/>
      <c r="M15" s="58">
        <f t="shared" si="6"/>
        <v>0</v>
      </c>
      <c r="N15" s="58">
        <f t="shared" si="7"/>
        <v>5.4468923674831457E-2</v>
      </c>
      <c r="O15" s="59">
        <f t="shared" si="8"/>
        <v>0.34221589193098012</v>
      </c>
    </row>
    <row r="16" spans="1:15" x14ac:dyDescent="0.2">
      <c r="A16" s="37"/>
      <c r="B16" s="55">
        <v>36</v>
      </c>
      <c r="C16" s="56" t="s">
        <v>45</v>
      </c>
      <c r="D16" s="57">
        <f>'Headloss Calcs'!$A$23</f>
        <v>3</v>
      </c>
      <c r="E16" s="53">
        <f t="shared" si="0"/>
        <v>4.6420083184789069</v>
      </c>
      <c r="F16" s="38">
        <f>'Headloss Calcs'!$E$18</f>
        <v>140</v>
      </c>
      <c r="G16" s="53">
        <f t="shared" si="1"/>
        <v>7.0686</v>
      </c>
      <c r="H16" s="53">
        <f t="shared" si="2"/>
        <v>9.4247999999999994</v>
      </c>
      <c r="I16" s="53">
        <f t="shared" si="3"/>
        <v>0.75</v>
      </c>
      <c r="J16" s="53">
        <f t="shared" si="4"/>
        <v>0.6567083041166436</v>
      </c>
      <c r="K16" s="53">
        <f t="shared" si="5"/>
        <v>0</v>
      </c>
      <c r="L16" s="53">
        <v>0.2</v>
      </c>
      <c r="M16" s="58">
        <f t="shared" si="6"/>
        <v>1.3393347723470747E-3</v>
      </c>
      <c r="N16" s="58">
        <f t="shared" si="7"/>
        <v>1.3393347723470747E-3</v>
      </c>
      <c r="O16" s="59">
        <f t="shared" si="8"/>
        <v>0.34355522670332722</v>
      </c>
    </row>
    <row r="17" spans="1:15" x14ac:dyDescent="0.2">
      <c r="A17" s="37">
        <v>1320</v>
      </c>
      <c r="B17" s="55">
        <v>36</v>
      </c>
      <c r="C17" s="56" t="s">
        <v>23</v>
      </c>
      <c r="D17" s="57">
        <f>'Headloss Calcs'!$A$23</f>
        <v>3</v>
      </c>
      <c r="E17" s="53">
        <f t="shared" si="0"/>
        <v>4.6420083184789069</v>
      </c>
      <c r="F17" s="38">
        <f>'Headloss Calcs'!$E$18</f>
        <v>140</v>
      </c>
      <c r="G17" s="53">
        <f t="shared" si="1"/>
        <v>7.0686</v>
      </c>
      <c r="H17" s="53">
        <f t="shared" si="2"/>
        <v>9.4247999999999994</v>
      </c>
      <c r="I17" s="53">
        <f t="shared" si="3"/>
        <v>0.75</v>
      </c>
      <c r="J17" s="53">
        <f t="shared" si="4"/>
        <v>0.6567083041166436</v>
      </c>
      <c r="K17" s="53">
        <f t="shared" si="5"/>
        <v>5.4468923674831457E-2</v>
      </c>
      <c r="L17" s="53"/>
      <c r="M17" s="58">
        <f t="shared" si="6"/>
        <v>0</v>
      </c>
      <c r="N17" s="58">
        <f t="shared" si="7"/>
        <v>5.4468923674831457E-2</v>
      </c>
      <c r="O17" s="59">
        <f t="shared" si="8"/>
        <v>0.39802415037815869</v>
      </c>
    </row>
    <row r="18" spans="1:15" ht="12" customHeight="1" x14ac:dyDescent="0.2">
      <c r="A18" s="37"/>
      <c r="B18" s="55">
        <v>36</v>
      </c>
      <c r="C18" s="56" t="s">
        <v>44</v>
      </c>
      <c r="D18" s="57">
        <f>'Headloss Calcs'!$A$23</f>
        <v>3</v>
      </c>
      <c r="E18" s="53">
        <f t="shared" si="0"/>
        <v>4.6420083184789069</v>
      </c>
      <c r="F18" s="38">
        <f>'Headloss Calcs'!$E$18</f>
        <v>140</v>
      </c>
      <c r="G18" s="53">
        <f t="shared" si="1"/>
        <v>7.0686</v>
      </c>
      <c r="H18" s="53">
        <f t="shared" si="2"/>
        <v>9.4247999999999994</v>
      </c>
      <c r="I18" s="53">
        <f t="shared" si="3"/>
        <v>0.75</v>
      </c>
      <c r="J18" s="53">
        <f t="shared" si="4"/>
        <v>0.6567083041166436</v>
      </c>
      <c r="K18" s="53">
        <f t="shared" si="5"/>
        <v>0</v>
      </c>
      <c r="L18" s="53">
        <v>1</v>
      </c>
      <c r="M18" s="58">
        <f t="shared" si="6"/>
        <v>6.6966738617353725E-3</v>
      </c>
      <c r="N18" s="58">
        <f t="shared" si="7"/>
        <v>6.6966738617353725E-3</v>
      </c>
      <c r="O18" s="59">
        <f t="shared" si="8"/>
        <v>0.40472082423989408</v>
      </c>
    </row>
    <row r="19" spans="1:15" ht="13.5" thickBot="1" x14ac:dyDescent="0.25">
      <c r="A19" s="39"/>
      <c r="B19" s="40"/>
      <c r="C19" s="41"/>
      <c r="D19" s="40"/>
      <c r="E19" s="42"/>
      <c r="F19" s="40"/>
      <c r="G19" s="54"/>
      <c r="H19" s="54"/>
      <c r="I19" s="54"/>
      <c r="J19" s="54"/>
      <c r="K19" s="54"/>
      <c r="L19" s="54"/>
      <c r="M19" s="60"/>
      <c r="N19" s="60" t="s">
        <v>40</v>
      </c>
      <c r="O19" s="61">
        <f>O18</f>
        <v>0.40472082423989408</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Calcs'!$A$23</f>
        <v>3</v>
      </c>
      <c r="E22" s="53">
        <f t="shared" ref="E22:E37" si="9">D22*1000000/(7.48*24*60*60)</f>
        <v>4.6420083184789069</v>
      </c>
      <c r="F22" s="38">
        <f>'Headloss Calcs'!$H$18</f>
        <v>100</v>
      </c>
      <c r="G22" s="53">
        <f t="shared" ref="G22:G37" si="10">3.1416/4*(B22/12)^2</f>
        <v>7.0686</v>
      </c>
      <c r="H22" s="53">
        <f t="shared" ref="H22:H37" si="11">3.1416*(B22/12)</f>
        <v>9.4247999999999994</v>
      </c>
      <c r="I22" s="53">
        <f t="shared" ref="I22:I37" si="12">G22/H22</f>
        <v>0.75</v>
      </c>
      <c r="J22" s="53">
        <f t="shared" ref="J22:J37" si="13">E22/G22</f>
        <v>0.6567083041166436</v>
      </c>
      <c r="K22" s="53">
        <f t="shared" ref="K22:K37" si="14">(J22/(1.318*F22*I22^0.63))^1.85*A22</f>
        <v>0</v>
      </c>
      <c r="L22" s="53">
        <v>0.25</v>
      </c>
      <c r="M22" s="58">
        <f t="shared" ref="M22:M37" si="15">L22*(J22^2)/(2*32.2)</f>
        <v>1.6741684654338431E-3</v>
      </c>
      <c r="N22" s="58">
        <f t="shared" ref="N22:N37" si="16">K22+M22</f>
        <v>1.6741684654338431E-3</v>
      </c>
      <c r="O22" s="59">
        <f>N22</f>
        <v>1.6741684654338431E-3</v>
      </c>
    </row>
    <row r="23" spans="1:15" x14ac:dyDescent="0.2">
      <c r="A23" s="37"/>
      <c r="B23" s="55">
        <v>36</v>
      </c>
      <c r="C23" s="56" t="s">
        <v>47</v>
      </c>
      <c r="D23" s="57">
        <f>'Headloss Calcs'!$A$23</f>
        <v>3</v>
      </c>
      <c r="E23" s="53">
        <f t="shared" si="9"/>
        <v>4.6420083184789069</v>
      </c>
      <c r="F23" s="38">
        <f>'Headloss Calcs'!$H$18</f>
        <v>100</v>
      </c>
      <c r="G23" s="53">
        <f t="shared" si="10"/>
        <v>7.0686</v>
      </c>
      <c r="H23" s="53">
        <f t="shared" si="11"/>
        <v>9.4247999999999994</v>
      </c>
      <c r="I23" s="53">
        <f t="shared" si="12"/>
        <v>0.75</v>
      </c>
      <c r="J23" s="53">
        <f t="shared" si="13"/>
        <v>0.6567083041166436</v>
      </c>
      <c r="K23" s="53">
        <f t="shared" si="14"/>
        <v>0</v>
      </c>
      <c r="L23" s="53">
        <v>0.25</v>
      </c>
      <c r="M23" s="58">
        <f t="shared" si="15"/>
        <v>1.6741684654338431E-3</v>
      </c>
      <c r="N23" s="58">
        <f t="shared" si="16"/>
        <v>1.6741684654338431E-3</v>
      </c>
      <c r="O23" s="59">
        <f t="shared" ref="O23:O37" si="17">N23+O22</f>
        <v>3.3483369308676863E-3</v>
      </c>
    </row>
    <row r="24" spans="1:15" x14ac:dyDescent="0.2">
      <c r="A24" s="37">
        <v>1320</v>
      </c>
      <c r="B24" s="55">
        <v>36</v>
      </c>
      <c r="C24" s="56" t="s">
        <v>23</v>
      </c>
      <c r="D24" s="57">
        <f>'Headloss Calcs'!$A$23</f>
        <v>3</v>
      </c>
      <c r="E24" s="53">
        <f t="shared" si="9"/>
        <v>4.6420083184789069</v>
      </c>
      <c r="F24" s="38">
        <f>'Headloss Calcs'!$H$18</f>
        <v>100</v>
      </c>
      <c r="G24" s="53">
        <f t="shared" si="10"/>
        <v>7.0686</v>
      </c>
      <c r="H24" s="53">
        <f t="shared" si="11"/>
        <v>9.4247999999999994</v>
      </c>
      <c r="I24" s="53">
        <f t="shared" si="12"/>
        <v>0.75</v>
      </c>
      <c r="J24" s="53">
        <f t="shared" si="13"/>
        <v>0.6567083041166436</v>
      </c>
      <c r="K24" s="53">
        <f t="shared" si="14"/>
        <v>0.10150458490981298</v>
      </c>
      <c r="L24" s="53"/>
      <c r="M24" s="58">
        <f t="shared" si="15"/>
        <v>0</v>
      </c>
      <c r="N24" s="58">
        <f t="shared" si="16"/>
        <v>0.10150458490981298</v>
      </c>
      <c r="O24" s="59">
        <f t="shared" si="17"/>
        <v>0.10485292184068067</v>
      </c>
    </row>
    <row r="25" spans="1:15" x14ac:dyDescent="0.2">
      <c r="A25" s="37"/>
      <c r="B25" s="55">
        <v>36</v>
      </c>
      <c r="C25" s="56" t="s">
        <v>45</v>
      </c>
      <c r="D25" s="57">
        <f>'Headloss Calcs'!$A$23</f>
        <v>3</v>
      </c>
      <c r="E25" s="53">
        <f t="shared" si="9"/>
        <v>4.6420083184789069</v>
      </c>
      <c r="F25" s="38">
        <f>'Headloss Calcs'!$H$18</f>
        <v>100</v>
      </c>
      <c r="G25" s="53">
        <f t="shared" si="10"/>
        <v>7.0686</v>
      </c>
      <c r="H25" s="53">
        <f t="shared" si="11"/>
        <v>9.4247999999999994</v>
      </c>
      <c r="I25" s="53">
        <f t="shared" si="12"/>
        <v>0.75</v>
      </c>
      <c r="J25" s="53">
        <f t="shared" si="13"/>
        <v>0.6567083041166436</v>
      </c>
      <c r="K25" s="53">
        <f t="shared" si="14"/>
        <v>0</v>
      </c>
      <c r="L25" s="53">
        <v>0.2</v>
      </c>
      <c r="M25" s="58">
        <f t="shared" si="15"/>
        <v>1.3393347723470747E-3</v>
      </c>
      <c r="N25" s="58">
        <f t="shared" si="16"/>
        <v>1.3393347723470747E-3</v>
      </c>
      <c r="O25" s="59">
        <f t="shared" si="17"/>
        <v>0.10619225661302774</v>
      </c>
    </row>
    <row r="26" spans="1:15" x14ac:dyDescent="0.2">
      <c r="A26" s="37">
        <v>1320</v>
      </c>
      <c r="B26" s="55">
        <v>36</v>
      </c>
      <c r="C26" s="69" t="s">
        <v>23</v>
      </c>
      <c r="D26" s="57">
        <f>'Headloss Calcs'!$A$23</f>
        <v>3</v>
      </c>
      <c r="E26" s="53">
        <f t="shared" si="9"/>
        <v>4.6420083184789069</v>
      </c>
      <c r="F26" s="38">
        <f>'Headloss Calcs'!$H$18</f>
        <v>100</v>
      </c>
      <c r="G26" s="53">
        <f t="shared" si="10"/>
        <v>7.0686</v>
      </c>
      <c r="H26" s="53">
        <f t="shared" si="11"/>
        <v>9.4247999999999994</v>
      </c>
      <c r="I26" s="53">
        <f t="shared" si="12"/>
        <v>0.75</v>
      </c>
      <c r="J26" s="53">
        <f t="shared" si="13"/>
        <v>0.6567083041166436</v>
      </c>
      <c r="K26" s="53">
        <f t="shared" si="14"/>
        <v>0.10150458490981298</v>
      </c>
      <c r="L26" s="53"/>
      <c r="M26" s="58">
        <f t="shared" si="15"/>
        <v>0</v>
      </c>
      <c r="N26" s="58">
        <f t="shared" si="16"/>
        <v>0.10150458490981298</v>
      </c>
      <c r="O26" s="59">
        <f t="shared" si="17"/>
        <v>0.20769684152284074</v>
      </c>
    </row>
    <row r="27" spans="1:15" x14ac:dyDescent="0.2">
      <c r="A27" s="37"/>
      <c r="B27" s="55">
        <v>36</v>
      </c>
      <c r="C27" s="56" t="s">
        <v>39</v>
      </c>
      <c r="D27" s="57">
        <f>'Headloss Calcs'!$A$23</f>
        <v>3</v>
      </c>
      <c r="E27" s="53">
        <f t="shared" si="9"/>
        <v>4.6420083184789069</v>
      </c>
      <c r="F27" s="38">
        <f>'Headloss Calcs'!$H$18</f>
        <v>100</v>
      </c>
      <c r="G27" s="53">
        <f t="shared" si="10"/>
        <v>7.0686</v>
      </c>
      <c r="H27" s="53">
        <f t="shared" si="11"/>
        <v>9.4247999999999994</v>
      </c>
      <c r="I27" s="53">
        <f t="shared" si="12"/>
        <v>0.75</v>
      </c>
      <c r="J27" s="53">
        <f t="shared" si="13"/>
        <v>0.6567083041166436</v>
      </c>
      <c r="K27" s="53">
        <f t="shared" si="14"/>
        <v>0</v>
      </c>
      <c r="L27" s="53">
        <v>0.4</v>
      </c>
      <c r="M27" s="58">
        <f t="shared" si="15"/>
        <v>2.6786695446941494E-3</v>
      </c>
      <c r="N27" s="58">
        <f t="shared" si="16"/>
        <v>2.6786695446941494E-3</v>
      </c>
      <c r="O27" s="59">
        <f t="shared" si="17"/>
        <v>0.21037551106753488</v>
      </c>
    </row>
    <row r="28" spans="1:15" x14ac:dyDescent="0.2">
      <c r="A28" s="37">
        <v>1320</v>
      </c>
      <c r="B28" s="55">
        <v>36</v>
      </c>
      <c r="C28" s="56" t="s">
        <v>23</v>
      </c>
      <c r="D28" s="57">
        <f>'Headloss Calcs'!$A$23</f>
        <v>3</v>
      </c>
      <c r="E28" s="53">
        <f t="shared" si="9"/>
        <v>4.6420083184789069</v>
      </c>
      <c r="F28" s="38">
        <f>'Headloss Calcs'!$H$18</f>
        <v>100</v>
      </c>
      <c r="G28" s="53">
        <f t="shared" si="10"/>
        <v>7.0686</v>
      </c>
      <c r="H28" s="53">
        <f t="shared" si="11"/>
        <v>9.4247999999999994</v>
      </c>
      <c r="I28" s="53">
        <f t="shared" si="12"/>
        <v>0.75</v>
      </c>
      <c r="J28" s="53">
        <f t="shared" si="13"/>
        <v>0.6567083041166436</v>
      </c>
      <c r="K28" s="53">
        <f t="shared" si="14"/>
        <v>0.10150458490981298</v>
      </c>
      <c r="L28" s="53"/>
      <c r="M28" s="58">
        <f t="shared" si="15"/>
        <v>0</v>
      </c>
      <c r="N28" s="58">
        <f t="shared" si="16"/>
        <v>0.10150458490981298</v>
      </c>
      <c r="O28" s="59">
        <f t="shared" si="17"/>
        <v>0.31188009597734789</v>
      </c>
    </row>
    <row r="29" spans="1:15" x14ac:dyDescent="0.2">
      <c r="A29" s="37"/>
      <c r="B29" s="55">
        <v>36</v>
      </c>
      <c r="C29" s="56" t="s">
        <v>39</v>
      </c>
      <c r="D29" s="57">
        <f>'Headloss Calcs'!$A$23</f>
        <v>3</v>
      </c>
      <c r="E29" s="53">
        <f t="shared" si="9"/>
        <v>4.6420083184789069</v>
      </c>
      <c r="F29" s="38">
        <f>'Headloss Calcs'!$H$18</f>
        <v>100</v>
      </c>
      <c r="G29" s="53">
        <f t="shared" si="10"/>
        <v>7.0686</v>
      </c>
      <c r="H29" s="53">
        <f t="shared" si="11"/>
        <v>9.4247999999999994</v>
      </c>
      <c r="I29" s="53">
        <f t="shared" si="12"/>
        <v>0.75</v>
      </c>
      <c r="J29" s="53">
        <f t="shared" si="13"/>
        <v>0.6567083041166436</v>
      </c>
      <c r="K29" s="53">
        <f t="shared" si="14"/>
        <v>0</v>
      </c>
      <c r="L29" s="53">
        <v>0.4</v>
      </c>
      <c r="M29" s="58">
        <f t="shared" si="15"/>
        <v>2.6786695446941494E-3</v>
      </c>
      <c r="N29" s="58">
        <f t="shared" si="16"/>
        <v>2.6786695446941494E-3</v>
      </c>
      <c r="O29" s="59">
        <f t="shared" si="17"/>
        <v>0.31455876552204204</v>
      </c>
    </row>
    <row r="30" spans="1:15" x14ac:dyDescent="0.2">
      <c r="A30" s="37">
        <v>1320</v>
      </c>
      <c r="B30" s="55">
        <v>36</v>
      </c>
      <c r="C30" s="56" t="s">
        <v>23</v>
      </c>
      <c r="D30" s="57">
        <f>'Headloss Calcs'!$A$23</f>
        <v>3</v>
      </c>
      <c r="E30" s="53">
        <f t="shared" si="9"/>
        <v>4.6420083184789069</v>
      </c>
      <c r="F30" s="38">
        <f>'Headloss Calcs'!$H$18</f>
        <v>100</v>
      </c>
      <c r="G30" s="53">
        <f t="shared" si="10"/>
        <v>7.0686</v>
      </c>
      <c r="H30" s="53">
        <f t="shared" si="11"/>
        <v>9.4247999999999994</v>
      </c>
      <c r="I30" s="53">
        <f t="shared" si="12"/>
        <v>0.75</v>
      </c>
      <c r="J30" s="53">
        <f t="shared" si="13"/>
        <v>0.6567083041166436</v>
      </c>
      <c r="K30" s="53">
        <f t="shared" si="14"/>
        <v>0.10150458490981298</v>
      </c>
      <c r="L30" s="53"/>
      <c r="M30" s="58">
        <f t="shared" si="15"/>
        <v>0</v>
      </c>
      <c r="N30" s="58">
        <f t="shared" si="16"/>
        <v>0.10150458490981298</v>
      </c>
      <c r="O30" s="59">
        <f t="shared" si="17"/>
        <v>0.41606335043185505</v>
      </c>
    </row>
    <row r="31" spans="1:15" x14ac:dyDescent="0.2">
      <c r="A31" s="37"/>
      <c r="B31" s="55">
        <v>36</v>
      </c>
      <c r="C31" s="56" t="s">
        <v>48</v>
      </c>
      <c r="D31" s="57">
        <f>'Headloss Calcs'!$A$23</f>
        <v>3</v>
      </c>
      <c r="E31" s="53">
        <f t="shared" si="9"/>
        <v>4.6420083184789069</v>
      </c>
      <c r="F31" s="38">
        <f>'Headloss Calcs'!$H$18</f>
        <v>100</v>
      </c>
      <c r="G31" s="53">
        <f t="shared" si="10"/>
        <v>7.0686</v>
      </c>
      <c r="H31" s="53">
        <f t="shared" si="11"/>
        <v>9.4247999999999994</v>
      </c>
      <c r="I31" s="53">
        <f t="shared" si="12"/>
        <v>0.75</v>
      </c>
      <c r="J31" s="53">
        <f t="shared" si="13"/>
        <v>0.6567083041166436</v>
      </c>
      <c r="K31" s="53">
        <f t="shared" si="14"/>
        <v>0</v>
      </c>
      <c r="L31" s="53">
        <v>0.4</v>
      </c>
      <c r="M31" s="58">
        <f t="shared" si="15"/>
        <v>2.6786695446941494E-3</v>
      </c>
      <c r="N31" s="58">
        <f t="shared" si="16"/>
        <v>2.6786695446941494E-3</v>
      </c>
      <c r="O31" s="59">
        <f t="shared" si="17"/>
        <v>0.4187420199765492</v>
      </c>
    </row>
    <row r="32" spans="1:15" x14ac:dyDescent="0.2">
      <c r="A32" s="37">
        <v>1320</v>
      </c>
      <c r="B32" s="55">
        <v>36</v>
      </c>
      <c r="C32" s="56" t="s">
        <v>23</v>
      </c>
      <c r="D32" s="57">
        <f>'Headloss Calcs'!$A$23</f>
        <v>3</v>
      </c>
      <c r="E32" s="53">
        <f t="shared" si="9"/>
        <v>4.6420083184789069</v>
      </c>
      <c r="F32" s="38">
        <f>'Headloss Calcs'!$H$18</f>
        <v>100</v>
      </c>
      <c r="G32" s="53">
        <f t="shared" si="10"/>
        <v>7.0686</v>
      </c>
      <c r="H32" s="53">
        <f t="shared" si="11"/>
        <v>9.4247999999999994</v>
      </c>
      <c r="I32" s="53">
        <f t="shared" si="12"/>
        <v>0.75</v>
      </c>
      <c r="J32" s="53">
        <f t="shared" si="13"/>
        <v>0.6567083041166436</v>
      </c>
      <c r="K32" s="53">
        <f t="shared" si="14"/>
        <v>0.10150458490981298</v>
      </c>
      <c r="L32" s="53"/>
      <c r="M32" s="58">
        <f t="shared" si="15"/>
        <v>0</v>
      </c>
      <c r="N32" s="58">
        <f t="shared" si="16"/>
        <v>0.10150458490981298</v>
      </c>
      <c r="O32" s="59">
        <f t="shared" si="17"/>
        <v>0.52024660488636221</v>
      </c>
    </row>
    <row r="33" spans="1:15" x14ac:dyDescent="0.2">
      <c r="A33" s="37"/>
      <c r="B33" s="55">
        <v>36</v>
      </c>
      <c r="C33" s="56" t="s">
        <v>39</v>
      </c>
      <c r="D33" s="57">
        <f>'Headloss Calcs'!$A$23</f>
        <v>3</v>
      </c>
      <c r="E33" s="53">
        <f t="shared" si="9"/>
        <v>4.6420083184789069</v>
      </c>
      <c r="F33" s="38">
        <f>'Headloss Calcs'!$H$18</f>
        <v>100</v>
      </c>
      <c r="G33" s="53">
        <f t="shared" si="10"/>
        <v>7.0686</v>
      </c>
      <c r="H33" s="53">
        <f t="shared" si="11"/>
        <v>9.4247999999999994</v>
      </c>
      <c r="I33" s="53">
        <f t="shared" si="12"/>
        <v>0.75</v>
      </c>
      <c r="J33" s="53">
        <f t="shared" si="13"/>
        <v>0.6567083041166436</v>
      </c>
      <c r="K33" s="53">
        <f t="shared" si="14"/>
        <v>0</v>
      </c>
      <c r="L33" s="53">
        <v>0.4</v>
      </c>
      <c r="M33" s="58">
        <f t="shared" si="15"/>
        <v>2.6786695446941494E-3</v>
      </c>
      <c r="N33" s="58">
        <f t="shared" si="16"/>
        <v>2.6786695446941494E-3</v>
      </c>
      <c r="O33" s="59">
        <f t="shared" si="17"/>
        <v>0.52292527443105641</v>
      </c>
    </row>
    <row r="34" spans="1:15" x14ac:dyDescent="0.2">
      <c r="A34" s="37">
        <v>1320</v>
      </c>
      <c r="B34" s="55">
        <v>36</v>
      </c>
      <c r="C34" s="56" t="s">
        <v>23</v>
      </c>
      <c r="D34" s="57">
        <f>'Headloss Calcs'!$A$23</f>
        <v>3</v>
      </c>
      <c r="E34" s="53">
        <f t="shared" si="9"/>
        <v>4.6420083184789069</v>
      </c>
      <c r="F34" s="38">
        <f>'Headloss Calcs'!$H$18</f>
        <v>100</v>
      </c>
      <c r="G34" s="53">
        <f t="shared" si="10"/>
        <v>7.0686</v>
      </c>
      <c r="H34" s="53">
        <f t="shared" si="11"/>
        <v>9.4247999999999994</v>
      </c>
      <c r="I34" s="53">
        <f t="shared" si="12"/>
        <v>0.75</v>
      </c>
      <c r="J34" s="53">
        <f t="shared" si="13"/>
        <v>0.6567083041166436</v>
      </c>
      <c r="K34" s="53">
        <f t="shared" si="14"/>
        <v>0.10150458490981298</v>
      </c>
      <c r="L34" s="53"/>
      <c r="M34" s="58">
        <f t="shared" si="15"/>
        <v>0</v>
      </c>
      <c r="N34" s="58">
        <f t="shared" si="16"/>
        <v>0.10150458490981298</v>
      </c>
      <c r="O34" s="59">
        <f t="shared" si="17"/>
        <v>0.62442985934086936</v>
      </c>
    </row>
    <row r="35" spans="1:15" x14ac:dyDescent="0.2">
      <c r="A35" s="37"/>
      <c r="B35" s="55">
        <v>36</v>
      </c>
      <c r="C35" s="56" t="s">
        <v>45</v>
      </c>
      <c r="D35" s="57">
        <f>'Headloss Calcs'!$A$23</f>
        <v>3</v>
      </c>
      <c r="E35" s="53">
        <f t="shared" si="9"/>
        <v>4.6420083184789069</v>
      </c>
      <c r="F35" s="38">
        <f>'Headloss Calcs'!$H$18</f>
        <v>100</v>
      </c>
      <c r="G35" s="53">
        <f t="shared" si="10"/>
        <v>7.0686</v>
      </c>
      <c r="H35" s="53">
        <f t="shared" si="11"/>
        <v>9.4247999999999994</v>
      </c>
      <c r="I35" s="53">
        <f t="shared" si="12"/>
        <v>0.75</v>
      </c>
      <c r="J35" s="53">
        <f t="shared" si="13"/>
        <v>0.6567083041166436</v>
      </c>
      <c r="K35" s="53">
        <f t="shared" si="14"/>
        <v>0</v>
      </c>
      <c r="L35" s="53">
        <v>0.2</v>
      </c>
      <c r="M35" s="58">
        <f t="shared" si="15"/>
        <v>1.3393347723470747E-3</v>
      </c>
      <c r="N35" s="58">
        <f t="shared" si="16"/>
        <v>1.3393347723470747E-3</v>
      </c>
      <c r="O35" s="59">
        <f t="shared" si="17"/>
        <v>0.62576919411321641</v>
      </c>
    </row>
    <row r="36" spans="1:15" x14ac:dyDescent="0.2">
      <c r="A36" s="37">
        <v>1320</v>
      </c>
      <c r="B36" s="55">
        <v>36</v>
      </c>
      <c r="C36" s="56" t="s">
        <v>23</v>
      </c>
      <c r="D36" s="57">
        <f>'Headloss Calcs'!$A$23</f>
        <v>3</v>
      </c>
      <c r="E36" s="53">
        <f t="shared" si="9"/>
        <v>4.6420083184789069</v>
      </c>
      <c r="F36" s="38">
        <f>'Headloss Calcs'!$H$18</f>
        <v>100</v>
      </c>
      <c r="G36" s="53">
        <f t="shared" si="10"/>
        <v>7.0686</v>
      </c>
      <c r="H36" s="53">
        <f t="shared" si="11"/>
        <v>9.4247999999999994</v>
      </c>
      <c r="I36" s="53">
        <f t="shared" si="12"/>
        <v>0.75</v>
      </c>
      <c r="J36" s="53">
        <f t="shared" si="13"/>
        <v>0.6567083041166436</v>
      </c>
      <c r="K36" s="53">
        <f t="shared" si="14"/>
        <v>0.10150458490981298</v>
      </c>
      <c r="L36" s="53"/>
      <c r="M36" s="58">
        <f t="shared" si="15"/>
        <v>0</v>
      </c>
      <c r="N36" s="58">
        <f t="shared" si="16"/>
        <v>0.10150458490981298</v>
      </c>
      <c r="O36" s="59">
        <f t="shared" si="17"/>
        <v>0.72727377902302937</v>
      </c>
    </row>
    <row r="37" spans="1:15" ht="12" customHeight="1" x14ac:dyDescent="0.2">
      <c r="A37" s="37"/>
      <c r="B37" s="55">
        <v>36</v>
      </c>
      <c r="C37" s="56" t="s">
        <v>44</v>
      </c>
      <c r="D37" s="57">
        <f>'Headloss Calcs'!$A$23</f>
        <v>3</v>
      </c>
      <c r="E37" s="53">
        <f t="shared" si="9"/>
        <v>4.6420083184789069</v>
      </c>
      <c r="F37" s="38">
        <f>'Headloss Calcs'!$H$18</f>
        <v>100</v>
      </c>
      <c r="G37" s="53">
        <f t="shared" si="10"/>
        <v>7.0686</v>
      </c>
      <c r="H37" s="53">
        <f t="shared" si="11"/>
        <v>9.4247999999999994</v>
      </c>
      <c r="I37" s="53">
        <f t="shared" si="12"/>
        <v>0.75</v>
      </c>
      <c r="J37" s="53">
        <f t="shared" si="13"/>
        <v>0.6567083041166436</v>
      </c>
      <c r="K37" s="53">
        <f t="shared" si="14"/>
        <v>0</v>
      </c>
      <c r="L37" s="53">
        <v>1</v>
      </c>
      <c r="M37" s="58">
        <f t="shared" si="15"/>
        <v>6.6966738617353725E-3</v>
      </c>
      <c r="N37" s="58">
        <f t="shared" si="16"/>
        <v>6.6966738617353725E-3</v>
      </c>
      <c r="O37" s="59">
        <f t="shared" si="17"/>
        <v>0.7339704528847647</v>
      </c>
    </row>
    <row r="38" spans="1:15" ht="13.5" thickBot="1" x14ac:dyDescent="0.25">
      <c r="A38" s="39"/>
      <c r="B38" s="40"/>
      <c r="C38" s="41"/>
      <c r="D38" s="40"/>
      <c r="E38" s="42"/>
      <c r="F38" s="40"/>
      <c r="G38" s="54"/>
      <c r="H38" s="54"/>
      <c r="I38" s="54"/>
      <c r="J38" s="54"/>
      <c r="K38" s="54"/>
      <c r="L38" s="54"/>
      <c r="M38" s="60"/>
      <c r="N38" s="60" t="s">
        <v>40</v>
      </c>
      <c r="O38" s="61">
        <f>O37</f>
        <v>0.7339704528847647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0"/>
  <sheetViews>
    <sheetView topLeftCell="C16"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Calcs'!$A$24</f>
        <v>4</v>
      </c>
      <c r="E3" s="53">
        <f t="shared" ref="E3:E18" si="0">D3*1000000/(7.48*24*60*60)</f>
        <v>6.1893444246385423</v>
      </c>
      <c r="F3" s="38">
        <f>'Headloss Calcs'!$E$18</f>
        <v>140</v>
      </c>
      <c r="G3" s="53">
        <f t="shared" ref="G3:G18" si="1">3.1416/4*(B3/12)^2</f>
        <v>7.0686</v>
      </c>
      <c r="H3" s="53">
        <f t="shared" ref="H3:H18" si="2">3.1416*(B3/12)</f>
        <v>9.4247999999999994</v>
      </c>
      <c r="I3" s="53">
        <f t="shared" ref="I3:I18" si="3">G3/H3</f>
        <v>0.75</v>
      </c>
      <c r="J3" s="53">
        <f t="shared" ref="J3:J18" si="4">E3/G3</f>
        <v>0.87561107215552481</v>
      </c>
      <c r="K3" s="53">
        <f t="shared" ref="K3:K18" si="5">(J3/(1.318*F3*I3^0.63))^1.85*A3</f>
        <v>0</v>
      </c>
      <c r="L3" s="53">
        <v>0.25</v>
      </c>
      <c r="M3" s="58">
        <f t="shared" ref="M3:M18" si="6">L3*(J3^2)/(2*32.2)</f>
        <v>2.9762994941046101E-3</v>
      </c>
      <c r="N3" s="58">
        <f t="shared" ref="N3:N18" si="7">K3+M3</f>
        <v>2.9762994941046101E-3</v>
      </c>
      <c r="O3" s="59">
        <f>N3</f>
        <v>2.9762994941046101E-3</v>
      </c>
    </row>
    <row r="4" spans="1:15" x14ac:dyDescent="0.2">
      <c r="A4" s="37"/>
      <c r="B4" s="55">
        <v>36</v>
      </c>
      <c r="C4" s="56" t="s">
        <v>47</v>
      </c>
      <c r="D4" s="57">
        <f>'Headloss Calcs'!$A$24</f>
        <v>4</v>
      </c>
      <c r="E4" s="53">
        <f t="shared" si="0"/>
        <v>6.1893444246385423</v>
      </c>
      <c r="F4" s="38">
        <f>'Headloss Calcs'!$E$18</f>
        <v>140</v>
      </c>
      <c r="G4" s="53">
        <f t="shared" si="1"/>
        <v>7.0686</v>
      </c>
      <c r="H4" s="53">
        <f t="shared" si="2"/>
        <v>9.4247999999999994</v>
      </c>
      <c r="I4" s="53">
        <f t="shared" si="3"/>
        <v>0.75</v>
      </c>
      <c r="J4" s="53">
        <f t="shared" si="4"/>
        <v>0.87561107215552481</v>
      </c>
      <c r="K4" s="53">
        <f t="shared" si="5"/>
        <v>0</v>
      </c>
      <c r="L4" s="53">
        <v>0.25</v>
      </c>
      <c r="M4" s="58">
        <f t="shared" si="6"/>
        <v>2.9762994941046101E-3</v>
      </c>
      <c r="N4" s="58">
        <f t="shared" si="7"/>
        <v>2.9762994941046101E-3</v>
      </c>
      <c r="O4" s="59">
        <f t="shared" ref="O4:O18" si="8">N4+O3</f>
        <v>5.9525989882092201E-3</v>
      </c>
    </row>
    <row r="5" spans="1:15" x14ac:dyDescent="0.2">
      <c r="A5" s="37">
        <v>1320</v>
      </c>
      <c r="B5" s="55">
        <v>36</v>
      </c>
      <c r="C5" s="56" t="s">
        <v>23</v>
      </c>
      <c r="D5" s="57">
        <f>'Headloss Calcs'!$A$24</f>
        <v>4</v>
      </c>
      <c r="E5" s="53">
        <f t="shared" si="0"/>
        <v>6.1893444246385423</v>
      </c>
      <c r="F5" s="38">
        <f>'Headloss Calcs'!$E$18</f>
        <v>140</v>
      </c>
      <c r="G5" s="53">
        <f t="shared" si="1"/>
        <v>7.0686</v>
      </c>
      <c r="H5" s="53">
        <f t="shared" si="2"/>
        <v>9.4247999999999994</v>
      </c>
      <c r="I5" s="53">
        <f t="shared" si="3"/>
        <v>0.75</v>
      </c>
      <c r="J5" s="53">
        <f t="shared" si="4"/>
        <v>0.87561107215552481</v>
      </c>
      <c r="K5" s="53">
        <f t="shared" si="5"/>
        <v>9.2743921715317951E-2</v>
      </c>
      <c r="L5" s="53"/>
      <c r="M5" s="58">
        <f t="shared" si="6"/>
        <v>0</v>
      </c>
      <c r="N5" s="58">
        <f t="shared" si="7"/>
        <v>9.2743921715317951E-2</v>
      </c>
      <c r="O5" s="59">
        <f t="shared" si="8"/>
        <v>9.8696520703527177E-2</v>
      </c>
    </row>
    <row r="6" spans="1:15" x14ac:dyDescent="0.2">
      <c r="A6" s="37"/>
      <c r="B6" s="55">
        <v>36</v>
      </c>
      <c r="C6" s="56" t="s">
        <v>45</v>
      </c>
      <c r="D6" s="57">
        <f>'Headloss Calcs'!$A$24</f>
        <v>4</v>
      </c>
      <c r="E6" s="53">
        <f t="shared" si="0"/>
        <v>6.1893444246385423</v>
      </c>
      <c r="F6" s="38">
        <f>'Headloss Calcs'!$E$18</f>
        <v>140</v>
      </c>
      <c r="G6" s="53">
        <f t="shared" si="1"/>
        <v>7.0686</v>
      </c>
      <c r="H6" s="53">
        <f t="shared" si="2"/>
        <v>9.4247999999999994</v>
      </c>
      <c r="I6" s="53">
        <f t="shared" si="3"/>
        <v>0.75</v>
      </c>
      <c r="J6" s="53">
        <f t="shared" si="4"/>
        <v>0.87561107215552481</v>
      </c>
      <c r="K6" s="53">
        <f t="shared" si="5"/>
        <v>0</v>
      </c>
      <c r="L6" s="53">
        <v>0.2</v>
      </c>
      <c r="M6" s="58">
        <f t="shared" si="6"/>
        <v>2.3810395952836884E-3</v>
      </c>
      <c r="N6" s="58">
        <f t="shared" si="7"/>
        <v>2.3810395952836884E-3</v>
      </c>
      <c r="O6" s="59">
        <f t="shared" si="8"/>
        <v>0.10107756029881086</v>
      </c>
    </row>
    <row r="7" spans="1:15" x14ac:dyDescent="0.2">
      <c r="A7" s="37">
        <v>1320</v>
      </c>
      <c r="B7" s="55">
        <v>36</v>
      </c>
      <c r="C7" s="69" t="s">
        <v>23</v>
      </c>
      <c r="D7" s="57">
        <f>'Headloss Calcs'!$A$24</f>
        <v>4</v>
      </c>
      <c r="E7" s="53">
        <f t="shared" si="0"/>
        <v>6.1893444246385423</v>
      </c>
      <c r="F7" s="38">
        <f>'Headloss Calcs'!$E$18</f>
        <v>140</v>
      </c>
      <c r="G7" s="53">
        <f t="shared" si="1"/>
        <v>7.0686</v>
      </c>
      <c r="H7" s="53">
        <f t="shared" si="2"/>
        <v>9.4247999999999994</v>
      </c>
      <c r="I7" s="53">
        <f t="shared" si="3"/>
        <v>0.75</v>
      </c>
      <c r="J7" s="53">
        <f t="shared" si="4"/>
        <v>0.87561107215552481</v>
      </c>
      <c r="K7" s="53">
        <f t="shared" si="5"/>
        <v>9.2743921715317951E-2</v>
      </c>
      <c r="L7" s="53"/>
      <c r="M7" s="58">
        <f t="shared" si="6"/>
        <v>0</v>
      </c>
      <c r="N7" s="58">
        <f t="shared" si="7"/>
        <v>9.2743921715317951E-2</v>
      </c>
      <c r="O7" s="59">
        <f t="shared" si="8"/>
        <v>0.1938214820141288</v>
      </c>
    </row>
    <row r="8" spans="1:15" x14ac:dyDescent="0.2">
      <c r="A8" s="37"/>
      <c r="B8" s="55">
        <v>36</v>
      </c>
      <c r="C8" s="56" t="s">
        <v>39</v>
      </c>
      <c r="D8" s="57">
        <f>'Headloss Calcs'!$A$24</f>
        <v>4</v>
      </c>
      <c r="E8" s="53">
        <f t="shared" si="0"/>
        <v>6.1893444246385423</v>
      </c>
      <c r="F8" s="38">
        <f>'Headloss Calcs'!$E$18</f>
        <v>140</v>
      </c>
      <c r="G8" s="53">
        <f t="shared" si="1"/>
        <v>7.0686</v>
      </c>
      <c r="H8" s="53">
        <f t="shared" si="2"/>
        <v>9.4247999999999994</v>
      </c>
      <c r="I8" s="53">
        <f t="shared" si="3"/>
        <v>0.75</v>
      </c>
      <c r="J8" s="53">
        <f t="shared" si="4"/>
        <v>0.87561107215552481</v>
      </c>
      <c r="K8" s="53">
        <f t="shared" si="5"/>
        <v>0</v>
      </c>
      <c r="L8" s="53">
        <v>0.4</v>
      </c>
      <c r="M8" s="58">
        <f t="shared" si="6"/>
        <v>4.7620791905673768E-3</v>
      </c>
      <c r="N8" s="58">
        <f t="shared" si="7"/>
        <v>4.7620791905673768E-3</v>
      </c>
      <c r="O8" s="59">
        <f t="shared" si="8"/>
        <v>0.19858356120469617</v>
      </c>
    </row>
    <row r="9" spans="1:15" x14ac:dyDescent="0.2">
      <c r="A9" s="37">
        <v>1320</v>
      </c>
      <c r="B9" s="55">
        <v>36</v>
      </c>
      <c r="C9" s="56" t="s">
        <v>23</v>
      </c>
      <c r="D9" s="57">
        <f>'Headloss Calcs'!$A$24</f>
        <v>4</v>
      </c>
      <c r="E9" s="53">
        <f t="shared" si="0"/>
        <v>6.1893444246385423</v>
      </c>
      <c r="F9" s="38">
        <f>'Headloss Calcs'!$E$18</f>
        <v>140</v>
      </c>
      <c r="G9" s="53">
        <f t="shared" si="1"/>
        <v>7.0686</v>
      </c>
      <c r="H9" s="53">
        <f t="shared" si="2"/>
        <v>9.4247999999999994</v>
      </c>
      <c r="I9" s="53">
        <f t="shared" si="3"/>
        <v>0.75</v>
      </c>
      <c r="J9" s="53">
        <f t="shared" si="4"/>
        <v>0.87561107215552481</v>
      </c>
      <c r="K9" s="53">
        <f t="shared" si="5"/>
        <v>9.2743921715317951E-2</v>
      </c>
      <c r="L9" s="53"/>
      <c r="M9" s="58">
        <f t="shared" si="6"/>
        <v>0</v>
      </c>
      <c r="N9" s="58">
        <f t="shared" si="7"/>
        <v>9.2743921715317951E-2</v>
      </c>
      <c r="O9" s="59">
        <f t="shared" si="8"/>
        <v>0.29132748292001409</v>
      </c>
    </row>
    <row r="10" spans="1:15" x14ac:dyDescent="0.2">
      <c r="A10" s="37"/>
      <c r="B10" s="55">
        <v>36</v>
      </c>
      <c r="C10" s="56" t="s">
        <v>39</v>
      </c>
      <c r="D10" s="57">
        <f>'Headloss Calcs'!$A$24</f>
        <v>4</v>
      </c>
      <c r="E10" s="53">
        <f t="shared" si="0"/>
        <v>6.1893444246385423</v>
      </c>
      <c r="F10" s="38">
        <f>'Headloss Calcs'!$E$18</f>
        <v>140</v>
      </c>
      <c r="G10" s="53">
        <f t="shared" si="1"/>
        <v>7.0686</v>
      </c>
      <c r="H10" s="53">
        <f t="shared" si="2"/>
        <v>9.4247999999999994</v>
      </c>
      <c r="I10" s="53">
        <f t="shared" si="3"/>
        <v>0.75</v>
      </c>
      <c r="J10" s="53">
        <f t="shared" si="4"/>
        <v>0.87561107215552481</v>
      </c>
      <c r="K10" s="53">
        <f t="shared" si="5"/>
        <v>0</v>
      </c>
      <c r="L10" s="53">
        <v>0.4</v>
      </c>
      <c r="M10" s="58">
        <f t="shared" si="6"/>
        <v>4.7620791905673768E-3</v>
      </c>
      <c r="N10" s="58">
        <f t="shared" si="7"/>
        <v>4.7620791905673768E-3</v>
      </c>
      <c r="O10" s="59">
        <f t="shared" si="8"/>
        <v>0.29608956211058146</v>
      </c>
    </row>
    <row r="11" spans="1:15" x14ac:dyDescent="0.2">
      <c r="A11" s="37">
        <v>1320</v>
      </c>
      <c r="B11" s="55">
        <v>36</v>
      </c>
      <c r="C11" s="56" t="s">
        <v>23</v>
      </c>
      <c r="D11" s="57">
        <f>'Headloss Calcs'!$A$24</f>
        <v>4</v>
      </c>
      <c r="E11" s="53">
        <f t="shared" si="0"/>
        <v>6.1893444246385423</v>
      </c>
      <c r="F11" s="38">
        <f>'Headloss Calcs'!$E$18</f>
        <v>140</v>
      </c>
      <c r="G11" s="53">
        <f t="shared" si="1"/>
        <v>7.0686</v>
      </c>
      <c r="H11" s="53">
        <f t="shared" si="2"/>
        <v>9.4247999999999994</v>
      </c>
      <c r="I11" s="53">
        <f t="shared" si="3"/>
        <v>0.75</v>
      </c>
      <c r="J11" s="53">
        <f t="shared" si="4"/>
        <v>0.87561107215552481</v>
      </c>
      <c r="K11" s="53">
        <f t="shared" si="5"/>
        <v>9.2743921715317951E-2</v>
      </c>
      <c r="L11" s="53"/>
      <c r="M11" s="58">
        <f t="shared" si="6"/>
        <v>0</v>
      </c>
      <c r="N11" s="58">
        <f t="shared" si="7"/>
        <v>9.2743921715317951E-2</v>
      </c>
      <c r="O11" s="59">
        <f t="shared" si="8"/>
        <v>0.38883348382589944</v>
      </c>
    </row>
    <row r="12" spans="1:15" x14ac:dyDescent="0.2">
      <c r="A12" s="37"/>
      <c r="B12" s="55">
        <v>36</v>
      </c>
      <c r="C12" s="56" t="s">
        <v>48</v>
      </c>
      <c r="D12" s="57">
        <f>'Headloss Calcs'!$A$24</f>
        <v>4</v>
      </c>
      <c r="E12" s="53">
        <f t="shared" si="0"/>
        <v>6.1893444246385423</v>
      </c>
      <c r="F12" s="38">
        <f>'Headloss Calcs'!$E$18</f>
        <v>140</v>
      </c>
      <c r="G12" s="53">
        <f t="shared" si="1"/>
        <v>7.0686</v>
      </c>
      <c r="H12" s="53">
        <f t="shared" si="2"/>
        <v>9.4247999999999994</v>
      </c>
      <c r="I12" s="53">
        <f t="shared" si="3"/>
        <v>0.75</v>
      </c>
      <c r="J12" s="53">
        <f t="shared" si="4"/>
        <v>0.87561107215552481</v>
      </c>
      <c r="K12" s="53">
        <f t="shared" si="5"/>
        <v>0</v>
      </c>
      <c r="L12" s="53">
        <v>0.4</v>
      </c>
      <c r="M12" s="58">
        <f t="shared" si="6"/>
        <v>4.7620791905673768E-3</v>
      </c>
      <c r="N12" s="58">
        <f t="shared" si="7"/>
        <v>4.7620791905673768E-3</v>
      </c>
      <c r="O12" s="59">
        <f t="shared" si="8"/>
        <v>0.39359556301646681</v>
      </c>
    </row>
    <row r="13" spans="1:15" x14ac:dyDescent="0.2">
      <c r="A13" s="37">
        <v>1320</v>
      </c>
      <c r="B13" s="55">
        <v>36</v>
      </c>
      <c r="C13" s="56" t="s">
        <v>23</v>
      </c>
      <c r="D13" s="57">
        <f>'Headloss Calcs'!$A$24</f>
        <v>4</v>
      </c>
      <c r="E13" s="53">
        <f t="shared" si="0"/>
        <v>6.1893444246385423</v>
      </c>
      <c r="F13" s="38">
        <f>'Headloss Calcs'!$E$18</f>
        <v>140</v>
      </c>
      <c r="G13" s="53">
        <f t="shared" si="1"/>
        <v>7.0686</v>
      </c>
      <c r="H13" s="53">
        <f t="shared" si="2"/>
        <v>9.4247999999999994</v>
      </c>
      <c r="I13" s="53">
        <f t="shared" si="3"/>
        <v>0.75</v>
      </c>
      <c r="J13" s="53">
        <f t="shared" si="4"/>
        <v>0.87561107215552481</v>
      </c>
      <c r="K13" s="53">
        <f t="shared" si="5"/>
        <v>9.2743921715317951E-2</v>
      </c>
      <c r="L13" s="53"/>
      <c r="M13" s="58">
        <f t="shared" si="6"/>
        <v>0</v>
      </c>
      <c r="N13" s="58">
        <f t="shared" si="7"/>
        <v>9.2743921715317951E-2</v>
      </c>
      <c r="O13" s="59">
        <f t="shared" si="8"/>
        <v>0.48633948473178479</v>
      </c>
    </row>
    <row r="14" spans="1:15" x14ac:dyDescent="0.2">
      <c r="A14" s="37"/>
      <c r="B14" s="55">
        <v>36</v>
      </c>
      <c r="C14" s="56" t="s">
        <v>39</v>
      </c>
      <c r="D14" s="57">
        <f>'Headloss Calcs'!$A$24</f>
        <v>4</v>
      </c>
      <c r="E14" s="53">
        <f t="shared" si="0"/>
        <v>6.1893444246385423</v>
      </c>
      <c r="F14" s="38">
        <f>'Headloss Calcs'!$E$18</f>
        <v>140</v>
      </c>
      <c r="G14" s="53">
        <f t="shared" si="1"/>
        <v>7.0686</v>
      </c>
      <c r="H14" s="53">
        <f t="shared" si="2"/>
        <v>9.4247999999999994</v>
      </c>
      <c r="I14" s="53">
        <f t="shared" si="3"/>
        <v>0.75</v>
      </c>
      <c r="J14" s="53">
        <f t="shared" si="4"/>
        <v>0.87561107215552481</v>
      </c>
      <c r="K14" s="53">
        <f t="shared" si="5"/>
        <v>0</v>
      </c>
      <c r="L14" s="53">
        <v>0.4</v>
      </c>
      <c r="M14" s="58">
        <f t="shared" si="6"/>
        <v>4.7620791905673768E-3</v>
      </c>
      <c r="N14" s="58">
        <f t="shared" si="7"/>
        <v>4.7620791905673768E-3</v>
      </c>
      <c r="O14" s="59">
        <f t="shared" si="8"/>
        <v>0.49110156392235216</v>
      </c>
    </row>
    <row r="15" spans="1:15" x14ac:dyDescent="0.2">
      <c r="A15" s="37">
        <v>1320</v>
      </c>
      <c r="B15" s="55">
        <v>36</v>
      </c>
      <c r="C15" s="56" t="s">
        <v>23</v>
      </c>
      <c r="D15" s="57">
        <f>'Headloss Calcs'!$A$24</f>
        <v>4</v>
      </c>
      <c r="E15" s="53">
        <f t="shared" si="0"/>
        <v>6.1893444246385423</v>
      </c>
      <c r="F15" s="38">
        <f>'Headloss Calcs'!$E$18</f>
        <v>140</v>
      </c>
      <c r="G15" s="53">
        <f t="shared" si="1"/>
        <v>7.0686</v>
      </c>
      <c r="H15" s="53">
        <f t="shared" si="2"/>
        <v>9.4247999999999994</v>
      </c>
      <c r="I15" s="53">
        <f t="shared" si="3"/>
        <v>0.75</v>
      </c>
      <c r="J15" s="53">
        <f t="shared" si="4"/>
        <v>0.87561107215552481</v>
      </c>
      <c r="K15" s="53">
        <f t="shared" si="5"/>
        <v>9.2743921715317951E-2</v>
      </c>
      <c r="L15" s="53"/>
      <c r="M15" s="58">
        <f t="shared" si="6"/>
        <v>0</v>
      </c>
      <c r="N15" s="58">
        <f t="shared" si="7"/>
        <v>9.2743921715317951E-2</v>
      </c>
      <c r="O15" s="59">
        <f t="shared" si="8"/>
        <v>0.58384548563767014</v>
      </c>
    </row>
    <row r="16" spans="1:15" x14ac:dyDescent="0.2">
      <c r="A16" s="37"/>
      <c r="B16" s="55">
        <v>36</v>
      </c>
      <c r="C16" s="56" t="s">
        <v>45</v>
      </c>
      <c r="D16" s="57">
        <f>'Headloss Calcs'!$A$24</f>
        <v>4</v>
      </c>
      <c r="E16" s="53">
        <f t="shared" si="0"/>
        <v>6.1893444246385423</v>
      </c>
      <c r="F16" s="38">
        <f>'Headloss Calcs'!$E$18</f>
        <v>140</v>
      </c>
      <c r="G16" s="53">
        <f t="shared" si="1"/>
        <v>7.0686</v>
      </c>
      <c r="H16" s="53">
        <f t="shared" si="2"/>
        <v>9.4247999999999994</v>
      </c>
      <c r="I16" s="53">
        <f t="shared" si="3"/>
        <v>0.75</v>
      </c>
      <c r="J16" s="53">
        <f t="shared" si="4"/>
        <v>0.87561107215552481</v>
      </c>
      <c r="K16" s="53">
        <f t="shared" si="5"/>
        <v>0</v>
      </c>
      <c r="L16" s="53">
        <v>0.2</v>
      </c>
      <c r="M16" s="58">
        <f t="shared" si="6"/>
        <v>2.3810395952836884E-3</v>
      </c>
      <c r="N16" s="58">
        <f t="shared" si="7"/>
        <v>2.3810395952836884E-3</v>
      </c>
      <c r="O16" s="59">
        <f t="shared" si="8"/>
        <v>0.58622652523295382</v>
      </c>
    </row>
    <row r="17" spans="1:15" x14ac:dyDescent="0.2">
      <c r="A17" s="37">
        <v>1320</v>
      </c>
      <c r="B17" s="55">
        <v>36</v>
      </c>
      <c r="C17" s="56" t="s">
        <v>23</v>
      </c>
      <c r="D17" s="57">
        <f>'Headloss Calcs'!$A$24</f>
        <v>4</v>
      </c>
      <c r="E17" s="53">
        <f t="shared" si="0"/>
        <v>6.1893444246385423</v>
      </c>
      <c r="F17" s="38">
        <f>'Headloss Calcs'!$E$18</f>
        <v>140</v>
      </c>
      <c r="G17" s="53">
        <f t="shared" si="1"/>
        <v>7.0686</v>
      </c>
      <c r="H17" s="53">
        <f t="shared" si="2"/>
        <v>9.4247999999999994</v>
      </c>
      <c r="I17" s="53">
        <f t="shared" si="3"/>
        <v>0.75</v>
      </c>
      <c r="J17" s="53">
        <f t="shared" si="4"/>
        <v>0.87561107215552481</v>
      </c>
      <c r="K17" s="53">
        <f t="shared" si="5"/>
        <v>9.2743921715317951E-2</v>
      </c>
      <c r="L17" s="53"/>
      <c r="M17" s="58">
        <f t="shared" si="6"/>
        <v>0</v>
      </c>
      <c r="N17" s="58">
        <f t="shared" si="7"/>
        <v>9.2743921715317951E-2</v>
      </c>
      <c r="O17" s="59">
        <f t="shared" si="8"/>
        <v>0.6789704469482718</v>
      </c>
    </row>
    <row r="18" spans="1:15" ht="12" customHeight="1" x14ac:dyDescent="0.2">
      <c r="A18" s="37"/>
      <c r="B18" s="55">
        <v>36</v>
      </c>
      <c r="C18" s="56" t="s">
        <v>44</v>
      </c>
      <c r="D18" s="57">
        <f>'Headloss Calcs'!$A$24</f>
        <v>4</v>
      </c>
      <c r="E18" s="53">
        <f t="shared" si="0"/>
        <v>6.1893444246385423</v>
      </c>
      <c r="F18" s="38">
        <f>'Headloss Calcs'!$E$18</f>
        <v>140</v>
      </c>
      <c r="G18" s="53">
        <f t="shared" si="1"/>
        <v>7.0686</v>
      </c>
      <c r="H18" s="53">
        <f t="shared" si="2"/>
        <v>9.4247999999999994</v>
      </c>
      <c r="I18" s="53">
        <f t="shared" si="3"/>
        <v>0.75</v>
      </c>
      <c r="J18" s="53">
        <f t="shared" si="4"/>
        <v>0.87561107215552481</v>
      </c>
      <c r="K18" s="53">
        <f t="shared" si="5"/>
        <v>0</v>
      </c>
      <c r="L18" s="53">
        <v>1</v>
      </c>
      <c r="M18" s="58">
        <f t="shared" si="6"/>
        <v>1.190519797641844E-2</v>
      </c>
      <c r="N18" s="58">
        <f t="shared" si="7"/>
        <v>1.190519797641844E-2</v>
      </c>
      <c r="O18" s="59">
        <f t="shared" si="8"/>
        <v>0.69087564492469022</v>
      </c>
    </row>
    <row r="19" spans="1:15" ht="13.5" thickBot="1" x14ac:dyDescent="0.25">
      <c r="A19" s="39"/>
      <c r="B19" s="40"/>
      <c r="C19" s="41"/>
      <c r="D19" s="40"/>
      <c r="E19" s="42"/>
      <c r="F19" s="40"/>
      <c r="G19" s="54"/>
      <c r="H19" s="54"/>
      <c r="I19" s="54"/>
      <c r="J19" s="54"/>
      <c r="K19" s="54"/>
      <c r="L19" s="54"/>
      <c r="M19" s="60"/>
      <c r="N19" s="60" t="s">
        <v>40</v>
      </c>
      <c r="O19" s="61">
        <f>O18</f>
        <v>0.69087564492469022</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Calcs'!$A$24</f>
        <v>4</v>
      </c>
      <c r="E22" s="53">
        <f t="shared" ref="E22:E37" si="9">D22*1000000/(7.48*24*60*60)</f>
        <v>6.1893444246385423</v>
      </c>
      <c r="F22" s="38">
        <f>'Headloss Calcs'!$H$18</f>
        <v>100</v>
      </c>
      <c r="G22" s="53">
        <f t="shared" ref="G22:G37" si="10">3.1416/4*(B22/12)^2</f>
        <v>7.0686</v>
      </c>
      <c r="H22" s="53">
        <f t="shared" ref="H22:H37" si="11">3.1416*(B22/12)</f>
        <v>9.4247999999999994</v>
      </c>
      <c r="I22" s="53">
        <f t="shared" ref="I22:I37" si="12">G22/H22</f>
        <v>0.75</v>
      </c>
      <c r="J22" s="53">
        <f t="shared" ref="J22:J37" si="13">E22/G22</f>
        <v>0.87561107215552481</v>
      </c>
      <c r="K22" s="53">
        <f t="shared" ref="K22:K37" si="14">(J22/(1.318*F22*I22^0.63))^1.85*A22</f>
        <v>0</v>
      </c>
      <c r="L22" s="53">
        <v>0.25</v>
      </c>
      <c r="M22" s="58">
        <f t="shared" ref="M22:M37" si="15">L22*(J22^2)/(2*32.2)</f>
        <v>2.9762994941046101E-3</v>
      </c>
      <c r="N22" s="58">
        <f t="shared" ref="N22:N37" si="16">K22+M22</f>
        <v>2.9762994941046101E-3</v>
      </c>
      <c r="O22" s="59">
        <f>N22</f>
        <v>2.9762994941046101E-3</v>
      </c>
    </row>
    <row r="23" spans="1:15" x14ac:dyDescent="0.2">
      <c r="A23" s="37"/>
      <c r="B23" s="55">
        <v>36</v>
      </c>
      <c r="C23" s="56" t="s">
        <v>47</v>
      </c>
      <c r="D23" s="57">
        <f>'Headloss Calcs'!$A$24</f>
        <v>4</v>
      </c>
      <c r="E23" s="53">
        <f t="shared" si="9"/>
        <v>6.1893444246385423</v>
      </c>
      <c r="F23" s="38">
        <f>'Headloss Calcs'!$H$18</f>
        <v>100</v>
      </c>
      <c r="G23" s="53">
        <f t="shared" si="10"/>
        <v>7.0686</v>
      </c>
      <c r="H23" s="53">
        <f t="shared" si="11"/>
        <v>9.4247999999999994</v>
      </c>
      <c r="I23" s="53">
        <f t="shared" si="12"/>
        <v>0.75</v>
      </c>
      <c r="J23" s="53">
        <f t="shared" si="13"/>
        <v>0.87561107215552481</v>
      </c>
      <c r="K23" s="53">
        <f t="shared" si="14"/>
        <v>0</v>
      </c>
      <c r="L23" s="53">
        <v>0.25</v>
      </c>
      <c r="M23" s="58">
        <f t="shared" si="15"/>
        <v>2.9762994941046101E-3</v>
      </c>
      <c r="N23" s="58">
        <f t="shared" si="16"/>
        <v>2.9762994941046101E-3</v>
      </c>
      <c r="O23" s="59">
        <f t="shared" ref="O23:O37" si="17">N23+O22</f>
        <v>5.9525989882092201E-3</v>
      </c>
    </row>
    <row r="24" spans="1:15" x14ac:dyDescent="0.2">
      <c r="A24" s="37">
        <v>1320</v>
      </c>
      <c r="B24" s="55">
        <v>36</v>
      </c>
      <c r="C24" s="56" t="s">
        <v>23</v>
      </c>
      <c r="D24" s="57">
        <f>'Headloss Calcs'!$A$24</f>
        <v>4</v>
      </c>
      <c r="E24" s="53">
        <f t="shared" si="9"/>
        <v>6.1893444246385423</v>
      </c>
      <c r="F24" s="38">
        <f>'Headloss Calcs'!$H$18</f>
        <v>100</v>
      </c>
      <c r="G24" s="53">
        <f t="shared" si="10"/>
        <v>7.0686</v>
      </c>
      <c r="H24" s="53">
        <f t="shared" si="11"/>
        <v>9.4247999999999994</v>
      </c>
      <c r="I24" s="53">
        <f t="shared" si="12"/>
        <v>0.75</v>
      </c>
      <c r="J24" s="53">
        <f t="shared" si="13"/>
        <v>0.87561107215552481</v>
      </c>
      <c r="K24" s="53">
        <f t="shared" si="14"/>
        <v>0.17283127041064458</v>
      </c>
      <c r="L24" s="53"/>
      <c r="M24" s="58">
        <f t="shared" si="15"/>
        <v>0</v>
      </c>
      <c r="N24" s="58">
        <f t="shared" si="16"/>
        <v>0.17283127041064458</v>
      </c>
      <c r="O24" s="59">
        <f t="shared" si="17"/>
        <v>0.1787838693988538</v>
      </c>
    </row>
    <row r="25" spans="1:15" x14ac:dyDescent="0.2">
      <c r="A25" s="37"/>
      <c r="B25" s="55">
        <v>36</v>
      </c>
      <c r="C25" s="56" t="s">
        <v>45</v>
      </c>
      <c r="D25" s="57">
        <f>'Headloss Calcs'!$A$24</f>
        <v>4</v>
      </c>
      <c r="E25" s="53">
        <f t="shared" si="9"/>
        <v>6.1893444246385423</v>
      </c>
      <c r="F25" s="38">
        <f>'Headloss Calcs'!$H$18</f>
        <v>100</v>
      </c>
      <c r="G25" s="53">
        <f t="shared" si="10"/>
        <v>7.0686</v>
      </c>
      <c r="H25" s="53">
        <f t="shared" si="11"/>
        <v>9.4247999999999994</v>
      </c>
      <c r="I25" s="53">
        <f t="shared" si="12"/>
        <v>0.75</v>
      </c>
      <c r="J25" s="53">
        <f t="shared" si="13"/>
        <v>0.87561107215552481</v>
      </c>
      <c r="K25" s="53">
        <f t="shared" si="14"/>
        <v>0</v>
      </c>
      <c r="L25" s="53">
        <v>0.2</v>
      </c>
      <c r="M25" s="58">
        <f t="shared" si="15"/>
        <v>2.3810395952836884E-3</v>
      </c>
      <c r="N25" s="58">
        <f t="shared" si="16"/>
        <v>2.3810395952836884E-3</v>
      </c>
      <c r="O25" s="59">
        <f t="shared" si="17"/>
        <v>0.18116490899413748</v>
      </c>
    </row>
    <row r="26" spans="1:15" x14ac:dyDescent="0.2">
      <c r="A26" s="37">
        <v>1320</v>
      </c>
      <c r="B26" s="55">
        <v>36</v>
      </c>
      <c r="C26" s="69" t="s">
        <v>23</v>
      </c>
      <c r="D26" s="57">
        <f>'Headloss Calcs'!$A$24</f>
        <v>4</v>
      </c>
      <c r="E26" s="53">
        <f t="shared" si="9"/>
        <v>6.1893444246385423</v>
      </c>
      <c r="F26" s="38">
        <f>'Headloss Calcs'!$H$18</f>
        <v>100</v>
      </c>
      <c r="G26" s="53">
        <f t="shared" si="10"/>
        <v>7.0686</v>
      </c>
      <c r="H26" s="53">
        <f t="shared" si="11"/>
        <v>9.4247999999999994</v>
      </c>
      <c r="I26" s="53">
        <f t="shared" si="12"/>
        <v>0.75</v>
      </c>
      <c r="J26" s="53">
        <f t="shared" si="13"/>
        <v>0.87561107215552481</v>
      </c>
      <c r="K26" s="53">
        <f t="shared" si="14"/>
        <v>0.17283127041064458</v>
      </c>
      <c r="L26" s="53"/>
      <c r="M26" s="58">
        <f t="shared" si="15"/>
        <v>0</v>
      </c>
      <c r="N26" s="58">
        <f t="shared" si="16"/>
        <v>0.17283127041064458</v>
      </c>
      <c r="O26" s="59">
        <f t="shared" si="17"/>
        <v>0.35399617940478206</v>
      </c>
    </row>
    <row r="27" spans="1:15" x14ac:dyDescent="0.2">
      <c r="A27" s="37"/>
      <c r="B27" s="55">
        <v>36</v>
      </c>
      <c r="C27" s="56" t="s">
        <v>39</v>
      </c>
      <c r="D27" s="57">
        <f>'Headloss Calcs'!$A$24</f>
        <v>4</v>
      </c>
      <c r="E27" s="53">
        <f t="shared" si="9"/>
        <v>6.1893444246385423</v>
      </c>
      <c r="F27" s="38">
        <f>'Headloss Calcs'!$H$18</f>
        <v>100</v>
      </c>
      <c r="G27" s="53">
        <f t="shared" si="10"/>
        <v>7.0686</v>
      </c>
      <c r="H27" s="53">
        <f t="shared" si="11"/>
        <v>9.4247999999999994</v>
      </c>
      <c r="I27" s="53">
        <f t="shared" si="12"/>
        <v>0.75</v>
      </c>
      <c r="J27" s="53">
        <f t="shared" si="13"/>
        <v>0.87561107215552481</v>
      </c>
      <c r="K27" s="53">
        <f t="shared" si="14"/>
        <v>0</v>
      </c>
      <c r="L27" s="53">
        <v>0.4</v>
      </c>
      <c r="M27" s="58">
        <f t="shared" si="15"/>
        <v>4.7620791905673768E-3</v>
      </c>
      <c r="N27" s="58">
        <f t="shared" si="16"/>
        <v>4.7620791905673768E-3</v>
      </c>
      <c r="O27" s="59">
        <f t="shared" si="17"/>
        <v>0.35875825859534943</v>
      </c>
    </row>
    <row r="28" spans="1:15" x14ac:dyDescent="0.2">
      <c r="A28" s="37">
        <v>1320</v>
      </c>
      <c r="B28" s="55">
        <v>36</v>
      </c>
      <c r="C28" s="56" t="s">
        <v>23</v>
      </c>
      <c r="D28" s="57">
        <f>'Headloss Calcs'!$A$24</f>
        <v>4</v>
      </c>
      <c r="E28" s="53">
        <f t="shared" si="9"/>
        <v>6.1893444246385423</v>
      </c>
      <c r="F28" s="38">
        <f>'Headloss Calcs'!$H$18</f>
        <v>100</v>
      </c>
      <c r="G28" s="53">
        <f t="shared" si="10"/>
        <v>7.0686</v>
      </c>
      <c r="H28" s="53">
        <f t="shared" si="11"/>
        <v>9.4247999999999994</v>
      </c>
      <c r="I28" s="53">
        <f t="shared" si="12"/>
        <v>0.75</v>
      </c>
      <c r="J28" s="53">
        <f t="shared" si="13"/>
        <v>0.87561107215552481</v>
      </c>
      <c r="K28" s="53">
        <f t="shared" si="14"/>
        <v>0.17283127041064458</v>
      </c>
      <c r="L28" s="53"/>
      <c r="M28" s="58">
        <f t="shared" si="15"/>
        <v>0</v>
      </c>
      <c r="N28" s="58">
        <f t="shared" si="16"/>
        <v>0.17283127041064458</v>
      </c>
      <c r="O28" s="59">
        <f t="shared" si="17"/>
        <v>0.53158952900599399</v>
      </c>
    </row>
    <row r="29" spans="1:15" x14ac:dyDescent="0.2">
      <c r="A29" s="37"/>
      <c r="B29" s="55">
        <v>36</v>
      </c>
      <c r="C29" s="56" t="s">
        <v>39</v>
      </c>
      <c r="D29" s="57">
        <f>'Headloss Calcs'!$A$24</f>
        <v>4</v>
      </c>
      <c r="E29" s="53">
        <f t="shared" si="9"/>
        <v>6.1893444246385423</v>
      </c>
      <c r="F29" s="38">
        <f>'Headloss Calcs'!$H$18</f>
        <v>100</v>
      </c>
      <c r="G29" s="53">
        <f t="shared" si="10"/>
        <v>7.0686</v>
      </c>
      <c r="H29" s="53">
        <f t="shared" si="11"/>
        <v>9.4247999999999994</v>
      </c>
      <c r="I29" s="53">
        <f t="shared" si="12"/>
        <v>0.75</v>
      </c>
      <c r="J29" s="53">
        <f t="shared" si="13"/>
        <v>0.87561107215552481</v>
      </c>
      <c r="K29" s="53">
        <f t="shared" si="14"/>
        <v>0</v>
      </c>
      <c r="L29" s="53">
        <v>0.4</v>
      </c>
      <c r="M29" s="58">
        <f t="shared" si="15"/>
        <v>4.7620791905673768E-3</v>
      </c>
      <c r="N29" s="58">
        <f t="shared" si="16"/>
        <v>4.7620791905673768E-3</v>
      </c>
      <c r="O29" s="59">
        <f t="shared" si="17"/>
        <v>0.53635160819656136</v>
      </c>
    </row>
    <row r="30" spans="1:15" x14ac:dyDescent="0.2">
      <c r="A30" s="37">
        <v>1320</v>
      </c>
      <c r="B30" s="55">
        <v>36</v>
      </c>
      <c r="C30" s="56" t="s">
        <v>23</v>
      </c>
      <c r="D30" s="57">
        <f>'Headloss Calcs'!$A$24</f>
        <v>4</v>
      </c>
      <c r="E30" s="53">
        <f t="shared" si="9"/>
        <v>6.1893444246385423</v>
      </c>
      <c r="F30" s="38">
        <f>'Headloss Calcs'!$H$18</f>
        <v>100</v>
      </c>
      <c r="G30" s="53">
        <f t="shared" si="10"/>
        <v>7.0686</v>
      </c>
      <c r="H30" s="53">
        <f t="shared" si="11"/>
        <v>9.4247999999999994</v>
      </c>
      <c r="I30" s="53">
        <f t="shared" si="12"/>
        <v>0.75</v>
      </c>
      <c r="J30" s="53">
        <f t="shared" si="13"/>
        <v>0.87561107215552481</v>
      </c>
      <c r="K30" s="53">
        <f t="shared" si="14"/>
        <v>0.17283127041064458</v>
      </c>
      <c r="L30" s="53"/>
      <c r="M30" s="58">
        <f t="shared" si="15"/>
        <v>0</v>
      </c>
      <c r="N30" s="58">
        <f t="shared" si="16"/>
        <v>0.17283127041064458</v>
      </c>
      <c r="O30" s="59">
        <f t="shared" si="17"/>
        <v>0.70918287860720597</v>
      </c>
    </row>
    <row r="31" spans="1:15" x14ac:dyDescent="0.2">
      <c r="A31" s="37"/>
      <c r="B31" s="55">
        <v>36</v>
      </c>
      <c r="C31" s="56" t="s">
        <v>48</v>
      </c>
      <c r="D31" s="57">
        <f>'Headloss Calcs'!$A$24</f>
        <v>4</v>
      </c>
      <c r="E31" s="53">
        <f t="shared" si="9"/>
        <v>6.1893444246385423</v>
      </c>
      <c r="F31" s="38">
        <f>'Headloss Calcs'!$H$18</f>
        <v>100</v>
      </c>
      <c r="G31" s="53">
        <f t="shared" si="10"/>
        <v>7.0686</v>
      </c>
      <c r="H31" s="53">
        <f t="shared" si="11"/>
        <v>9.4247999999999994</v>
      </c>
      <c r="I31" s="53">
        <f t="shared" si="12"/>
        <v>0.75</v>
      </c>
      <c r="J31" s="53">
        <f t="shared" si="13"/>
        <v>0.87561107215552481</v>
      </c>
      <c r="K31" s="53">
        <f t="shared" si="14"/>
        <v>0</v>
      </c>
      <c r="L31" s="53">
        <v>0.4</v>
      </c>
      <c r="M31" s="58">
        <f t="shared" si="15"/>
        <v>4.7620791905673768E-3</v>
      </c>
      <c r="N31" s="58">
        <f t="shared" si="16"/>
        <v>4.7620791905673768E-3</v>
      </c>
      <c r="O31" s="59">
        <f t="shared" si="17"/>
        <v>0.71394495779777334</v>
      </c>
    </row>
    <row r="32" spans="1:15" x14ac:dyDescent="0.2">
      <c r="A32" s="37">
        <v>1320</v>
      </c>
      <c r="B32" s="55">
        <v>36</v>
      </c>
      <c r="C32" s="56" t="s">
        <v>23</v>
      </c>
      <c r="D32" s="57">
        <f>'Headloss Calcs'!$A$24</f>
        <v>4</v>
      </c>
      <c r="E32" s="53">
        <f t="shared" si="9"/>
        <v>6.1893444246385423</v>
      </c>
      <c r="F32" s="38">
        <f>'Headloss Calcs'!$H$18</f>
        <v>100</v>
      </c>
      <c r="G32" s="53">
        <f t="shared" si="10"/>
        <v>7.0686</v>
      </c>
      <c r="H32" s="53">
        <f t="shared" si="11"/>
        <v>9.4247999999999994</v>
      </c>
      <c r="I32" s="53">
        <f t="shared" si="12"/>
        <v>0.75</v>
      </c>
      <c r="J32" s="53">
        <f t="shared" si="13"/>
        <v>0.87561107215552481</v>
      </c>
      <c r="K32" s="53">
        <f t="shared" si="14"/>
        <v>0.17283127041064458</v>
      </c>
      <c r="L32" s="53"/>
      <c r="M32" s="58">
        <f t="shared" si="15"/>
        <v>0</v>
      </c>
      <c r="N32" s="58">
        <f t="shared" si="16"/>
        <v>0.17283127041064458</v>
      </c>
      <c r="O32" s="59">
        <f t="shared" si="17"/>
        <v>0.88677622820841795</v>
      </c>
    </row>
    <row r="33" spans="1:15" x14ac:dyDescent="0.2">
      <c r="A33" s="37"/>
      <c r="B33" s="55">
        <v>36</v>
      </c>
      <c r="C33" s="56" t="s">
        <v>39</v>
      </c>
      <c r="D33" s="57">
        <f>'Headloss Calcs'!$A$24</f>
        <v>4</v>
      </c>
      <c r="E33" s="53">
        <f t="shared" si="9"/>
        <v>6.1893444246385423</v>
      </c>
      <c r="F33" s="38">
        <f>'Headloss Calcs'!$H$18</f>
        <v>100</v>
      </c>
      <c r="G33" s="53">
        <f t="shared" si="10"/>
        <v>7.0686</v>
      </c>
      <c r="H33" s="53">
        <f t="shared" si="11"/>
        <v>9.4247999999999994</v>
      </c>
      <c r="I33" s="53">
        <f t="shared" si="12"/>
        <v>0.75</v>
      </c>
      <c r="J33" s="53">
        <f t="shared" si="13"/>
        <v>0.87561107215552481</v>
      </c>
      <c r="K33" s="53">
        <f t="shared" si="14"/>
        <v>0</v>
      </c>
      <c r="L33" s="53">
        <v>0.4</v>
      </c>
      <c r="M33" s="58">
        <f t="shared" si="15"/>
        <v>4.7620791905673768E-3</v>
      </c>
      <c r="N33" s="58">
        <f t="shared" si="16"/>
        <v>4.7620791905673768E-3</v>
      </c>
      <c r="O33" s="59">
        <f t="shared" si="17"/>
        <v>0.89153830739898532</v>
      </c>
    </row>
    <row r="34" spans="1:15" x14ac:dyDescent="0.2">
      <c r="A34" s="37">
        <v>1320</v>
      </c>
      <c r="B34" s="55">
        <v>36</v>
      </c>
      <c r="C34" s="56" t="s">
        <v>23</v>
      </c>
      <c r="D34" s="57">
        <f>'Headloss Calcs'!$A$24</f>
        <v>4</v>
      </c>
      <c r="E34" s="53">
        <f t="shared" si="9"/>
        <v>6.1893444246385423</v>
      </c>
      <c r="F34" s="38">
        <f>'Headloss Calcs'!$H$18</f>
        <v>100</v>
      </c>
      <c r="G34" s="53">
        <f t="shared" si="10"/>
        <v>7.0686</v>
      </c>
      <c r="H34" s="53">
        <f t="shared" si="11"/>
        <v>9.4247999999999994</v>
      </c>
      <c r="I34" s="53">
        <f t="shared" si="12"/>
        <v>0.75</v>
      </c>
      <c r="J34" s="53">
        <f t="shared" si="13"/>
        <v>0.87561107215552481</v>
      </c>
      <c r="K34" s="53">
        <f t="shared" si="14"/>
        <v>0.17283127041064458</v>
      </c>
      <c r="L34" s="53"/>
      <c r="M34" s="58">
        <f t="shared" si="15"/>
        <v>0</v>
      </c>
      <c r="N34" s="58">
        <f t="shared" si="16"/>
        <v>0.17283127041064458</v>
      </c>
      <c r="O34" s="59">
        <f t="shared" si="17"/>
        <v>1.0643695778096298</v>
      </c>
    </row>
    <row r="35" spans="1:15" x14ac:dyDescent="0.2">
      <c r="A35" s="37"/>
      <c r="B35" s="55">
        <v>36</v>
      </c>
      <c r="C35" s="56" t="s">
        <v>45</v>
      </c>
      <c r="D35" s="57">
        <f>'Headloss Calcs'!$A$24</f>
        <v>4</v>
      </c>
      <c r="E35" s="53">
        <f t="shared" si="9"/>
        <v>6.1893444246385423</v>
      </c>
      <c r="F35" s="38">
        <f>'Headloss Calcs'!$H$18</f>
        <v>100</v>
      </c>
      <c r="G35" s="53">
        <f t="shared" si="10"/>
        <v>7.0686</v>
      </c>
      <c r="H35" s="53">
        <f t="shared" si="11"/>
        <v>9.4247999999999994</v>
      </c>
      <c r="I35" s="53">
        <f t="shared" si="12"/>
        <v>0.75</v>
      </c>
      <c r="J35" s="53">
        <f t="shared" si="13"/>
        <v>0.87561107215552481</v>
      </c>
      <c r="K35" s="53">
        <f t="shared" si="14"/>
        <v>0</v>
      </c>
      <c r="L35" s="53">
        <v>0.2</v>
      </c>
      <c r="M35" s="58">
        <f t="shared" si="15"/>
        <v>2.3810395952836884E-3</v>
      </c>
      <c r="N35" s="58">
        <f t="shared" si="16"/>
        <v>2.3810395952836884E-3</v>
      </c>
      <c r="O35" s="59">
        <f t="shared" si="17"/>
        <v>1.0667506174049135</v>
      </c>
    </row>
    <row r="36" spans="1:15" x14ac:dyDescent="0.2">
      <c r="A36" s="37">
        <v>1320</v>
      </c>
      <c r="B36" s="55">
        <v>36</v>
      </c>
      <c r="C36" s="56" t="s">
        <v>23</v>
      </c>
      <c r="D36" s="57">
        <f>'Headloss Calcs'!$A$24</f>
        <v>4</v>
      </c>
      <c r="E36" s="53">
        <f t="shared" si="9"/>
        <v>6.1893444246385423</v>
      </c>
      <c r="F36" s="38">
        <f>'Headloss Calcs'!$H$18</f>
        <v>100</v>
      </c>
      <c r="G36" s="53">
        <f t="shared" si="10"/>
        <v>7.0686</v>
      </c>
      <c r="H36" s="53">
        <f t="shared" si="11"/>
        <v>9.4247999999999994</v>
      </c>
      <c r="I36" s="53">
        <f t="shared" si="12"/>
        <v>0.75</v>
      </c>
      <c r="J36" s="53">
        <f t="shared" si="13"/>
        <v>0.87561107215552481</v>
      </c>
      <c r="K36" s="53">
        <f t="shared" si="14"/>
        <v>0.17283127041064458</v>
      </c>
      <c r="L36" s="53"/>
      <c r="M36" s="58">
        <f t="shared" si="15"/>
        <v>0</v>
      </c>
      <c r="N36" s="58">
        <f t="shared" si="16"/>
        <v>0.17283127041064458</v>
      </c>
      <c r="O36" s="59">
        <f t="shared" si="17"/>
        <v>1.239581887815558</v>
      </c>
    </row>
    <row r="37" spans="1:15" ht="12" customHeight="1" x14ac:dyDescent="0.2">
      <c r="A37" s="37"/>
      <c r="B37" s="55">
        <v>36</v>
      </c>
      <c r="C37" s="56" t="s">
        <v>44</v>
      </c>
      <c r="D37" s="57">
        <f>'Headloss Calcs'!$A$24</f>
        <v>4</v>
      </c>
      <c r="E37" s="53">
        <f t="shared" si="9"/>
        <v>6.1893444246385423</v>
      </c>
      <c r="F37" s="38">
        <f>'Headloss Calcs'!$H$18</f>
        <v>100</v>
      </c>
      <c r="G37" s="53">
        <f t="shared" si="10"/>
        <v>7.0686</v>
      </c>
      <c r="H37" s="53">
        <f t="shared" si="11"/>
        <v>9.4247999999999994</v>
      </c>
      <c r="I37" s="53">
        <f t="shared" si="12"/>
        <v>0.75</v>
      </c>
      <c r="J37" s="53">
        <f t="shared" si="13"/>
        <v>0.87561107215552481</v>
      </c>
      <c r="K37" s="53">
        <f t="shared" si="14"/>
        <v>0</v>
      </c>
      <c r="L37" s="53">
        <v>1</v>
      </c>
      <c r="M37" s="58">
        <f t="shared" si="15"/>
        <v>1.190519797641844E-2</v>
      </c>
      <c r="N37" s="58">
        <f t="shared" si="16"/>
        <v>1.190519797641844E-2</v>
      </c>
      <c r="O37" s="59">
        <f t="shared" si="17"/>
        <v>1.2514870857919764</v>
      </c>
    </row>
    <row r="38" spans="1:15" ht="13.5" thickBot="1" x14ac:dyDescent="0.25">
      <c r="A38" s="39"/>
      <c r="B38" s="40"/>
      <c r="C38" s="41"/>
      <c r="D38" s="40"/>
      <c r="E38" s="42"/>
      <c r="F38" s="40"/>
      <c r="G38" s="54"/>
      <c r="H38" s="54"/>
      <c r="I38" s="54"/>
      <c r="J38" s="54"/>
      <c r="K38" s="54"/>
      <c r="L38" s="54"/>
      <c r="M38" s="60"/>
      <c r="N38" s="60" t="s">
        <v>40</v>
      </c>
      <c r="O38" s="61">
        <f>O37</f>
        <v>1.2514870857919764</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0"/>
  <sheetViews>
    <sheetView topLeftCell="C16" workbookViewId="0">
      <selection activeCell="D38" sqref="D38"/>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Calcs'!$A$25</f>
        <v>5</v>
      </c>
      <c r="E3" s="53">
        <f t="shared" ref="E3:E18" si="0">D3*1000000/(7.48*24*60*60)</f>
        <v>7.7366805307981776</v>
      </c>
      <c r="F3" s="38">
        <f>'Headloss Calcs'!$E$18</f>
        <v>140</v>
      </c>
      <c r="G3" s="53">
        <f t="shared" ref="G3:G18" si="1">3.1416/4*(B3/12)^2</f>
        <v>7.0686</v>
      </c>
      <c r="H3" s="53">
        <f t="shared" ref="H3:H18" si="2">3.1416*(B3/12)</f>
        <v>9.4247999999999994</v>
      </c>
      <c r="I3" s="53">
        <f t="shared" ref="I3:I18" si="3">G3/H3</f>
        <v>0.75</v>
      </c>
      <c r="J3" s="53">
        <f t="shared" ref="J3:J18" si="4">E3/G3</f>
        <v>1.0945138401944059</v>
      </c>
      <c r="K3" s="53">
        <f t="shared" ref="K3:K18" si="5">(J3/(1.318*F3*I3^0.63))^1.85*A3</f>
        <v>0</v>
      </c>
      <c r="L3" s="53">
        <v>0.25</v>
      </c>
      <c r="M3" s="58">
        <f t="shared" ref="M3:M18" si="6">L3*(J3^2)/(2*32.2)</f>
        <v>4.6504679595384523E-3</v>
      </c>
      <c r="N3" s="58">
        <f t="shared" ref="N3:N18" si="7">K3+M3</f>
        <v>4.6504679595384523E-3</v>
      </c>
      <c r="O3" s="59">
        <f>N3</f>
        <v>4.6504679595384523E-3</v>
      </c>
    </row>
    <row r="4" spans="1:15" x14ac:dyDescent="0.2">
      <c r="A4" s="37"/>
      <c r="B4" s="55">
        <v>36</v>
      </c>
      <c r="C4" s="56" t="s">
        <v>47</v>
      </c>
      <c r="D4" s="57">
        <f>'Headloss Calcs'!$A$25</f>
        <v>5</v>
      </c>
      <c r="E4" s="53">
        <f t="shared" si="0"/>
        <v>7.7366805307981776</v>
      </c>
      <c r="F4" s="38">
        <f>'Headloss Calcs'!$E$18</f>
        <v>140</v>
      </c>
      <c r="G4" s="53">
        <f t="shared" si="1"/>
        <v>7.0686</v>
      </c>
      <c r="H4" s="53">
        <f t="shared" si="2"/>
        <v>9.4247999999999994</v>
      </c>
      <c r="I4" s="53">
        <f t="shared" si="3"/>
        <v>0.75</v>
      </c>
      <c r="J4" s="53">
        <f t="shared" si="4"/>
        <v>1.0945138401944059</v>
      </c>
      <c r="K4" s="53">
        <f t="shared" si="5"/>
        <v>0</v>
      </c>
      <c r="L4" s="53">
        <v>0.25</v>
      </c>
      <c r="M4" s="58">
        <f t="shared" si="6"/>
        <v>4.6504679595384523E-3</v>
      </c>
      <c r="N4" s="58">
        <f t="shared" si="7"/>
        <v>4.6504679595384523E-3</v>
      </c>
      <c r="O4" s="59">
        <f t="shared" ref="O4:O18" si="8">N4+O3</f>
        <v>9.3009359190769046E-3</v>
      </c>
    </row>
    <row r="5" spans="1:15" x14ac:dyDescent="0.2">
      <c r="A5" s="37">
        <v>1320</v>
      </c>
      <c r="B5" s="55">
        <v>36</v>
      </c>
      <c r="C5" s="56" t="s">
        <v>23</v>
      </c>
      <c r="D5" s="57">
        <f>'Headloss Calcs'!$A$25</f>
        <v>5</v>
      </c>
      <c r="E5" s="53">
        <f t="shared" si="0"/>
        <v>7.7366805307981776</v>
      </c>
      <c r="F5" s="38">
        <f>'Headloss Calcs'!$E$18</f>
        <v>140</v>
      </c>
      <c r="G5" s="53">
        <f t="shared" si="1"/>
        <v>7.0686</v>
      </c>
      <c r="H5" s="53">
        <f t="shared" si="2"/>
        <v>9.4247999999999994</v>
      </c>
      <c r="I5" s="53">
        <f t="shared" si="3"/>
        <v>0.75</v>
      </c>
      <c r="J5" s="53">
        <f t="shared" si="4"/>
        <v>1.0945138401944059</v>
      </c>
      <c r="K5" s="53">
        <f t="shared" si="5"/>
        <v>0.14014221594796403</v>
      </c>
      <c r="L5" s="53"/>
      <c r="M5" s="58">
        <f t="shared" si="6"/>
        <v>0</v>
      </c>
      <c r="N5" s="58">
        <f t="shared" si="7"/>
        <v>0.14014221594796403</v>
      </c>
      <c r="O5" s="59">
        <f t="shared" si="8"/>
        <v>0.14944315186704094</v>
      </c>
    </row>
    <row r="6" spans="1:15" x14ac:dyDescent="0.2">
      <c r="A6" s="37"/>
      <c r="B6" s="55">
        <v>36</v>
      </c>
      <c r="C6" s="56" t="s">
        <v>45</v>
      </c>
      <c r="D6" s="57">
        <f>'Headloss Calcs'!$A$25</f>
        <v>5</v>
      </c>
      <c r="E6" s="53">
        <f t="shared" si="0"/>
        <v>7.7366805307981776</v>
      </c>
      <c r="F6" s="38">
        <f>'Headloss Calcs'!$E$18</f>
        <v>140</v>
      </c>
      <c r="G6" s="53">
        <f t="shared" si="1"/>
        <v>7.0686</v>
      </c>
      <c r="H6" s="53">
        <f t="shared" si="2"/>
        <v>9.4247999999999994</v>
      </c>
      <c r="I6" s="53">
        <f t="shared" si="3"/>
        <v>0.75</v>
      </c>
      <c r="J6" s="53">
        <f t="shared" si="4"/>
        <v>1.0945138401944059</v>
      </c>
      <c r="K6" s="53">
        <f t="shared" si="5"/>
        <v>0</v>
      </c>
      <c r="L6" s="53">
        <v>0.2</v>
      </c>
      <c r="M6" s="58">
        <f t="shared" si="6"/>
        <v>3.720374367630762E-3</v>
      </c>
      <c r="N6" s="58">
        <f t="shared" si="7"/>
        <v>3.720374367630762E-3</v>
      </c>
      <c r="O6" s="59">
        <f t="shared" si="8"/>
        <v>0.15316352623467169</v>
      </c>
    </row>
    <row r="7" spans="1:15" x14ac:dyDescent="0.2">
      <c r="A7" s="37">
        <v>1320</v>
      </c>
      <c r="B7" s="55">
        <v>36</v>
      </c>
      <c r="C7" s="69" t="s">
        <v>23</v>
      </c>
      <c r="D7" s="57">
        <f>'Headloss Calcs'!$A$25</f>
        <v>5</v>
      </c>
      <c r="E7" s="53">
        <f t="shared" si="0"/>
        <v>7.7366805307981776</v>
      </c>
      <c r="F7" s="38">
        <f>'Headloss Calcs'!$E$18</f>
        <v>140</v>
      </c>
      <c r="G7" s="53">
        <f t="shared" si="1"/>
        <v>7.0686</v>
      </c>
      <c r="H7" s="53">
        <f t="shared" si="2"/>
        <v>9.4247999999999994</v>
      </c>
      <c r="I7" s="53">
        <f t="shared" si="3"/>
        <v>0.75</v>
      </c>
      <c r="J7" s="53">
        <f t="shared" si="4"/>
        <v>1.0945138401944059</v>
      </c>
      <c r="K7" s="53">
        <f t="shared" si="5"/>
        <v>0.14014221594796403</v>
      </c>
      <c r="L7" s="53"/>
      <c r="M7" s="58">
        <f t="shared" si="6"/>
        <v>0</v>
      </c>
      <c r="N7" s="58">
        <f t="shared" si="7"/>
        <v>0.14014221594796403</v>
      </c>
      <c r="O7" s="59">
        <f t="shared" si="8"/>
        <v>0.29330574218263572</v>
      </c>
    </row>
    <row r="8" spans="1:15" x14ac:dyDescent="0.2">
      <c r="A8" s="37"/>
      <c r="B8" s="55">
        <v>36</v>
      </c>
      <c r="C8" s="56" t="s">
        <v>39</v>
      </c>
      <c r="D8" s="57">
        <f>'Headloss Calcs'!$A$25</f>
        <v>5</v>
      </c>
      <c r="E8" s="53">
        <f t="shared" si="0"/>
        <v>7.7366805307981776</v>
      </c>
      <c r="F8" s="38">
        <f>'Headloss Calcs'!$E$18</f>
        <v>140</v>
      </c>
      <c r="G8" s="53">
        <f t="shared" si="1"/>
        <v>7.0686</v>
      </c>
      <c r="H8" s="53">
        <f t="shared" si="2"/>
        <v>9.4247999999999994</v>
      </c>
      <c r="I8" s="53">
        <f t="shared" si="3"/>
        <v>0.75</v>
      </c>
      <c r="J8" s="53">
        <f t="shared" si="4"/>
        <v>1.0945138401944059</v>
      </c>
      <c r="K8" s="53">
        <f t="shared" si="5"/>
        <v>0</v>
      </c>
      <c r="L8" s="53">
        <v>0.4</v>
      </c>
      <c r="M8" s="58">
        <f t="shared" si="6"/>
        <v>7.440748735261524E-3</v>
      </c>
      <c r="N8" s="58">
        <f t="shared" si="7"/>
        <v>7.440748735261524E-3</v>
      </c>
      <c r="O8" s="59">
        <f t="shared" si="8"/>
        <v>0.30074649091789724</v>
      </c>
    </row>
    <row r="9" spans="1:15" x14ac:dyDescent="0.2">
      <c r="A9" s="37">
        <v>1320</v>
      </c>
      <c r="B9" s="55">
        <v>36</v>
      </c>
      <c r="C9" s="56" t="s">
        <v>23</v>
      </c>
      <c r="D9" s="57">
        <f>'Headloss Calcs'!$A$25</f>
        <v>5</v>
      </c>
      <c r="E9" s="53">
        <f t="shared" si="0"/>
        <v>7.7366805307981776</v>
      </c>
      <c r="F9" s="38">
        <f>'Headloss Calcs'!$E$18</f>
        <v>140</v>
      </c>
      <c r="G9" s="53">
        <f t="shared" si="1"/>
        <v>7.0686</v>
      </c>
      <c r="H9" s="53">
        <f t="shared" si="2"/>
        <v>9.4247999999999994</v>
      </c>
      <c r="I9" s="53">
        <f t="shared" si="3"/>
        <v>0.75</v>
      </c>
      <c r="J9" s="53">
        <f t="shared" si="4"/>
        <v>1.0945138401944059</v>
      </c>
      <c r="K9" s="53">
        <f t="shared" si="5"/>
        <v>0.14014221594796403</v>
      </c>
      <c r="L9" s="53"/>
      <c r="M9" s="58">
        <f t="shared" si="6"/>
        <v>0</v>
      </c>
      <c r="N9" s="58">
        <f t="shared" si="7"/>
        <v>0.14014221594796403</v>
      </c>
      <c r="O9" s="59">
        <f t="shared" si="8"/>
        <v>0.44088870686586124</v>
      </c>
    </row>
    <row r="10" spans="1:15" x14ac:dyDescent="0.2">
      <c r="A10" s="37"/>
      <c r="B10" s="55">
        <v>36</v>
      </c>
      <c r="C10" s="56" t="s">
        <v>39</v>
      </c>
      <c r="D10" s="57">
        <f>'Headloss Calcs'!$A$25</f>
        <v>5</v>
      </c>
      <c r="E10" s="53">
        <f t="shared" si="0"/>
        <v>7.7366805307981776</v>
      </c>
      <c r="F10" s="38">
        <f>'Headloss Calcs'!$E$18</f>
        <v>140</v>
      </c>
      <c r="G10" s="53">
        <f t="shared" si="1"/>
        <v>7.0686</v>
      </c>
      <c r="H10" s="53">
        <f t="shared" si="2"/>
        <v>9.4247999999999994</v>
      </c>
      <c r="I10" s="53">
        <f t="shared" si="3"/>
        <v>0.75</v>
      </c>
      <c r="J10" s="53">
        <f t="shared" si="4"/>
        <v>1.0945138401944059</v>
      </c>
      <c r="K10" s="53">
        <f t="shared" si="5"/>
        <v>0</v>
      </c>
      <c r="L10" s="53">
        <v>0.4</v>
      </c>
      <c r="M10" s="58">
        <f t="shared" si="6"/>
        <v>7.440748735261524E-3</v>
      </c>
      <c r="N10" s="58">
        <f t="shared" si="7"/>
        <v>7.440748735261524E-3</v>
      </c>
      <c r="O10" s="59">
        <f t="shared" si="8"/>
        <v>0.44832945560112275</v>
      </c>
    </row>
    <row r="11" spans="1:15" x14ac:dyDescent="0.2">
      <c r="A11" s="37">
        <v>1320</v>
      </c>
      <c r="B11" s="55">
        <v>36</v>
      </c>
      <c r="C11" s="56" t="s">
        <v>23</v>
      </c>
      <c r="D11" s="57">
        <f>'Headloss Calcs'!$A$25</f>
        <v>5</v>
      </c>
      <c r="E11" s="53">
        <f t="shared" si="0"/>
        <v>7.7366805307981776</v>
      </c>
      <c r="F11" s="38">
        <f>'Headloss Calcs'!$E$18</f>
        <v>140</v>
      </c>
      <c r="G11" s="53">
        <f t="shared" si="1"/>
        <v>7.0686</v>
      </c>
      <c r="H11" s="53">
        <f t="shared" si="2"/>
        <v>9.4247999999999994</v>
      </c>
      <c r="I11" s="53">
        <f t="shared" si="3"/>
        <v>0.75</v>
      </c>
      <c r="J11" s="53">
        <f t="shared" si="4"/>
        <v>1.0945138401944059</v>
      </c>
      <c r="K11" s="53">
        <f t="shared" si="5"/>
        <v>0.14014221594796403</v>
      </c>
      <c r="L11" s="53"/>
      <c r="M11" s="58">
        <f t="shared" si="6"/>
        <v>0</v>
      </c>
      <c r="N11" s="58">
        <f t="shared" si="7"/>
        <v>0.14014221594796403</v>
      </c>
      <c r="O11" s="59">
        <f t="shared" si="8"/>
        <v>0.58847167154908675</v>
      </c>
    </row>
    <row r="12" spans="1:15" x14ac:dyDescent="0.2">
      <c r="A12" s="37"/>
      <c r="B12" s="55">
        <v>36</v>
      </c>
      <c r="C12" s="56" t="s">
        <v>48</v>
      </c>
      <c r="D12" s="57">
        <f>'Headloss Calcs'!$A$25</f>
        <v>5</v>
      </c>
      <c r="E12" s="53">
        <f t="shared" si="0"/>
        <v>7.7366805307981776</v>
      </c>
      <c r="F12" s="38">
        <f>'Headloss Calcs'!$E$18</f>
        <v>140</v>
      </c>
      <c r="G12" s="53">
        <f t="shared" si="1"/>
        <v>7.0686</v>
      </c>
      <c r="H12" s="53">
        <f t="shared" si="2"/>
        <v>9.4247999999999994</v>
      </c>
      <c r="I12" s="53">
        <f t="shared" si="3"/>
        <v>0.75</v>
      </c>
      <c r="J12" s="53">
        <f t="shared" si="4"/>
        <v>1.0945138401944059</v>
      </c>
      <c r="K12" s="53">
        <f t="shared" si="5"/>
        <v>0</v>
      </c>
      <c r="L12" s="53">
        <v>0.4</v>
      </c>
      <c r="M12" s="58">
        <f t="shared" si="6"/>
        <v>7.440748735261524E-3</v>
      </c>
      <c r="N12" s="58">
        <f t="shared" si="7"/>
        <v>7.440748735261524E-3</v>
      </c>
      <c r="O12" s="59">
        <f t="shared" si="8"/>
        <v>0.59591242028434832</v>
      </c>
    </row>
    <row r="13" spans="1:15" x14ac:dyDescent="0.2">
      <c r="A13" s="37">
        <v>1320</v>
      </c>
      <c r="B13" s="55">
        <v>36</v>
      </c>
      <c r="C13" s="56" t="s">
        <v>23</v>
      </c>
      <c r="D13" s="57">
        <f>'Headloss Calcs'!$A$25</f>
        <v>5</v>
      </c>
      <c r="E13" s="53">
        <f t="shared" si="0"/>
        <v>7.7366805307981776</v>
      </c>
      <c r="F13" s="38">
        <f>'Headloss Calcs'!$E$18</f>
        <v>140</v>
      </c>
      <c r="G13" s="53">
        <f t="shared" si="1"/>
        <v>7.0686</v>
      </c>
      <c r="H13" s="53">
        <f t="shared" si="2"/>
        <v>9.4247999999999994</v>
      </c>
      <c r="I13" s="53">
        <f t="shared" si="3"/>
        <v>0.75</v>
      </c>
      <c r="J13" s="53">
        <f t="shared" si="4"/>
        <v>1.0945138401944059</v>
      </c>
      <c r="K13" s="53">
        <f t="shared" si="5"/>
        <v>0.14014221594796403</v>
      </c>
      <c r="L13" s="53"/>
      <c r="M13" s="58">
        <f t="shared" si="6"/>
        <v>0</v>
      </c>
      <c r="N13" s="58">
        <f t="shared" si="7"/>
        <v>0.14014221594796403</v>
      </c>
      <c r="O13" s="59">
        <f t="shared" si="8"/>
        <v>0.73605463623231238</v>
      </c>
    </row>
    <row r="14" spans="1:15" x14ac:dyDescent="0.2">
      <c r="A14" s="37"/>
      <c r="B14" s="55">
        <v>36</v>
      </c>
      <c r="C14" s="56" t="s">
        <v>39</v>
      </c>
      <c r="D14" s="57">
        <f>'Headloss Calcs'!$A$25</f>
        <v>5</v>
      </c>
      <c r="E14" s="53">
        <f t="shared" si="0"/>
        <v>7.7366805307981776</v>
      </c>
      <c r="F14" s="38">
        <f>'Headloss Calcs'!$E$18</f>
        <v>140</v>
      </c>
      <c r="G14" s="53">
        <f t="shared" si="1"/>
        <v>7.0686</v>
      </c>
      <c r="H14" s="53">
        <f t="shared" si="2"/>
        <v>9.4247999999999994</v>
      </c>
      <c r="I14" s="53">
        <f t="shared" si="3"/>
        <v>0.75</v>
      </c>
      <c r="J14" s="53">
        <f t="shared" si="4"/>
        <v>1.0945138401944059</v>
      </c>
      <c r="K14" s="53">
        <f t="shared" si="5"/>
        <v>0</v>
      </c>
      <c r="L14" s="53">
        <v>0.4</v>
      </c>
      <c r="M14" s="58">
        <f t="shared" si="6"/>
        <v>7.440748735261524E-3</v>
      </c>
      <c r="N14" s="58">
        <f t="shared" si="7"/>
        <v>7.440748735261524E-3</v>
      </c>
      <c r="O14" s="59">
        <f t="shared" si="8"/>
        <v>0.74349538496757395</v>
      </c>
    </row>
    <row r="15" spans="1:15" x14ac:dyDescent="0.2">
      <c r="A15" s="37">
        <v>1320</v>
      </c>
      <c r="B15" s="55">
        <v>36</v>
      </c>
      <c r="C15" s="56" t="s">
        <v>23</v>
      </c>
      <c r="D15" s="57">
        <f>'Headloss Calcs'!$A$25</f>
        <v>5</v>
      </c>
      <c r="E15" s="53">
        <f t="shared" si="0"/>
        <v>7.7366805307981776</v>
      </c>
      <c r="F15" s="38">
        <f>'Headloss Calcs'!$E$18</f>
        <v>140</v>
      </c>
      <c r="G15" s="53">
        <f t="shared" si="1"/>
        <v>7.0686</v>
      </c>
      <c r="H15" s="53">
        <f t="shared" si="2"/>
        <v>9.4247999999999994</v>
      </c>
      <c r="I15" s="53">
        <f t="shared" si="3"/>
        <v>0.75</v>
      </c>
      <c r="J15" s="53">
        <f t="shared" si="4"/>
        <v>1.0945138401944059</v>
      </c>
      <c r="K15" s="53">
        <f t="shared" si="5"/>
        <v>0.14014221594796403</v>
      </c>
      <c r="L15" s="53"/>
      <c r="M15" s="58">
        <f t="shared" si="6"/>
        <v>0</v>
      </c>
      <c r="N15" s="58">
        <f t="shared" si="7"/>
        <v>0.14014221594796403</v>
      </c>
      <c r="O15" s="59">
        <f t="shared" si="8"/>
        <v>0.883637600915538</v>
      </c>
    </row>
    <row r="16" spans="1:15" x14ac:dyDescent="0.2">
      <c r="A16" s="37"/>
      <c r="B16" s="55">
        <v>36</v>
      </c>
      <c r="C16" s="56" t="s">
        <v>45</v>
      </c>
      <c r="D16" s="57">
        <f>'Headloss Calcs'!$A$25</f>
        <v>5</v>
      </c>
      <c r="E16" s="53">
        <f t="shared" si="0"/>
        <v>7.7366805307981776</v>
      </c>
      <c r="F16" s="38">
        <f>'Headloss Calcs'!$E$18</f>
        <v>140</v>
      </c>
      <c r="G16" s="53">
        <f t="shared" si="1"/>
        <v>7.0686</v>
      </c>
      <c r="H16" s="53">
        <f t="shared" si="2"/>
        <v>9.4247999999999994</v>
      </c>
      <c r="I16" s="53">
        <f t="shared" si="3"/>
        <v>0.75</v>
      </c>
      <c r="J16" s="53">
        <f t="shared" si="4"/>
        <v>1.0945138401944059</v>
      </c>
      <c r="K16" s="53">
        <f t="shared" si="5"/>
        <v>0</v>
      </c>
      <c r="L16" s="53">
        <v>0.2</v>
      </c>
      <c r="M16" s="58">
        <f t="shared" si="6"/>
        <v>3.720374367630762E-3</v>
      </c>
      <c r="N16" s="58">
        <f t="shared" si="7"/>
        <v>3.720374367630762E-3</v>
      </c>
      <c r="O16" s="59">
        <f t="shared" si="8"/>
        <v>0.88735797528316873</v>
      </c>
    </row>
    <row r="17" spans="1:15" x14ac:dyDescent="0.2">
      <c r="A17" s="37">
        <v>1320</v>
      </c>
      <c r="B17" s="55">
        <v>36</v>
      </c>
      <c r="C17" s="56" t="s">
        <v>23</v>
      </c>
      <c r="D17" s="57">
        <f>'Headloss Calcs'!$A$25</f>
        <v>5</v>
      </c>
      <c r="E17" s="53">
        <f t="shared" si="0"/>
        <v>7.7366805307981776</v>
      </c>
      <c r="F17" s="38">
        <f>'Headloss Calcs'!$E$18</f>
        <v>140</v>
      </c>
      <c r="G17" s="53">
        <f t="shared" si="1"/>
        <v>7.0686</v>
      </c>
      <c r="H17" s="53">
        <f t="shared" si="2"/>
        <v>9.4247999999999994</v>
      </c>
      <c r="I17" s="53">
        <f t="shared" si="3"/>
        <v>0.75</v>
      </c>
      <c r="J17" s="53">
        <f t="shared" si="4"/>
        <v>1.0945138401944059</v>
      </c>
      <c r="K17" s="53">
        <f t="shared" si="5"/>
        <v>0.14014221594796403</v>
      </c>
      <c r="L17" s="53"/>
      <c r="M17" s="58">
        <f t="shared" si="6"/>
        <v>0</v>
      </c>
      <c r="N17" s="58">
        <f t="shared" si="7"/>
        <v>0.14014221594796403</v>
      </c>
      <c r="O17" s="59">
        <f t="shared" si="8"/>
        <v>1.0275001912311328</v>
      </c>
    </row>
    <row r="18" spans="1:15" ht="12" customHeight="1" x14ac:dyDescent="0.2">
      <c r="A18" s="37"/>
      <c r="B18" s="55">
        <v>36</v>
      </c>
      <c r="C18" s="56" t="s">
        <v>44</v>
      </c>
      <c r="D18" s="57">
        <f>'Headloss Calcs'!$A$25</f>
        <v>5</v>
      </c>
      <c r="E18" s="53">
        <f t="shared" si="0"/>
        <v>7.7366805307981776</v>
      </c>
      <c r="F18" s="38">
        <f>'Headloss Calcs'!$E$18</f>
        <v>140</v>
      </c>
      <c r="G18" s="53">
        <f t="shared" si="1"/>
        <v>7.0686</v>
      </c>
      <c r="H18" s="53">
        <f t="shared" si="2"/>
        <v>9.4247999999999994</v>
      </c>
      <c r="I18" s="53">
        <f t="shared" si="3"/>
        <v>0.75</v>
      </c>
      <c r="J18" s="53">
        <f t="shared" si="4"/>
        <v>1.0945138401944059</v>
      </c>
      <c r="K18" s="53">
        <f t="shared" si="5"/>
        <v>0</v>
      </c>
      <c r="L18" s="53">
        <v>1</v>
      </c>
      <c r="M18" s="58">
        <f t="shared" si="6"/>
        <v>1.8601871838153809E-2</v>
      </c>
      <c r="N18" s="58">
        <f t="shared" si="7"/>
        <v>1.8601871838153809E-2</v>
      </c>
      <c r="O18" s="59">
        <f t="shared" si="8"/>
        <v>1.0461020630692865</v>
      </c>
    </row>
    <row r="19" spans="1:15" ht="13.5" thickBot="1" x14ac:dyDescent="0.25">
      <c r="A19" s="39"/>
      <c r="B19" s="40"/>
      <c r="C19" s="41"/>
      <c r="D19" s="40"/>
      <c r="E19" s="42"/>
      <c r="F19" s="40"/>
      <c r="G19" s="54"/>
      <c r="H19" s="54"/>
      <c r="I19" s="54"/>
      <c r="J19" s="54"/>
      <c r="K19" s="54"/>
      <c r="L19" s="54"/>
      <c r="M19" s="60"/>
      <c r="N19" s="60" t="s">
        <v>40</v>
      </c>
      <c r="O19" s="61">
        <f>O18</f>
        <v>1.0461020630692865</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Calcs'!$A$25</f>
        <v>5</v>
      </c>
      <c r="E22" s="53">
        <f t="shared" ref="E22:E37" si="9">D22*1000000/(7.48*24*60*60)</f>
        <v>7.7366805307981776</v>
      </c>
      <c r="F22" s="38">
        <f>'Headloss Calcs'!$H$18</f>
        <v>100</v>
      </c>
      <c r="G22" s="53">
        <f t="shared" ref="G22:G37" si="10">3.1416/4*(B22/12)^2</f>
        <v>7.0686</v>
      </c>
      <c r="H22" s="53">
        <f t="shared" ref="H22:H37" si="11">3.1416*(B22/12)</f>
        <v>9.4247999999999994</v>
      </c>
      <c r="I22" s="53">
        <f t="shared" ref="I22:I37" si="12">G22/H22</f>
        <v>0.75</v>
      </c>
      <c r="J22" s="53">
        <f t="shared" ref="J22:J37" si="13">E22/G22</f>
        <v>1.0945138401944059</v>
      </c>
      <c r="K22" s="53">
        <f t="shared" ref="K22:K37" si="14">(J22/(1.318*F22*I22^0.63))^1.85*A22</f>
        <v>0</v>
      </c>
      <c r="L22" s="53">
        <v>0.25</v>
      </c>
      <c r="M22" s="58">
        <f t="shared" ref="M22:M37" si="15">L22*(J22^2)/(2*32.2)</f>
        <v>4.6504679595384523E-3</v>
      </c>
      <c r="N22" s="58">
        <f t="shared" ref="N22:N37" si="16">K22+M22</f>
        <v>4.6504679595384523E-3</v>
      </c>
      <c r="O22" s="59">
        <f>N22</f>
        <v>4.6504679595384523E-3</v>
      </c>
    </row>
    <row r="23" spans="1:15" x14ac:dyDescent="0.2">
      <c r="A23" s="37"/>
      <c r="B23" s="55">
        <v>36</v>
      </c>
      <c r="C23" s="56" t="s">
        <v>47</v>
      </c>
      <c r="D23" s="57">
        <f>'Headloss Calcs'!$A$25</f>
        <v>5</v>
      </c>
      <c r="E23" s="53">
        <f t="shared" si="9"/>
        <v>7.7366805307981776</v>
      </c>
      <c r="F23" s="38">
        <f>'Headloss Calcs'!$H$18</f>
        <v>100</v>
      </c>
      <c r="G23" s="53">
        <f t="shared" si="10"/>
        <v>7.0686</v>
      </c>
      <c r="H23" s="53">
        <f t="shared" si="11"/>
        <v>9.4247999999999994</v>
      </c>
      <c r="I23" s="53">
        <f t="shared" si="12"/>
        <v>0.75</v>
      </c>
      <c r="J23" s="53">
        <f t="shared" si="13"/>
        <v>1.0945138401944059</v>
      </c>
      <c r="K23" s="53">
        <f t="shared" si="14"/>
        <v>0</v>
      </c>
      <c r="L23" s="53">
        <v>0.25</v>
      </c>
      <c r="M23" s="58">
        <f t="shared" si="15"/>
        <v>4.6504679595384523E-3</v>
      </c>
      <c r="N23" s="58">
        <f t="shared" si="16"/>
        <v>4.6504679595384523E-3</v>
      </c>
      <c r="O23" s="59">
        <f t="shared" ref="O23:O37" si="17">N23+O22</f>
        <v>9.3009359190769046E-3</v>
      </c>
    </row>
    <row r="24" spans="1:15" x14ac:dyDescent="0.2">
      <c r="A24" s="37">
        <v>1320</v>
      </c>
      <c r="B24" s="55">
        <v>36</v>
      </c>
      <c r="C24" s="56" t="s">
        <v>23</v>
      </c>
      <c r="D24" s="57">
        <f>'Headloss Calcs'!$A$25</f>
        <v>5</v>
      </c>
      <c r="E24" s="53">
        <f t="shared" si="9"/>
        <v>7.7366805307981776</v>
      </c>
      <c r="F24" s="38">
        <f>'Headloss Calcs'!$H$18</f>
        <v>100</v>
      </c>
      <c r="G24" s="53">
        <f t="shared" si="10"/>
        <v>7.0686</v>
      </c>
      <c r="H24" s="53">
        <f t="shared" si="11"/>
        <v>9.4247999999999994</v>
      </c>
      <c r="I24" s="53">
        <f t="shared" si="12"/>
        <v>0.75</v>
      </c>
      <c r="J24" s="53">
        <f t="shared" si="13"/>
        <v>1.0945138401944059</v>
      </c>
      <c r="K24" s="53">
        <f t="shared" si="14"/>
        <v>0.26115951075259619</v>
      </c>
      <c r="L24" s="53"/>
      <c r="M24" s="58">
        <f t="shared" si="15"/>
        <v>0</v>
      </c>
      <c r="N24" s="58">
        <f t="shared" si="16"/>
        <v>0.26115951075259619</v>
      </c>
      <c r="O24" s="59">
        <f t="shared" si="17"/>
        <v>0.27046044667167307</v>
      </c>
    </row>
    <row r="25" spans="1:15" x14ac:dyDescent="0.2">
      <c r="A25" s="37"/>
      <c r="B25" s="55">
        <v>36</v>
      </c>
      <c r="C25" s="56" t="s">
        <v>45</v>
      </c>
      <c r="D25" s="57">
        <f>'Headloss Calcs'!$A$25</f>
        <v>5</v>
      </c>
      <c r="E25" s="53">
        <f t="shared" si="9"/>
        <v>7.7366805307981776</v>
      </c>
      <c r="F25" s="38">
        <f>'Headloss Calcs'!$H$18</f>
        <v>100</v>
      </c>
      <c r="G25" s="53">
        <f t="shared" si="10"/>
        <v>7.0686</v>
      </c>
      <c r="H25" s="53">
        <f t="shared" si="11"/>
        <v>9.4247999999999994</v>
      </c>
      <c r="I25" s="53">
        <f t="shared" si="12"/>
        <v>0.75</v>
      </c>
      <c r="J25" s="53">
        <f t="shared" si="13"/>
        <v>1.0945138401944059</v>
      </c>
      <c r="K25" s="53">
        <f t="shared" si="14"/>
        <v>0</v>
      </c>
      <c r="L25" s="53">
        <v>0.2</v>
      </c>
      <c r="M25" s="58">
        <f t="shared" si="15"/>
        <v>3.720374367630762E-3</v>
      </c>
      <c r="N25" s="58">
        <f t="shared" si="16"/>
        <v>3.720374367630762E-3</v>
      </c>
      <c r="O25" s="59">
        <f t="shared" si="17"/>
        <v>0.27418082103930386</v>
      </c>
    </row>
    <row r="26" spans="1:15" x14ac:dyDescent="0.2">
      <c r="A26" s="37">
        <v>1320</v>
      </c>
      <c r="B26" s="55">
        <v>36</v>
      </c>
      <c r="C26" s="69" t="s">
        <v>23</v>
      </c>
      <c r="D26" s="57">
        <f>'Headloss Calcs'!$A$25</f>
        <v>5</v>
      </c>
      <c r="E26" s="53">
        <f t="shared" si="9"/>
        <v>7.7366805307981776</v>
      </c>
      <c r="F26" s="38">
        <f>'Headloss Calcs'!$H$18</f>
        <v>100</v>
      </c>
      <c r="G26" s="53">
        <f t="shared" si="10"/>
        <v>7.0686</v>
      </c>
      <c r="H26" s="53">
        <f t="shared" si="11"/>
        <v>9.4247999999999994</v>
      </c>
      <c r="I26" s="53">
        <f t="shared" si="12"/>
        <v>0.75</v>
      </c>
      <c r="J26" s="53">
        <f t="shared" si="13"/>
        <v>1.0945138401944059</v>
      </c>
      <c r="K26" s="53">
        <f t="shared" si="14"/>
        <v>0.26115951075259619</v>
      </c>
      <c r="L26" s="53"/>
      <c r="M26" s="58">
        <f t="shared" si="15"/>
        <v>0</v>
      </c>
      <c r="N26" s="58">
        <f t="shared" si="16"/>
        <v>0.26115951075259619</v>
      </c>
      <c r="O26" s="59">
        <f t="shared" si="17"/>
        <v>0.5353403317919001</v>
      </c>
    </row>
    <row r="27" spans="1:15" x14ac:dyDescent="0.2">
      <c r="A27" s="37"/>
      <c r="B27" s="55">
        <v>36</v>
      </c>
      <c r="C27" s="56" t="s">
        <v>39</v>
      </c>
      <c r="D27" s="57">
        <f>'Headloss Calcs'!$A$25</f>
        <v>5</v>
      </c>
      <c r="E27" s="53">
        <f t="shared" si="9"/>
        <v>7.7366805307981776</v>
      </c>
      <c r="F27" s="38">
        <f>'Headloss Calcs'!$H$18</f>
        <v>100</v>
      </c>
      <c r="G27" s="53">
        <f t="shared" si="10"/>
        <v>7.0686</v>
      </c>
      <c r="H27" s="53">
        <f t="shared" si="11"/>
        <v>9.4247999999999994</v>
      </c>
      <c r="I27" s="53">
        <f t="shared" si="12"/>
        <v>0.75</v>
      </c>
      <c r="J27" s="53">
        <f t="shared" si="13"/>
        <v>1.0945138401944059</v>
      </c>
      <c r="K27" s="53">
        <f t="shared" si="14"/>
        <v>0</v>
      </c>
      <c r="L27" s="53">
        <v>0.4</v>
      </c>
      <c r="M27" s="58">
        <f t="shared" si="15"/>
        <v>7.440748735261524E-3</v>
      </c>
      <c r="N27" s="58">
        <f t="shared" si="16"/>
        <v>7.440748735261524E-3</v>
      </c>
      <c r="O27" s="59">
        <f t="shared" si="17"/>
        <v>0.54278108052716167</v>
      </c>
    </row>
    <row r="28" spans="1:15" x14ac:dyDescent="0.2">
      <c r="A28" s="37">
        <v>1320</v>
      </c>
      <c r="B28" s="55">
        <v>36</v>
      </c>
      <c r="C28" s="56" t="s">
        <v>23</v>
      </c>
      <c r="D28" s="57">
        <f>'Headloss Calcs'!$A$25</f>
        <v>5</v>
      </c>
      <c r="E28" s="53">
        <f t="shared" si="9"/>
        <v>7.7366805307981776</v>
      </c>
      <c r="F28" s="38">
        <f>'Headloss Calcs'!$H$18</f>
        <v>100</v>
      </c>
      <c r="G28" s="53">
        <f t="shared" si="10"/>
        <v>7.0686</v>
      </c>
      <c r="H28" s="53">
        <f t="shared" si="11"/>
        <v>9.4247999999999994</v>
      </c>
      <c r="I28" s="53">
        <f t="shared" si="12"/>
        <v>0.75</v>
      </c>
      <c r="J28" s="53">
        <f t="shared" si="13"/>
        <v>1.0945138401944059</v>
      </c>
      <c r="K28" s="53">
        <f t="shared" si="14"/>
        <v>0.26115951075259619</v>
      </c>
      <c r="L28" s="53"/>
      <c r="M28" s="58">
        <f t="shared" si="15"/>
        <v>0</v>
      </c>
      <c r="N28" s="58">
        <f t="shared" si="16"/>
        <v>0.26115951075259619</v>
      </c>
      <c r="O28" s="59">
        <f t="shared" si="17"/>
        <v>0.80394059127975792</v>
      </c>
    </row>
    <row r="29" spans="1:15" x14ac:dyDescent="0.2">
      <c r="A29" s="37"/>
      <c r="B29" s="55">
        <v>36</v>
      </c>
      <c r="C29" s="56" t="s">
        <v>39</v>
      </c>
      <c r="D29" s="57">
        <f>'Headloss Calcs'!$A$25</f>
        <v>5</v>
      </c>
      <c r="E29" s="53">
        <f t="shared" si="9"/>
        <v>7.7366805307981776</v>
      </c>
      <c r="F29" s="38">
        <f>'Headloss Calcs'!$H$18</f>
        <v>100</v>
      </c>
      <c r="G29" s="53">
        <f t="shared" si="10"/>
        <v>7.0686</v>
      </c>
      <c r="H29" s="53">
        <f t="shared" si="11"/>
        <v>9.4247999999999994</v>
      </c>
      <c r="I29" s="53">
        <f t="shared" si="12"/>
        <v>0.75</v>
      </c>
      <c r="J29" s="53">
        <f t="shared" si="13"/>
        <v>1.0945138401944059</v>
      </c>
      <c r="K29" s="53">
        <f t="shared" si="14"/>
        <v>0</v>
      </c>
      <c r="L29" s="53">
        <v>0.4</v>
      </c>
      <c r="M29" s="58">
        <f t="shared" si="15"/>
        <v>7.440748735261524E-3</v>
      </c>
      <c r="N29" s="58">
        <f t="shared" si="16"/>
        <v>7.440748735261524E-3</v>
      </c>
      <c r="O29" s="59">
        <f t="shared" si="17"/>
        <v>0.81138134001501949</v>
      </c>
    </row>
    <row r="30" spans="1:15" x14ac:dyDescent="0.2">
      <c r="A30" s="37">
        <v>1320</v>
      </c>
      <c r="B30" s="55">
        <v>36</v>
      </c>
      <c r="C30" s="56" t="s">
        <v>23</v>
      </c>
      <c r="D30" s="57">
        <f>'Headloss Calcs'!$A$25</f>
        <v>5</v>
      </c>
      <c r="E30" s="53">
        <f t="shared" si="9"/>
        <v>7.7366805307981776</v>
      </c>
      <c r="F30" s="38">
        <f>'Headloss Calcs'!$H$18</f>
        <v>100</v>
      </c>
      <c r="G30" s="53">
        <f t="shared" si="10"/>
        <v>7.0686</v>
      </c>
      <c r="H30" s="53">
        <f t="shared" si="11"/>
        <v>9.4247999999999994</v>
      </c>
      <c r="I30" s="53">
        <f t="shared" si="12"/>
        <v>0.75</v>
      </c>
      <c r="J30" s="53">
        <f t="shared" si="13"/>
        <v>1.0945138401944059</v>
      </c>
      <c r="K30" s="53">
        <f t="shared" si="14"/>
        <v>0.26115951075259619</v>
      </c>
      <c r="L30" s="53"/>
      <c r="M30" s="58">
        <f t="shared" si="15"/>
        <v>0</v>
      </c>
      <c r="N30" s="58">
        <f t="shared" si="16"/>
        <v>0.26115951075259619</v>
      </c>
      <c r="O30" s="59">
        <f t="shared" si="17"/>
        <v>1.0725408507676157</v>
      </c>
    </row>
    <row r="31" spans="1:15" x14ac:dyDescent="0.2">
      <c r="A31" s="37"/>
      <c r="B31" s="55">
        <v>36</v>
      </c>
      <c r="C31" s="56" t="s">
        <v>48</v>
      </c>
      <c r="D31" s="57">
        <f>'Headloss Calcs'!$A$25</f>
        <v>5</v>
      </c>
      <c r="E31" s="53">
        <f t="shared" si="9"/>
        <v>7.7366805307981776</v>
      </c>
      <c r="F31" s="38">
        <f>'Headloss Calcs'!$H$18</f>
        <v>100</v>
      </c>
      <c r="G31" s="53">
        <f t="shared" si="10"/>
        <v>7.0686</v>
      </c>
      <c r="H31" s="53">
        <f t="shared" si="11"/>
        <v>9.4247999999999994</v>
      </c>
      <c r="I31" s="53">
        <f t="shared" si="12"/>
        <v>0.75</v>
      </c>
      <c r="J31" s="53">
        <f t="shared" si="13"/>
        <v>1.0945138401944059</v>
      </c>
      <c r="K31" s="53">
        <f t="shared" si="14"/>
        <v>0</v>
      </c>
      <c r="L31" s="53">
        <v>0.4</v>
      </c>
      <c r="M31" s="58">
        <f t="shared" si="15"/>
        <v>7.440748735261524E-3</v>
      </c>
      <c r="N31" s="58">
        <f t="shared" si="16"/>
        <v>7.440748735261524E-3</v>
      </c>
      <c r="O31" s="59">
        <f t="shared" si="17"/>
        <v>1.0799815995028772</v>
      </c>
    </row>
    <row r="32" spans="1:15" x14ac:dyDescent="0.2">
      <c r="A32" s="37">
        <v>1320</v>
      </c>
      <c r="B32" s="55">
        <v>36</v>
      </c>
      <c r="C32" s="56" t="s">
        <v>23</v>
      </c>
      <c r="D32" s="57">
        <f>'Headloss Calcs'!$A$25</f>
        <v>5</v>
      </c>
      <c r="E32" s="53">
        <f t="shared" si="9"/>
        <v>7.7366805307981776</v>
      </c>
      <c r="F32" s="38">
        <f>'Headloss Calcs'!$H$18</f>
        <v>100</v>
      </c>
      <c r="G32" s="53">
        <f t="shared" si="10"/>
        <v>7.0686</v>
      </c>
      <c r="H32" s="53">
        <f t="shared" si="11"/>
        <v>9.4247999999999994</v>
      </c>
      <c r="I32" s="53">
        <f t="shared" si="12"/>
        <v>0.75</v>
      </c>
      <c r="J32" s="53">
        <f t="shared" si="13"/>
        <v>1.0945138401944059</v>
      </c>
      <c r="K32" s="53">
        <f t="shared" si="14"/>
        <v>0.26115951075259619</v>
      </c>
      <c r="L32" s="53"/>
      <c r="M32" s="58">
        <f t="shared" si="15"/>
        <v>0</v>
      </c>
      <c r="N32" s="58">
        <f t="shared" si="16"/>
        <v>0.26115951075259619</v>
      </c>
      <c r="O32" s="59">
        <f t="shared" si="17"/>
        <v>1.3411411102554733</v>
      </c>
    </row>
    <row r="33" spans="1:15" x14ac:dyDescent="0.2">
      <c r="A33" s="37"/>
      <c r="B33" s="55">
        <v>36</v>
      </c>
      <c r="C33" s="56" t="s">
        <v>39</v>
      </c>
      <c r="D33" s="57">
        <f>'Headloss Calcs'!$A$25</f>
        <v>5</v>
      </c>
      <c r="E33" s="53">
        <f t="shared" si="9"/>
        <v>7.7366805307981776</v>
      </c>
      <c r="F33" s="38">
        <f>'Headloss Calcs'!$H$18</f>
        <v>100</v>
      </c>
      <c r="G33" s="53">
        <f t="shared" si="10"/>
        <v>7.0686</v>
      </c>
      <c r="H33" s="53">
        <f t="shared" si="11"/>
        <v>9.4247999999999994</v>
      </c>
      <c r="I33" s="53">
        <f t="shared" si="12"/>
        <v>0.75</v>
      </c>
      <c r="J33" s="53">
        <f t="shared" si="13"/>
        <v>1.0945138401944059</v>
      </c>
      <c r="K33" s="53">
        <f t="shared" si="14"/>
        <v>0</v>
      </c>
      <c r="L33" s="53">
        <v>0.4</v>
      </c>
      <c r="M33" s="58">
        <f t="shared" si="15"/>
        <v>7.440748735261524E-3</v>
      </c>
      <c r="N33" s="58">
        <f t="shared" si="16"/>
        <v>7.440748735261524E-3</v>
      </c>
      <c r="O33" s="59">
        <f t="shared" si="17"/>
        <v>1.3485818589907348</v>
      </c>
    </row>
    <row r="34" spans="1:15" x14ac:dyDescent="0.2">
      <c r="A34" s="37">
        <v>1320</v>
      </c>
      <c r="B34" s="55">
        <v>36</v>
      </c>
      <c r="C34" s="56" t="s">
        <v>23</v>
      </c>
      <c r="D34" s="57">
        <f>'Headloss Calcs'!$A$25</f>
        <v>5</v>
      </c>
      <c r="E34" s="53">
        <f t="shared" si="9"/>
        <v>7.7366805307981776</v>
      </c>
      <c r="F34" s="38">
        <f>'Headloss Calcs'!$H$18</f>
        <v>100</v>
      </c>
      <c r="G34" s="53">
        <f t="shared" si="10"/>
        <v>7.0686</v>
      </c>
      <c r="H34" s="53">
        <f t="shared" si="11"/>
        <v>9.4247999999999994</v>
      </c>
      <c r="I34" s="53">
        <f t="shared" si="12"/>
        <v>0.75</v>
      </c>
      <c r="J34" s="53">
        <f t="shared" si="13"/>
        <v>1.0945138401944059</v>
      </c>
      <c r="K34" s="53">
        <f t="shared" si="14"/>
        <v>0.26115951075259619</v>
      </c>
      <c r="L34" s="53"/>
      <c r="M34" s="58">
        <f t="shared" si="15"/>
        <v>0</v>
      </c>
      <c r="N34" s="58">
        <f t="shared" si="16"/>
        <v>0.26115951075259619</v>
      </c>
      <c r="O34" s="59">
        <f t="shared" si="17"/>
        <v>1.6097413697433309</v>
      </c>
    </row>
    <row r="35" spans="1:15" x14ac:dyDescent="0.2">
      <c r="A35" s="37"/>
      <c r="B35" s="55">
        <v>36</v>
      </c>
      <c r="C35" s="56" t="s">
        <v>45</v>
      </c>
      <c r="D35" s="57">
        <f>'Headloss Calcs'!$A$25</f>
        <v>5</v>
      </c>
      <c r="E35" s="53">
        <f t="shared" si="9"/>
        <v>7.7366805307981776</v>
      </c>
      <c r="F35" s="38">
        <f>'Headloss Calcs'!$H$18</f>
        <v>100</v>
      </c>
      <c r="G35" s="53">
        <f t="shared" si="10"/>
        <v>7.0686</v>
      </c>
      <c r="H35" s="53">
        <f t="shared" si="11"/>
        <v>9.4247999999999994</v>
      </c>
      <c r="I35" s="53">
        <f t="shared" si="12"/>
        <v>0.75</v>
      </c>
      <c r="J35" s="53">
        <f t="shared" si="13"/>
        <v>1.0945138401944059</v>
      </c>
      <c r="K35" s="53">
        <f t="shared" si="14"/>
        <v>0</v>
      </c>
      <c r="L35" s="53">
        <v>0.2</v>
      </c>
      <c r="M35" s="58">
        <f t="shared" si="15"/>
        <v>3.720374367630762E-3</v>
      </c>
      <c r="N35" s="58">
        <f t="shared" si="16"/>
        <v>3.720374367630762E-3</v>
      </c>
      <c r="O35" s="59">
        <f t="shared" si="17"/>
        <v>1.6134617441109618</v>
      </c>
    </row>
    <row r="36" spans="1:15" x14ac:dyDescent="0.2">
      <c r="A36" s="37">
        <v>1320</v>
      </c>
      <c r="B36" s="55">
        <v>36</v>
      </c>
      <c r="C36" s="56" t="s">
        <v>23</v>
      </c>
      <c r="D36" s="57">
        <f>'Headloss Calcs'!$A$25</f>
        <v>5</v>
      </c>
      <c r="E36" s="53">
        <f t="shared" si="9"/>
        <v>7.7366805307981776</v>
      </c>
      <c r="F36" s="38">
        <f>'Headloss Calcs'!$H$18</f>
        <v>100</v>
      </c>
      <c r="G36" s="53">
        <f t="shared" si="10"/>
        <v>7.0686</v>
      </c>
      <c r="H36" s="53">
        <f t="shared" si="11"/>
        <v>9.4247999999999994</v>
      </c>
      <c r="I36" s="53">
        <f t="shared" si="12"/>
        <v>0.75</v>
      </c>
      <c r="J36" s="53">
        <f t="shared" si="13"/>
        <v>1.0945138401944059</v>
      </c>
      <c r="K36" s="53">
        <f t="shared" si="14"/>
        <v>0.26115951075259619</v>
      </c>
      <c r="L36" s="53"/>
      <c r="M36" s="58">
        <f t="shared" si="15"/>
        <v>0</v>
      </c>
      <c r="N36" s="58">
        <f t="shared" si="16"/>
        <v>0.26115951075259619</v>
      </c>
      <c r="O36" s="59">
        <f t="shared" si="17"/>
        <v>1.8746212548635579</v>
      </c>
    </row>
    <row r="37" spans="1:15" ht="12" customHeight="1" x14ac:dyDescent="0.2">
      <c r="A37" s="37"/>
      <c r="B37" s="55">
        <v>36</v>
      </c>
      <c r="C37" s="56" t="s">
        <v>44</v>
      </c>
      <c r="D37" s="57">
        <f>'Headloss Calcs'!$A$25</f>
        <v>5</v>
      </c>
      <c r="E37" s="53">
        <f t="shared" si="9"/>
        <v>7.7366805307981776</v>
      </c>
      <c r="F37" s="38">
        <f>'Headloss Calcs'!$H$18</f>
        <v>100</v>
      </c>
      <c r="G37" s="53">
        <f t="shared" si="10"/>
        <v>7.0686</v>
      </c>
      <c r="H37" s="53">
        <f t="shared" si="11"/>
        <v>9.4247999999999994</v>
      </c>
      <c r="I37" s="53">
        <f t="shared" si="12"/>
        <v>0.75</v>
      </c>
      <c r="J37" s="53">
        <f t="shared" si="13"/>
        <v>1.0945138401944059</v>
      </c>
      <c r="K37" s="53">
        <f t="shared" si="14"/>
        <v>0</v>
      </c>
      <c r="L37" s="53">
        <v>1</v>
      </c>
      <c r="M37" s="58">
        <f t="shared" si="15"/>
        <v>1.8601871838153809E-2</v>
      </c>
      <c r="N37" s="58">
        <f t="shared" si="16"/>
        <v>1.8601871838153809E-2</v>
      </c>
      <c r="O37" s="59">
        <f t="shared" si="17"/>
        <v>1.8932231267017117</v>
      </c>
    </row>
    <row r="38" spans="1:15" ht="13.5" thickBot="1" x14ac:dyDescent="0.25">
      <c r="A38" s="39"/>
      <c r="B38" s="40"/>
      <c r="C38" s="41"/>
      <c r="D38" s="40"/>
      <c r="E38" s="42"/>
      <c r="F38" s="40"/>
      <c r="G38" s="54"/>
      <c r="H38" s="54"/>
      <c r="I38" s="54"/>
      <c r="J38" s="54"/>
      <c r="K38" s="54"/>
      <c r="L38" s="54"/>
      <c r="M38" s="60"/>
      <c r="N38" s="60" t="s">
        <v>40</v>
      </c>
      <c r="O38" s="61">
        <f>O37</f>
        <v>1.8932231267017117</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0"/>
  <sheetViews>
    <sheetView topLeftCell="C13" workbookViewId="0">
      <selection activeCell="D22" sqref="D22:D37"/>
    </sheetView>
  </sheetViews>
  <sheetFormatPr defaultRowHeight="12.75" x14ac:dyDescent="0.2"/>
  <cols>
    <col min="3" max="3" width="27" bestFit="1" customWidth="1"/>
    <col min="12" max="12" width="9.42578125" customWidth="1"/>
  </cols>
  <sheetData>
    <row r="1" spans="1:15" ht="13.5" thickBot="1" x14ac:dyDescent="0.25"/>
    <row r="2" spans="1:15" ht="66" thickTop="1" x14ac:dyDescent="0.2">
      <c r="A2" s="34" t="s">
        <v>24</v>
      </c>
      <c r="B2" s="35" t="s">
        <v>25</v>
      </c>
      <c r="C2" s="35" t="s">
        <v>26</v>
      </c>
      <c r="D2" s="35" t="s">
        <v>27</v>
      </c>
      <c r="E2" s="35" t="s">
        <v>28</v>
      </c>
      <c r="F2" s="35" t="s">
        <v>29</v>
      </c>
      <c r="G2" s="35" t="s">
        <v>30</v>
      </c>
      <c r="H2" s="35" t="s">
        <v>31</v>
      </c>
      <c r="I2" s="35" t="s">
        <v>32</v>
      </c>
      <c r="J2" s="35" t="s">
        <v>33</v>
      </c>
      <c r="K2" s="35" t="s">
        <v>34</v>
      </c>
      <c r="L2" s="35" t="s">
        <v>35</v>
      </c>
      <c r="M2" s="35" t="s">
        <v>36</v>
      </c>
      <c r="N2" s="35" t="s">
        <v>37</v>
      </c>
      <c r="O2" s="36" t="s">
        <v>38</v>
      </c>
    </row>
    <row r="3" spans="1:15" x14ac:dyDescent="0.2">
      <c r="A3" s="37"/>
      <c r="B3" s="55">
        <v>36</v>
      </c>
      <c r="C3" s="56" t="s">
        <v>46</v>
      </c>
      <c r="D3" s="57">
        <f>'Headloss Calcs'!$A$26</f>
        <v>6</v>
      </c>
      <c r="E3" s="53">
        <f t="shared" ref="E3:E18" si="0">D3*1000000/(7.48*24*60*60)</f>
        <v>9.2840166369578139</v>
      </c>
      <c r="F3" s="38">
        <f>'Headloss Calcs'!$E$18</f>
        <v>140</v>
      </c>
      <c r="G3" s="53">
        <f t="shared" ref="G3:G18" si="1">3.1416/4*(B3/12)^2</f>
        <v>7.0686</v>
      </c>
      <c r="H3" s="53">
        <f t="shared" ref="H3:H18" si="2">3.1416*(B3/12)</f>
        <v>9.4247999999999994</v>
      </c>
      <c r="I3" s="53">
        <f t="shared" ref="I3:I18" si="3">G3/H3</f>
        <v>0.75</v>
      </c>
      <c r="J3" s="53">
        <f t="shared" ref="J3:J18" si="4">E3/G3</f>
        <v>1.3134166082332872</v>
      </c>
      <c r="K3" s="53">
        <f t="shared" ref="K3:K18" si="5">(J3/(1.318*F3*I3^0.63))^1.85*A3</f>
        <v>0</v>
      </c>
      <c r="L3" s="53">
        <v>0.25</v>
      </c>
      <c r="M3" s="58">
        <f t="shared" ref="M3:M18" si="6">L3*(J3^2)/(2*32.2)</f>
        <v>6.6966738617353725E-3</v>
      </c>
      <c r="N3" s="58">
        <f t="shared" ref="N3:N18" si="7">K3+M3</f>
        <v>6.6966738617353725E-3</v>
      </c>
      <c r="O3" s="59">
        <f>N3</f>
        <v>6.6966738617353725E-3</v>
      </c>
    </row>
    <row r="4" spans="1:15" x14ac:dyDescent="0.2">
      <c r="A4" s="37"/>
      <c r="B4" s="55">
        <v>36</v>
      </c>
      <c r="C4" s="56" t="s">
        <v>47</v>
      </c>
      <c r="D4" s="57">
        <f>'Headloss Calcs'!$A$26</f>
        <v>6</v>
      </c>
      <c r="E4" s="53">
        <f t="shared" si="0"/>
        <v>9.2840166369578139</v>
      </c>
      <c r="F4" s="38">
        <f>'Headloss Calcs'!$E$18</f>
        <v>140</v>
      </c>
      <c r="G4" s="53">
        <f t="shared" si="1"/>
        <v>7.0686</v>
      </c>
      <c r="H4" s="53">
        <f t="shared" si="2"/>
        <v>9.4247999999999994</v>
      </c>
      <c r="I4" s="53">
        <f t="shared" si="3"/>
        <v>0.75</v>
      </c>
      <c r="J4" s="53">
        <f t="shared" si="4"/>
        <v>1.3134166082332872</v>
      </c>
      <c r="K4" s="53">
        <f t="shared" si="5"/>
        <v>0</v>
      </c>
      <c r="L4" s="53">
        <v>0.25</v>
      </c>
      <c r="M4" s="58">
        <f t="shared" si="6"/>
        <v>6.6966738617353725E-3</v>
      </c>
      <c r="N4" s="58">
        <f t="shared" si="7"/>
        <v>6.6966738617353725E-3</v>
      </c>
      <c r="O4" s="59">
        <f t="shared" ref="O4:O18" si="8">N4+O3</f>
        <v>1.3393347723470745E-2</v>
      </c>
    </row>
    <row r="5" spans="1:15" x14ac:dyDescent="0.2">
      <c r="A5" s="37">
        <v>1320</v>
      </c>
      <c r="B5" s="55">
        <v>36</v>
      </c>
      <c r="C5" s="56" t="s">
        <v>23</v>
      </c>
      <c r="D5" s="57">
        <f>'Headloss Calcs'!$A$26</f>
        <v>6</v>
      </c>
      <c r="E5" s="53">
        <f t="shared" si="0"/>
        <v>9.2840166369578139</v>
      </c>
      <c r="F5" s="38">
        <f>'Headloss Calcs'!$E$18</f>
        <v>140</v>
      </c>
      <c r="G5" s="53">
        <f t="shared" si="1"/>
        <v>7.0686</v>
      </c>
      <c r="H5" s="53">
        <f t="shared" si="2"/>
        <v>9.4247999999999994</v>
      </c>
      <c r="I5" s="53">
        <f t="shared" si="3"/>
        <v>0.75</v>
      </c>
      <c r="J5" s="53">
        <f t="shared" si="4"/>
        <v>1.3134166082332872</v>
      </c>
      <c r="K5" s="53">
        <f t="shared" si="5"/>
        <v>0.19636057063942353</v>
      </c>
      <c r="L5" s="53"/>
      <c r="M5" s="58">
        <f t="shared" si="6"/>
        <v>0</v>
      </c>
      <c r="N5" s="58">
        <f t="shared" si="7"/>
        <v>0.19636057063942353</v>
      </c>
      <c r="O5" s="59">
        <f t="shared" si="8"/>
        <v>0.20975391836289428</v>
      </c>
    </row>
    <row r="6" spans="1:15" x14ac:dyDescent="0.2">
      <c r="A6" s="37"/>
      <c r="B6" s="55">
        <v>36</v>
      </c>
      <c r="C6" s="56" t="s">
        <v>45</v>
      </c>
      <c r="D6" s="57">
        <f>'Headloss Calcs'!$A$26</f>
        <v>6</v>
      </c>
      <c r="E6" s="53">
        <f t="shared" si="0"/>
        <v>9.2840166369578139</v>
      </c>
      <c r="F6" s="38">
        <f>'Headloss Calcs'!$E$18</f>
        <v>140</v>
      </c>
      <c r="G6" s="53">
        <f t="shared" si="1"/>
        <v>7.0686</v>
      </c>
      <c r="H6" s="53">
        <f t="shared" si="2"/>
        <v>9.4247999999999994</v>
      </c>
      <c r="I6" s="53">
        <f t="shared" si="3"/>
        <v>0.75</v>
      </c>
      <c r="J6" s="53">
        <f t="shared" si="4"/>
        <v>1.3134166082332872</v>
      </c>
      <c r="K6" s="53">
        <f t="shared" si="5"/>
        <v>0</v>
      </c>
      <c r="L6" s="53">
        <v>0.2</v>
      </c>
      <c r="M6" s="58">
        <f t="shared" si="6"/>
        <v>5.3573390893882989E-3</v>
      </c>
      <c r="N6" s="58">
        <f t="shared" si="7"/>
        <v>5.3573390893882989E-3</v>
      </c>
      <c r="O6" s="59">
        <f t="shared" si="8"/>
        <v>0.21511125745228257</v>
      </c>
    </row>
    <row r="7" spans="1:15" x14ac:dyDescent="0.2">
      <c r="A7" s="37">
        <v>1320</v>
      </c>
      <c r="B7" s="55">
        <v>36</v>
      </c>
      <c r="C7" s="69" t="s">
        <v>23</v>
      </c>
      <c r="D7" s="57">
        <f>'Headloss Calcs'!$A$26</f>
        <v>6</v>
      </c>
      <c r="E7" s="53">
        <f t="shared" si="0"/>
        <v>9.2840166369578139</v>
      </c>
      <c r="F7" s="38">
        <f>'Headloss Calcs'!$E$18</f>
        <v>140</v>
      </c>
      <c r="G7" s="53">
        <f t="shared" si="1"/>
        <v>7.0686</v>
      </c>
      <c r="H7" s="53">
        <f t="shared" si="2"/>
        <v>9.4247999999999994</v>
      </c>
      <c r="I7" s="53">
        <f t="shared" si="3"/>
        <v>0.75</v>
      </c>
      <c r="J7" s="53">
        <f t="shared" si="4"/>
        <v>1.3134166082332872</v>
      </c>
      <c r="K7" s="53">
        <f t="shared" si="5"/>
        <v>0.19636057063942353</v>
      </c>
      <c r="L7" s="53"/>
      <c r="M7" s="58">
        <f t="shared" si="6"/>
        <v>0</v>
      </c>
      <c r="N7" s="58">
        <f t="shared" si="7"/>
        <v>0.19636057063942353</v>
      </c>
      <c r="O7" s="59">
        <f t="shared" si="8"/>
        <v>0.41147182809170613</v>
      </c>
    </row>
    <row r="8" spans="1:15" x14ac:dyDescent="0.2">
      <c r="A8" s="37"/>
      <c r="B8" s="55">
        <v>36</v>
      </c>
      <c r="C8" s="56" t="s">
        <v>39</v>
      </c>
      <c r="D8" s="57">
        <f>'Headloss Calcs'!$A$26</f>
        <v>6</v>
      </c>
      <c r="E8" s="53">
        <f t="shared" si="0"/>
        <v>9.2840166369578139</v>
      </c>
      <c r="F8" s="38">
        <f>'Headloss Calcs'!$E$18</f>
        <v>140</v>
      </c>
      <c r="G8" s="53">
        <f t="shared" si="1"/>
        <v>7.0686</v>
      </c>
      <c r="H8" s="53">
        <f t="shared" si="2"/>
        <v>9.4247999999999994</v>
      </c>
      <c r="I8" s="53">
        <f t="shared" si="3"/>
        <v>0.75</v>
      </c>
      <c r="J8" s="53">
        <f t="shared" si="4"/>
        <v>1.3134166082332872</v>
      </c>
      <c r="K8" s="53">
        <f t="shared" si="5"/>
        <v>0</v>
      </c>
      <c r="L8" s="53">
        <v>0.4</v>
      </c>
      <c r="M8" s="58">
        <f t="shared" si="6"/>
        <v>1.0714678178776598E-2</v>
      </c>
      <c r="N8" s="58">
        <f t="shared" si="7"/>
        <v>1.0714678178776598E-2</v>
      </c>
      <c r="O8" s="59">
        <f t="shared" si="8"/>
        <v>0.42218650627048271</v>
      </c>
    </row>
    <row r="9" spans="1:15" x14ac:dyDescent="0.2">
      <c r="A9" s="37">
        <v>1320</v>
      </c>
      <c r="B9" s="55">
        <v>36</v>
      </c>
      <c r="C9" s="56" t="s">
        <v>23</v>
      </c>
      <c r="D9" s="57">
        <f>'Headloss Calcs'!$A$26</f>
        <v>6</v>
      </c>
      <c r="E9" s="53">
        <f t="shared" si="0"/>
        <v>9.2840166369578139</v>
      </c>
      <c r="F9" s="38">
        <f>'Headloss Calcs'!$E$18</f>
        <v>140</v>
      </c>
      <c r="G9" s="53">
        <f t="shared" si="1"/>
        <v>7.0686</v>
      </c>
      <c r="H9" s="53">
        <f t="shared" si="2"/>
        <v>9.4247999999999994</v>
      </c>
      <c r="I9" s="53">
        <f t="shared" si="3"/>
        <v>0.75</v>
      </c>
      <c r="J9" s="53">
        <f t="shared" si="4"/>
        <v>1.3134166082332872</v>
      </c>
      <c r="K9" s="53">
        <f t="shared" si="5"/>
        <v>0.19636057063942353</v>
      </c>
      <c r="L9" s="53"/>
      <c r="M9" s="58">
        <f t="shared" si="6"/>
        <v>0</v>
      </c>
      <c r="N9" s="58">
        <f t="shared" si="7"/>
        <v>0.19636057063942353</v>
      </c>
      <c r="O9" s="59">
        <f t="shared" si="8"/>
        <v>0.61854707690990618</v>
      </c>
    </row>
    <row r="10" spans="1:15" x14ac:dyDescent="0.2">
      <c r="A10" s="37"/>
      <c r="B10" s="55">
        <v>36</v>
      </c>
      <c r="C10" s="56" t="s">
        <v>39</v>
      </c>
      <c r="D10" s="57">
        <f>'Headloss Calcs'!$A$26</f>
        <v>6</v>
      </c>
      <c r="E10" s="53">
        <f t="shared" si="0"/>
        <v>9.2840166369578139</v>
      </c>
      <c r="F10" s="38">
        <f>'Headloss Calcs'!$E$18</f>
        <v>140</v>
      </c>
      <c r="G10" s="53">
        <f t="shared" si="1"/>
        <v>7.0686</v>
      </c>
      <c r="H10" s="53">
        <f t="shared" si="2"/>
        <v>9.4247999999999994</v>
      </c>
      <c r="I10" s="53">
        <f t="shared" si="3"/>
        <v>0.75</v>
      </c>
      <c r="J10" s="53">
        <f t="shared" si="4"/>
        <v>1.3134166082332872</v>
      </c>
      <c r="K10" s="53">
        <f t="shared" si="5"/>
        <v>0</v>
      </c>
      <c r="L10" s="53">
        <v>0.4</v>
      </c>
      <c r="M10" s="58">
        <f t="shared" si="6"/>
        <v>1.0714678178776598E-2</v>
      </c>
      <c r="N10" s="58">
        <f t="shared" si="7"/>
        <v>1.0714678178776598E-2</v>
      </c>
      <c r="O10" s="59">
        <f t="shared" si="8"/>
        <v>0.62926175508868276</v>
      </c>
    </row>
    <row r="11" spans="1:15" x14ac:dyDescent="0.2">
      <c r="A11" s="37">
        <v>1320</v>
      </c>
      <c r="B11" s="55">
        <v>36</v>
      </c>
      <c r="C11" s="56" t="s">
        <v>23</v>
      </c>
      <c r="D11" s="57">
        <f>'Headloss Calcs'!$A$26</f>
        <v>6</v>
      </c>
      <c r="E11" s="53">
        <f t="shared" si="0"/>
        <v>9.2840166369578139</v>
      </c>
      <c r="F11" s="38">
        <f>'Headloss Calcs'!$E$18</f>
        <v>140</v>
      </c>
      <c r="G11" s="53">
        <f t="shared" si="1"/>
        <v>7.0686</v>
      </c>
      <c r="H11" s="53">
        <f t="shared" si="2"/>
        <v>9.4247999999999994</v>
      </c>
      <c r="I11" s="53">
        <f t="shared" si="3"/>
        <v>0.75</v>
      </c>
      <c r="J11" s="53">
        <f t="shared" si="4"/>
        <v>1.3134166082332872</v>
      </c>
      <c r="K11" s="53">
        <f t="shared" si="5"/>
        <v>0.19636057063942353</v>
      </c>
      <c r="L11" s="53"/>
      <c r="M11" s="58">
        <f t="shared" si="6"/>
        <v>0</v>
      </c>
      <c r="N11" s="58">
        <f t="shared" si="7"/>
        <v>0.19636057063942353</v>
      </c>
      <c r="O11" s="59">
        <f t="shared" si="8"/>
        <v>0.82562232572810634</v>
      </c>
    </row>
    <row r="12" spans="1:15" x14ac:dyDescent="0.2">
      <c r="A12" s="37"/>
      <c r="B12" s="55">
        <v>36</v>
      </c>
      <c r="C12" s="56" t="s">
        <v>48</v>
      </c>
      <c r="D12" s="57">
        <f>'Headloss Calcs'!$A$26</f>
        <v>6</v>
      </c>
      <c r="E12" s="53">
        <f t="shared" si="0"/>
        <v>9.2840166369578139</v>
      </c>
      <c r="F12" s="38">
        <f>'Headloss Calcs'!$E$18</f>
        <v>140</v>
      </c>
      <c r="G12" s="53">
        <f t="shared" si="1"/>
        <v>7.0686</v>
      </c>
      <c r="H12" s="53">
        <f t="shared" si="2"/>
        <v>9.4247999999999994</v>
      </c>
      <c r="I12" s="53">
        <f t="shared" si="3"/>
        <v>0.75</v>
      </c>
      <c r="J12" s="53">
        <f t="shared" si="4"/>
        <v>1.3134166082332872</v>
      </c>
      <c r="K12" s="53">
        <f t="shared" si="5"/>
        <v>0</v>
      </c>
      <c r="L12" s="53">
        <v>0.4</v>
      </c>
      <c r="M12" s="58">
        <f t="shared" si="6"/>
        <v>1.0714678178776598E-2</v>
      </c>
      <c r="N12" s="58">
        <f t="shared" si="7"/>
        <v>1.0714678178776598E-2</v>
      </c>
      <c r="O12" s="59">
        <f t="shared" si="8"/>
        <v>0.83633700390688293</v>
      </c>
    </row>
    <row r="13" spans="1:15" x14ac:dyDescent="0.2">
      <c r="A13" s="37">
        <v>1320</v>
      </c>
      <c r="B13" s="55">
        <v>36</v>
      </c>
      <c r="C13" s="56" t="s">
        <v>23</v>
      </c>
      <c r="D13" s="57">
        <f>'Headloss Calcs'!$A$26</f>
        <v>6</v>
      </c>
      <c r="E13" s="53">
        <f t="shared" si="0"/>
        <v>9.2840166369578139</v>
      </c>
      <c r="F13" s="38">
        <f>'Headloss Calcs'!$E$18</f>
        <v>140</v>
      </c>
      <c r="G13" s="53">
        <f t="shared" si="1"/>
        <v>7.0686</v>
      </c>
      <c r="H13" s="53">
        <f t="shared" si="2"/>
        <v>9.4247999999999994</v>
      </c>
      <c r="I13" s="53">
        <f t="shared" si="3"/>
        <v>0.75</v>
      </c>
      <c r="J13" s="53">
        <f t="shared" si="4"/>
        <v>1.3134166082332872</v>
      </c>
      <c r="K13" s="53">
        <f t="shared" si="5"/>
        <v>0.19636057063942353</v>
      </c>
      <c r="L13" s="53"/>
      <c r="M13" s="58">
        <f t="shared" si="6"/>
        <v>0</v>
      </c>
      <c r="N13" s="58">
        <f t="shared" si="7"/>
        <v>0.19636057063942353</v>
      </c>
      <c r="O13" s="59">
        <f t="shared" si="8"/>
        <v>1.0326975745463065</v>
      </c>
    </row>
    <row r="14" spans="1:15" x14ac:dyDescent="0.2">
      <c r="A14" s="37"/>
      <c r="B14" s="55">
        <v>36</v>
      </c>
      <c r="C14" s="56" t="s">
        <v>39</v>
      </c>
      <c r="D14" s="57">
        <f>'Headloss Calcs'!$A$26</f>
        <v>6</v>
      </c>
      <c r="E14" s="53">
        <f t="shared" si="0"/>
        <v>9.2840166369578139</v>
      </c>
      <c r="F14" s="38">
        <f>'Headloss Calcs'!$E$18</f>
        <v>140</v>
      </c>
      <c r="G14" s="53">
        <f t="shared" si="1"/>
        <v>7.0686</v>
      </c>
      <c r="H14" s="53">
        <f t="shared" si="2"/>
        <v>9.4247999999999994</v>
      </c>
      <c r="I14" s="53">
        <f t="shared" si="3"/>
        <v>0.75</v>
      </c>
      <c r="J14" s="53">
        <f t="shared" si="4"/>
        <v>1.3134166082332872</v>
      </c>
      <c r="K14" s="53">
        <f t="shared" si="5"/>
        <v>0</v>
      </c>
      <c r="L14" s="53">
        <v>0.4</v>
      </c>
      <c r="M14" s="58">
        <f t="shared" si="6"/>
        <v>1.0714678178776598E-2</v>
      </c>
      <c r="N14" s="58">
        <f t="shared" si="7"/>
        <v>1.0714678178776598E-2</v>
      </c>
      <c r="O14" s="59">
        <f t="shared" si="8"/>
        <v>1.0434122527250831</v>
      </c>
    </row>
    <row r="15" spans="1:15" x14ac:dyDescent="0.2">
      <c r="A15" s="37">
        <v>1320</v>
      </c>
      <c r="B15" s="55">
        <v>36</v>
      </c>
      <c r="C15" s="56" t="s">
        <v>23</v>
      </c>
      <c r="D15" s="57">
        <f>'Headloss Calcs'!$A$26</f>
        <v>6</v>
      </c>
      <c r="E15" s="53">
        <f t="shared" si="0"/>
        <v>9.2840166369578139</v>
      </c>
      <c r="F15" s="38">
        <f>'Headloss Calcs'!$E$18</f>
        <v>140</v>
      </c>
      <c r="G15" s="53">
        <f t="shared" si="1"/>
        <v>7.0686</v>
      </c>
      <c r="H15" s="53">
        <f t="shared" si="2"/>
        <v>9.4247999999999994</v>
      </c>
      <c r="I15" s="53">
        <f t="shared" si="3"/>
        <v>0.75</v>
      </c>
      <c r="J15" s="53">
        <f t="shared" si="4"/>
        <v>1.3134166082332872</v>
      </c>
      <c r="K15" s="53">
        <f t="shared" si="5"/>
        <v>0.19636057063942353</v>
      </c>
      <c r="L15" s="53"/>
      <c r="M15" s="58">
        <f t="shared" si="6"/>
        <v>0</v>
      </c>
      <c r="N15" s="58">
        <f t="shared" si="7"/>
        <v>0.19636057063942353</v>
      </c>
      <c r="O15" s="59">
        <f t="shared" si="8"/>
        <v>1.2397728233645067</v>
      </c>
    </row>
    <row r="16" spans="1:15" x14ac:dyDescent="0.2">
      <c r="A16" s="37"/>
      <c r="B16" s="55">
        <v>36</v>
      </c>
      <c r="C16" s="56" t="s">
        <v>45</v>
      </c>
      <c r="D16" s="57">
        <f>'Headloss Calcs'!$A$26</f>
        <v>6</v>
      </c>
      <c r="E16" s="53">
        <f t="shared" si="0"/>
        <v>9.2840166369578139</v>
      </c>
      <c r="F16" s="38">
        <f>'Headloss Calcs'!$E$18</f>
        <v>140</v>
      </c>
      <c r="G16" s="53">
        <f t="shared" si="1"/>
        <v>7.0686</v>
      </c>
      <c r="H16" s="53">
        <f t="shared" si="2"/>
        <v>9.4247999999999994</v>
      </c>
      <c r="I16" s="53">
        <f t="shared" si="3"/>
        <v>0.75</v>
      </c>
      <c r="J16" s="53">
        <f t="shared" si="4"/>
        <v>1.3134166082332872</v>
      </c>
      <c r="K16" s="53">
        <f t="shared" si="5"/>
        <v>0</v>
      </c>
      <c r="L16" s="53">
        <v>0.2</v>
      </c>
      <c r="M16" s="58">
        <f t="shared" si="6"/>
        <v>5.3573390893882989E-3</v>
      </c>
      <c r="N16" s="58">
        <f t="shared" si="7"/>
        <v>5.3573390893882989E-3</v>
      </c>
      <c r="O16" s="59">
        <f t="shared" si="8"/>
        <v>1.2451301624538951</v>
      </c>
    </row>
    <row r="17" spans="1:15" x14ac:dyDescent="0.2">
      <c r="A17" s="37">
        <v>1320</v>
      </c>
      <c r="B17" s="55">
        <v>36</v>
      </c>
      <c r="C17" s="56" t="s">
        <v>23</v>
      </c>
      <c r="D17" s="57">
        <f>'Headloss Calcs'!$A$26</f>
        <v>6</v>
      </c>
      <c r="E17" s="53">
        <f t="shared" si="0"/>
        <v>9.2840166369578139</v>
      </c>
      <c r="F17" s="38">
        <f>'Headloss Calcs'!$E$18</f>
        <v>140</v>
      </c>
      <c r="G17" s="53">
        <f t="shared" si="1"/>
        <v>7.0686</v>
      </c>
      <c r="H17" s="53">
        <f t="shared" si="2"/>
        <v>9.4247999999999994</v>
      </c>
      <c r="I17" s="53">
        <f t="shared" si="3"/>
        <v>0.75</v>
      </c>
      <c r="J17" s="53">
        <f t="shared" si="4"/>
        <v>1.3134166082332872</v>
      </c>
      <c r="K17" s="53">
        <f t="shared" si="5"/>
        <v>0.19636057063942353</v>
      </c>
      <c r="L17" s="53"/>
      <c r="M17" s="58">
        <f t="shared" si="6"/>
        <v>0</v>
      </c>
      <c r="N17" s="58">
        <f t="shared" si="7"/>
        <v>0.19636057063942353</v>
      </c>
      <c r="O17" s="59">
        <f t="shared" si="8"/>
        <v>1.4414907330933187</v>
      </c>
    </row>
    <row r="18" spans="1:15" ht="12" customHeight="1" x14ac:dyDescent="0.2">
      <c r="A18" s="37"/>
      <c r="B18" s="55">
        <v>36</v>
      </c>
      <c r="C18" s="56" t="s">
        <v>44</v>
      </c>
      <c r="D18" s="57">
        <f>'Headloss Calcs'!$A$26</f>
        <v>6</v>
      </c>
      <c r="E18" s="53">
        <f t="shared" si="0"/>
        <v>9.2840166369578139</v>
      </c>
      <c r="F18" s="38">
        <f>'Headloss Calcs'!$E$18</f>
        <v>140</v>
      </c>
      <c r="G18" s="53">
        <f t="shared" si="1"/>
        <v>7.0686</v>
      </c>
      <c r="H18" s="53">
        <f t="shared" si="2"/>
        <v>9.4247999999999994</v>
      </c>
      <c r="I18" s="53">
        <f t="shared" si="3"/>
        <v>0.75</v>
      </c>
      <c r="J18" s="53">
        <f t="shared" si="4"/>
        <v>1.3134166082332872</v>
      </c>
      <c r="K18" s="53">
        <f t="shared" si="5"/>
        <v>0</v>
      </c>
      <c r="L18" s="53">
        <v>1</v>
      </c>
      <c r="M18" s="58">
        <f t="shared" si="6"/>
        <v>2.678669544694149E-2</v>
      </c>
      <c r="N18" s="58">
        <f t="shared" si="7"/>
        <v>2.678669544694149E-2</v>
      </c>
      <c r="O18" s="59">
        <f t="shared" si="8"/>
        <v>1.4682774285402602</v>
      </c>
    </row>
    <row r="19" spans="1:15" ht="13.5" thickBot="1" x14ac:dyDescent="0.25">
      <c r="A19" s="39"/>
      <c r="B19" s="40"/>
      <c r="C19" s="41"/>
      <c r="D19" s="40"/>
      <c r="E19" s="42"/>
      <c r="F19" s="40"/>
      <c r="G19" s="54"/>
      <c r="H19" s="54"/>
      <c r="I19" s="54"/>
      <c r="J19" s="54"/>
      <c r="K19" s="54"/>
      <c r="L19" s="54"/>
      <c r="M19" s="60"/>
      <c r="N19" s="60" t="s">
        <v>40</v>
      </c>
      <c r="O19" s="61">
        <f>O18</f>
        <v>1.4682774285402602</v>
      </c>
    </row>
    <row r="20" spans="1:15" ht="14.25" thickTop="1" thickBot="1" x14ac:dyDescent="0.25"/>
    <row r="21" spans="1:15" ht="66" thickTop="1" x14ac:dyDescent="0.2">
      <c r="A21" s="34" t="s">
        <v>24</v>
      </c>
      <c r="B21" s="35" t="s">
        <v>25</v>
      </c>
      <c r="C21" s="35" t="s">
        <v>26</v>
      </c>
      <c r="D21" s="35" t="s">
        <v>27</v>
      </c>
      <c r="E21" s="35" t="s">
        <v>28</v>
      </c>
      <c r="F21" s="35" t="s">
        <v>29</v>
      </c>
      <c r="G21" s="35" t="s">
        <v>30</v>
      </c>
      <c r="H21" s="35" t="s">
        <v>31</v>
      </c>
      <c r="I21" s="35" t="s">
        <v>32</v>
      </c>
      <c r="J21" s="35" t="s">
        <v>33</v>
      </c>
      <c r="K21" s="35" t="s">
        <v>34</v>
      </c>
      <c r="L21" s="35" t="s">
        <v>35</v>
      </c>
      <c r="M21" s="35" t="s">
        <v>36</v>
      </c>
      <c r="N21" s="35" t="s">
        <v>37</v>
      </c>
      <c r="O21" s="36" t="s">
        <v>38</v>
      </c>
    </row>
    <row r="22" spans="1:15" x14ac:dyDescent="0.2">
      <c r="A22" s="37"/>
      <c r="B22" s="55">
        <v>36</v>
      </c>
      <c r="C22" s="56" t="s">
        <v>46</v>
      </c>
      <c r="D22" s="57">
        <f>'Headloss Calcs'!$A$26</f>
        <v>6</v>
      </c>
      <c r="E22" s="53">
        <f t="shared" ref="E22:E37" si="9">D22*1000000/(7.48*24*60*60)</f>
        <v>9.2840166369578139</v>
      </c>
      <c r="F22" s="38">
        <f>'Headloss Calcs'!$H$18</f>
        <v>100</v>
      </c>
      <c r="G22" s="53">
        <f t="shared" ref="G22:G37" si="10">3.1416/4*(B22/12)^2</f>
        <v>7.0686</v>
      </c>
      <c r="H22" s="53">
        <f t="shared" ref="H22:H37" si="11">3.1416*(B22/12)</f>
        <v>9.4247999999999994</v>
      </c>
      <c r="I22" s="53">
        <f t="shared" ref="I22:I37" si="12">G22/H22</f>
        <v>0.75</v>
      </c>
      <c r="J22" s="53">
        <f t="shared" ref="J22:J37" si="13">E22/G22</f>
        <v>1.3134166082332872</v>
      </c>
      <c r="K22" s="53">
        <f t="shared" ref="K22:K37" si="14">(J22/(1.318*F22*I22^0.63))^1.85*A22</f>
        <v>0</v>
      </c>
      <c r="L22" s="53">
        <v>0.25</v>
      </c>
      <c r="M22" s="58">
        <f t="shared" ref="M22:M37" si="15">L22*(J22^2)/(2*32.2)</f>
        <v>6.6966738617353725E-3</v>
      </c>
      <c r="N22" s="58">
        <f t="shared" ref="N22:N37" si="16">K22+M22</f>
        <v>6.6966738617353725E-3</v>
      </c>
      <c r="O22" s="59">
        <f>N22</f>
        <v>6.6966738617353725E-3</v>
      </c>
    </row>
    <row r="23" spans="1:15" x14ac:dyDescent="0.2">
      <c r="A23" s="37"/>
      <c r="B23" s="55">
        <v>36</v>
      </c>
      <c r="C23" s="56" t="s">
        <v>47</v>
      </c>
      <c r="D23" s="57">
        <f>'Headloss Calcs'!$A$26</f>
        <v>6</v>
      </c>
      <c r="E23" s="53">
        <f t="shared" si="9"/>
        <v>9.2840166369578139</v>
      </c>
      <c r="F23" s="38">
        <f>'Headloss Calcs'!$H$18</f>
        <v>100</v>
      </c>
      <c r="G23" s="53">
        <f t="shared" si="10"/>
        <v>7.0686</v>
      </c>
      <c r="H23" s="53">
        <f t="shared" si="11"/>
        <v>9.4247999999999994</v>
      </c>
      <c r="I23" s="53">
        <f t="shared" si="12"/>
        <v>0.75</v>
      </c>
      <c r="J23" s="53">
        <f t="shared" si="13"/>
        <v>1.3134166082332872</v>
      </c>
      <c r="K23" s="53">
        <f t="shared" si="14"/>
        <v>0</v>
      </c>
      <c r="L23" s="53">
        <v>0.25</v>
      </c>
      <c r="M23" s="58">
        <f t="shared" si="15"/>
        <v>6.6966738617353725E-3</v>
      </c>
      <c r="N23" s="58">
        <f t="shared" si="16"/>
        <v>6.6966738617353725E-3</v>
      </c>
      <c r="O23" s="59">
        <f t="shared" ref="O23:O37" si="17">N23+O22</f>
        <v>1.3393347723470745E-2</v>
      </c>
    </row>
    <row r="24" spans="1:15" x14ac:dyDescent="0.2">
      <c r="A24" s="37">
        <v>1320</v>
      </c>
      <c r="B24" s="55">
        <v>36</v>
      </c>
      <c r="C24" s="56" t="s">
        <v>23</v>
      </c>
      <c r="D24" s="57">
        <f>'Headloss Calcs'!$A$26</f>
        <v>6</v>
      </c>
      <c r="E24" s="53">
        <f t="shared" si="9"/>
        <v>9.2840166369578139</v>
      </c>
      <c r="F24" s="38">
        <f>'Headloss Calcs'!$H$18</f>
        <v>100</v>
      </c>
      <c r="G24" s="53">
        <f t="shared" si="10"/>
        <v>7.0686</v>
      </c>
      <c r="H24" s="53">
        <f t="shared" si="11"/>
        <v>9.4247999999999994</v>
      </c>
      <c r="I24" s="53">
        <f t="shared" si="12"/>
        <v>0.75</v>
      </c>
      <c r="J24" s="53">
        <f t="shared" si="13"/>
        <v>1.3134166082332872</v>
      </c>
      <c r="K24" s="53">
        <f t="shared" si="14"/>
        <v>0.36592421642835721</v>
      </c>
      <c r="L24" s="53"/>
      <c r="M24" s="58">
        <f t="shared" si="15"/>
        <v>0</v>
      </c>
      <c r="N24" s="58">
        <f t="shared" si="16"/>
        <v>0.36592421642835721</v>
      </c>
      <c r="O24" s="59">
        <f t="shared" si="17"/>
        <v>0.37931756415182794</v>
      </c>
    </row>
    <row r="25" spans="1:15" x14ac:dyDescent="0.2">
      <c r="A25" s="37"/>
      <c r="B25" s="55">
        <v>36</v>
      </c>
      <c r="C25" s="56" t="s">
        <v>45</v>
      </c>
      <c r="D25" s="57">
        <f>'Headloss Calcs'!$A$26</f>
        <v>6</v>
      </c>
      <c r="E25" s="53">
        <f t="shared" si="9"/>
        <v>9.2840166369578139</v>
      </c>
      <c r="F25" s="38">
        <f>'Headloss Calcs'!$H$18</f>
        <v>100</v>
      </c>
      <c r="G25" s="53">
        <f t="shared" si="10"/>
        <v>7.0686</v>
      </c>
      <c r="H25" s="53">
        <f t="shared" si="11"/>
        <v>9.4247999999999994</v>
      </c>
      <c r="I25" s="53">
        <f t="shared" si="12"/>
        <v>0.75</v>
      </c>
      <c r="J25" s="53">
        <f t="shared" si="13"/>
        <v>1.3134166082332872</v>
      </c>
      <c r="K25" s="53">
        <f t="shared" si="14"/>
        <v>0</v>
      </c>
      <c r="L25" s="53">
        <v>0.2</v>
      </c>
      <c r="M25" s="58">
        <f t="shared" si="15"/>
        <v>5.3573390893882989E-3</v>
      </c>
      <c r="N25" s="58">
        <f t="shared" si="16"/>
        <v>5.3573390893882989E-3</v>
      </c>
      <c r="O25" s="59">
        <f t="shared" si="17"/>
        <v>0.38467490324121623</v>
      </c>
    </row>
    <row r="26" spans="1:15" x14ac:dyDescent="0.2">
      <c r="A26" s="37">
        <v>1320</v>
      </c>
      <c r="B26" s="55">
        <v>36</v>
      </c>
      <c r="C26" s="69" t="s">
        <v>23</v>
      </c>
      <c r="D26" s="57">
        <f>'Headloss Calcs'!$A$26</f>
        <v>6</v>
      </c>
      <c r="E26" s="53">
        <f t="shared" si="9"/>
        <v>9.2840166369578139</v>
      </c>
      <c r="F26" s="38">
        <f>'Headloss Calcs'!$H$18</f>
        <v>100</v>
      </c>
      <c r="G26" s="53">
        <f t="shared" si="10"/>
        <v>7.0686</v>
      </c>
      <c r="H26" s="53">
        <f t="shared" si="11"/>
        <v>9.4247999999999994</v>
      </c>
      <c r="I26" s="53">
        <f t="shared" si="12"/>
        <v>0.75</v>
      </c>
      <c r="J26" s="53">
        <f t="shared" si="13"/>
        <v>1.3134166082332872</v>
      </c>
      <c r="K26" s="53">
        <f t="shared" si="14"/>
        <v>0.36592421642835721</v>
      </c>
      <c r="L26" s="53"/>
      <c r="M26" s="58">
        <f t="shared" si="15"/>
        <v>0</v>
      </c>
      <c r="N26" s="58">
        <f t="shared" si="16"/>
        <v>0.36592421642835721</v>
      </c>
      <c r="O26" s="59">
        <f t="shared" si="17"/>
        <v>0.75059911966957338</v>
      </c>
    </row>
    <row r="27" spans="1:15" x14ac:dyDescent="0.2">
      <c r="A27" s="37"/>
      <c r="B27" s="55">
        <v>36</v>
      </c>
      <c r="C27" s="56" t="s">
        <v>39</v>
      </c>
      <c r="D27" s="57">
        <f>'Headloss Calcs'!$A$26</f>
        <v>6</v>
      </c>
      <c r="E27" s="53">
        <f t="shared" si="9"/>
        <v>9.2840166369578139</v>
      </c>
      <c r="F27" s="38">
        <f>'Headloss Calcs'!$H$18</f>
        <v>100</v>
      </c>
      <c r="G27" s="53">
        <f t="shared" si="10"/>
        <v>7.0686</v>
      </c>
      <c r="H27" s="53">
        <f t="shared" si="11"/>
        <v>9.4247999999999994</v>
      </c>
      <c r="I27" s="53">
        <f t="shared" si="12"/>
        <v>0.75</v>
      </c>
      <c r="J27" s="53">
        <f t="shared" si="13"/>
        <v>1.3134166082332872</v>
      </c>
      <c r="K27" s="53">
        <f t="shared" si="14"/>
        <v>0</v>
      </c>
      <c r="L27" s="53">
        <v>0.4</v>
      </c>
      <c r="M27" s="58">
        <f t="shared" si="15"/>
        <v>1.0714678178776598E-2</v>
      </c>
      <c r="N27" s="58">
        <f t="shared" si="16"/>
        <v>1.0714678178776598E-2</v>
      </c>
      <c r="O27" s="59">
        <f t="shared" si="17"/>
        <v>0.76131379784834996</v>
      </c>
    </row>
    <row r="28" spans="1:15" x14ac:dyDescent="0.2">
      <c r="A28" s="37">
        <v>1320</v>
      </c>
      <c r="B28" s="55">
        <v>36</v>
      </c>
      <c r="C28" s="56" t="s">
        <v>23</v>
      </c>
      <c r="D28" s="57">
        <f>'Headloss Calcs'!$A$26</f>
        <v>6</v>
      </c>
      <c r="E28" s="53">
        <f t="shared" si="9"/>
        <v>9.2840166369578139</v>
      </c>
      <c r="F28" s="38">
        <f>'Headloss Calcs'!$H$18</f>
        <v>100</v>
      </c>
      <c r="G28" s="53">
        <f t="shared" si="10"/>
        <v>7.0686</v>
      </c>
      <c r="H28" s="53">
        <f t="shared" si="11"/>
        <v>9.4247999999999994</v>
      </c>
      <c r="I28" s="53">
        <f t="shared" si="12"/>
        <v>0.75</v>
      </c>
      <c r="J28" s="53">
        <f t="shared" si="13"/>
        <v>1.3134166082332872</v>
      </c>
      <c r="K28" s="53">
        <f t="shared" si="14"/>
        <v>0.36592421642835721</v>
      </c>
      <c r="L28" s="53"/>
      <c r="M28" s="58">
        <f t="shared" si="15"/>
        <v>0</v>
      </c>
      <c r="N28" s="58">
        <f t="shared" si="16"/>
        <v>0.36592421642835721</v>
      </c>
      <c r="O28" s="59">
        <f t="shared" si="17"/>
        <v>1.1272380142767071</v>
      </c>
    </row>
    <row r="29" spans="1:15" x14ac:dyDescent="0.2">
      <c r="A29" s="37"/>
      <c r="B29" s="55">
        <v>36</v>
      </c>
      <c r="C29" s="56" t="s">
        <v>39</v>
      </c>
      <c r="D29" s="57">
        <f>'Headloss Calcs'!$A$26</f>
        <v>6</v>
      </c>
      <c r="E29" s="53">
        <f t="shared" si="9"/>
        <v>9.2840166369578139</v>
      </c>
      <c r="F29" s="38">
        <f>'Headloss Calcs'!$H$18</f>
        <v>100</v>
      </c>
      <c r="G29" s="53">
        <f t="shared" si="10"/>
        <v>7.0686</v>
      </c>
      <c r="H29" s="53">
        <f t="shared" si="11"/>
        <v>9.4247999999999994</v>
      </c>
      <c r="I29" s="53">
        <f t="shared" si="12"/>
        <v>0.75</v>
      </c>
      <c r="J29" s="53">
        <f t="shared" si="13"/>
        <v>1.3134166082332872</v>
      </c>
      <c r="K29" s="53">
        <f t="shared" si="14"/>
        <v>0</v>
      </c>
      <c r="L29" s="53">
        <v>0.4</v>
      </c>
      <c r="M29" s="58">
        <f t="shared" si="15"/>
        <v>1.0714678178776598E-2</v>
      </c>
      <c r="N29" s="58">
        <f t="shared" si="16"/>
        <v>1.0714678178776598E-2</v>
      </c>
      <c r="O29" s="59">
        <f t="shared" si="17"/>
        <v>1.1379526924554837</v>
      </c>
    </row>
    <row r="30" spans="1:15" x14ac:dyDescent="0.2">
      <c r="A30" s="37">
        <v>1320</v>
      </c>
      <c r="B30" s="55">
        <v>36</v>
      </c>
      <c r="C30" s="56" t="s">
        <v>23</v>
      </c>
      <c r="D30" s="57">
        <f>'Headloss Calcs'!$A$26</f>
        <v>6</v>
      </c>
      <c r="E30" s="53">
        <f t="shared" si="9"/>
        <v>9.2840166369578139</v>
      </c>
      <c r="F30" s="38">
        <f>'Headloss Calcs'!$H$18</f>
        <v>100</v>
      </c>
      <c r="G30" s="53">
        <f t="shared" si="10"/>
        <v>7.0686</v>
      </c>
      <c r="H30" s="53">
        <f t="shared" si="11"/>
        <v>9.4247999999999994</v>
      </c>
      <c r="I30" s="53">
        <f t="shared" si="12"/>
        <v>0.75</v>
      </c>
      <c r="J30" s="53">
        <f t="shared" si="13"/>
        <v>1.3134166082332872</v>
      </c>
      <c r="K30" s="53">
        <f t="shared" si="14"/>
        <v>0.36592421642835721</v>
      </c>
      <c r="L30" s="53"/>
      <c r="M30" s="58">
        <f t="shared" si="15"/>
        <v>0</v>
      </c>
      <c r="N30" s="58">
        <f t="shared" si="16"/>
        <v>0.36592421642835721</v>
      </c>
      <c r="O30" s="59">
        <f t="shared" si="17"/>
        <v>1.5038769088838408</v>
      </c>
    </row>
    <row r="31" spans="1:15" x14ac:dyDescent="0.2">
      <c r="A31" s="37"/>
      <c r="B31" s="55">
        <v>36</v>
      </c>
      <c r="C31" s="56" t="s">
        <v>48</v>
      </c>
      <c r="D31" s="57">
        <f>'Headloss Calcs'!$A$26</f>
        <v>6</v>
      </c>
      <c r="E31" s="53">
        <f t="shared" si="9"/>
        <v>9.2840166369578139</v>
      </c>
      <c r="F31" s="38">
        <f>'Headloss Calcs'!$H$18</f>
        <v>100</v>
      </c>
      <c r="G31" s="53">
        <f t="shared" si="10"/>
        <v>7.0686</v>
      </c>
      <c r="H31" s="53">
        <f t="shared" si="11"/>
        <v>9.4247999999999994</v>
      </c>
      <c r="I31" s="53">
        <f t="shared" si="12"/>
        <v>0.75</v>
      </c>
      <c r="J31" s="53">
        <f t="shared" si="13"/>
        <v>1.3134166082332872</v>
      </c>
      <c r="K31" s="53">
        <f t="shared" si="14"/>
        <v>0</v>
      </c>
      <c r="L31" s="53">
        <v>0.4</v>
      </c>
      <c r="M31" s="58">
        <f t="shared" si="15"/>
        <v>1.0714678178776598E-2</v>
      </c>
      <c r="N31" s="58">
        <f t="shared" si="16"/>
        <v>1.0714678178776598E-2</v>
      </c>
      <c r="O31" s="59">
        <f t="shared" si="17"/>
        <v>1.5145915870626174</v>
      </c>
    </row>
    <row r="32" spans="1:15" x14ac:dyDescent="0.2">
      <c r="A32" s="37">
        <v>1320</v>
      </c>
      <c r="B32" s="55">
        <v>36</v>
      </c>
      <c r="C32" s="56" t="s">
        <v>23</v>
      </c>
      <c r="D32" s="57">
        <f>'Headloss Calcs'!$A$26</f>
        <v>6</v>
      </c>
      <c r="E32" s="53">
        <f t="shared" si="9"/>
        <v>9.2840166369578139</v>
      </c>
      <c r="F32" s="38">
        <f>'Headloss Calcs'!$H$18</f>
        <v>100</v>
      </c>
      <c r="G32" s="53">
        <f t="shared" si="10"/>
        <v>7.0686</v>
      </c>
      <c r="H32" s="53">
        <f t="shared" si="11"/>
        <v>9.4247999999999994</v>
      </c>
      <c r="I32" s="53">
        <f t="shared" si="12"/>
        <v>0.75</v>
      </c>
      <c r="J32" s="53">
        <f t="shared" si="13"/>
        <v>1.3134166082332872</v>
      </c>
      <c r="K32" s="53">
        <f t="shared" si="14"/>
        <v>0.36592421642835721</v>
      </c>
      <c r="L32" s="53"/>
      <c r="M32" s="58">
        <f t="shared" si="15"/>
        <v>0</v>
      </c>
      <c r="N32" s="58">
        <f t="shared" si="16"/>
        <v>0.36592421642835721</v>
      </c>
      <c r="O32" s="59">
        <f t="shared" si="17"/>
        <v>1.8805158034909746</v>
      </c>
    </row>
    <row r="33" spans="1:15" x14ac:dyDescent="0.2">
      <c r="A33" s="37"/>
      <c r="B33" s="55">
        <v>36</v>
      </c>
      <c r="C33" s="56" t="s">
        <v>39</v>
      </c>
      <c r="D33" s="57">
        <f>'Headloss Calcs'!$A$26</f>
        <v>6</v>
      </c>
      <c r="E33" s="53">
        <f t="shared" si="9"/>
        <v>9.2840166369578139</v>
      </c>
      <c r="F33" s="38">
        <f>'Headloss Calcs'!$H$18</f>
        <v>100</v>
      </c>
      <c r="G33" s="53">
        <f t="shared" si="10"/>
        <v>7.0686</v>
      </c>
      <c r="H33" s="53">
        <f t="shared" si="11"/>
        <v>9.4247999999999994</v>
      </c>
      <c r="I33" s="53">
        <f t="shared" si="12"/>
        <v>0.75</v>
      </c>
      <c r="J33" s="53">
        <f t="shared" si="13"/>
        <v>1.3134166082332872</v>
      </c>
      <c r="K33" s="53">
        <f t="shared" si="14"/>
        <v>0</v>
      </c>
      <c r="L33" s="53">
        <v>0.4</v>
      </c>
      <c r="M33" s="58">
        <f t="shared" si="15"/>
        <v>1.0714678178776598E-2</v>
      </c>
      <c r="N33" s="58">
        <f t="shared" si="16"/>
        <v>1.0714678178776598E-2</v>
      </c>
      <c r="O33" s="59">
        <f t="shared" si="17"/>
        <v>1.8912304816697512</v>
      </c>
    </row>
    <row r="34" spans="1:15" x14ac:dyDescent="0.2">
      <c r="A34" s="37">
        <v>1320</v>
      </c>
      <c r="B34" s="55">
        <v>36</v>
      </c>
      <c r="C34" s="56" t="s">
        <v>23</v>
      </c>
      <c r="D34" s="57">
        <f>'Headloss Calcs'!$A$26</f>
        <v>6</v>
      </c>
      <c r="E34" s="53">
        <f t="shared" si="9"/>
        <v>9.2840166369578139</v>
      </c>
      <c r="F34" s="38">
        <f>'Headloss Calcs'!$H$18</f>
        <v>100</v>
      </c>
      <c r="G34" s="53">
        <f t="shared" si="10"/>
        <v>7.0686</v>
      </c>
      <c r="H34" s="53">
        <f t="shared" si="11"/>
        <v>9.4247999999999994</v>
      </c>
      <c r="I34" s="53">
        <f t="shared" si="12"/>
        <v>0.75</v>
      </c>
      <c r="J34" s="53">
        <f t="shared" si="13"/>
        <v>1.3134166082332872</v>
      </c>
      <c r="K34" s="53">
        <f t="shared" si="14"/>
        <v>0.36592421642835721</v>
      </c>
      <c r="L34" s="53"/>
      <c r="M34" s="58">
        <f t="shared" si="15"/>
        <v>0</v>
      </c>
      <c r="N34" s="58">
        <f t="shared" si="16"/>
        <v>0.36592421642835721</v>
      </c>
      <c r="O34" s="59">
        <f t="shared" si="17"/>
        <v>2.2571546980981085</v>
      </c>
    </row>
    <row r="35" spans="1:15" x14ac:dyDescent="0.2">
      <c r="A35" s="37"/>
      <c r="B35" s="55">
        <v>36</v>
      </c>
      <c r="C35" s="56" t="s">
        <v>45</v>
      </c>
      <c r="D35" s="57">
        <f>'Headloss Calcs'!$A$26</f>
        <v>6</v>
      </c>
      <c r="E35" s="53">
        <f t="shared" si="9"/>
        <v>9.2840166369578139</v>
      </c>
      <c r="F35" s="38">
        <f>'Headloss Calcs'!$H$18</f>
        <v>100</v>
      </c>
      <c r="G35" s="53">
        <f t="shared" si="10"/>
        <v>7.0686</v>
      </c>
      <c r="H35" s="53">
        <f t="shared" si="11"/>
        <v>9.4247999999999994</v>
      </c>
      <c r="I35" s="53">
        <f t="shared" si="12"/>
        <v>0.75</v>
      </c>
      <c r="J35" s="53">
        <f t="shared" si="13"/>
        <v>1.3134166082332872</v>
      </c>
      <c r="K35" s="53">
        <f t="shared" si="14"/>
        <v>0</v>
      </c>
      <c r="L35" s="53">
        <v>0.2</v>
      </c>
      <c r="M35" s="58">
        <f t="shared" si="15"/>
        <v>5.3573390893882989E-3</v>
      </c>
      <c r="N35" s="58">
        <f t="shared" si="16"/>
        <v>5.3573390893882989E-3</v>
      </c>
      <c r="O35" s="59">
        <f t="shared" si="17"/>
        <v>2.2625120371874967</v>
      </c>
    </row>
    <row r="36" spans="1:15" x14ac:dyDescent="0.2">
      <c r="A36" s="37">
        <v>1320</v>
      </c>
      <c r="B36" s="55">
        <v>36</v>
      </c>
      <c r="C36" s="56" t="s">
        <v>23</v>
      </c>
      <c r="D36" s="57">
        <f>'Headloss Calcs'!$A$26</f>
        <v>6</v>
      </c>
      <c r="E36" s="53">
        <f t="shared" si="9"/>
        <v>9.2840166369578139</v>
      </c>
      <c r="F36" s="38">
        <f>'Headloss Calcs'!$H$18</f>
        <v>100</v>
      </c>
      <c r="G36" s="53">
        <f t="shared" si="10"/>
        <v>7.0686</v>
      </c>
      <c r="H36" s="53">
        <f t="shared" si="11"/>
        <v>9.4247999999999994</v>
      </c>
      <c r="I36" s="53">
        <f t="shared" si="12"/>
        <v>0.75</v>
      </c>
      <c r="J36" s="53">
        <f t="shared" si="13"/>
        <v>1.3134166082332872</v>
      </c>
      <c r="K36" s="53">
        <f t="shared" si="14"/>
        <v>0.36592421642835721</v>
      </c>
      <c r="L36" s="53"/>
      <c r="M36" s="58">
        <f t="shared" si="15"/>
        <v>0</v>
      </c>
      <c r="N36" s="58">
        <f t="shared" si="16"/>
        <v>0.36592421642835721</v>
      </c>
      <c r="O36" s="59">
        <f t="shared" si="17"/>
        <v>2.6284362536158539</v>
      </c>
    </row>
    <row r="37" spans="1:15" ht="12" customHeight="1" x14ac:dyDescent="0.2">
      <c r="A37" s="37"/>
      <c r="B37" s="55">
        <v>36</v>
      </c>
      <c r="C37" s="56" t="s">
        <v>44</v>
      </c>
      <c r="D37" s="57">
        <f>'Headloss Calcs'!$A$26</f>
        <v>6</v>
      </c>
      <c r="E37" s="53">
        <f t="shared" si="9"/>
        <v>9.2840166369578139</v>
      </c>
      <c r="F37" s="38">
        <f>'Headloss Calcs'!$H$18</f>
        <v>100</v>
      </c>
      <c r="G37" s="53">
        <f t="shared" si="10"/>
        <v>7.0686</v>
      </c>
      <c r="H37" s="53">
        <f t="shared" si="11"/>
        <v>9.4247999999999994</v>
      </c>
      <c r="I37" s="53">
        <f t="shared" si="12"/>
        <v>0.75</v>
      </c>
      <c r="J37" s="53">
        <f t="shared" si="13"/>
        <v>1.3134166082332872</v>
      </c>
      <c r="K37" s="53">
        <f t="shared" si="14"/>
        <v>0</v>
      </c>
      <c r="L37" s="53">
        <v>1</v>
      </c>
      <c r="M37" s="58">
        <f t="shared" si="15"/>
        <v>2.678669544694149E-2</v>
      </c>
      <c r="N37" s="58">
        <f t="shared" si="16"/>
        <v>2.678669544694149E-2</v>
      </c>
      <c r="O37" s="59">
        <f t="shared" si="17"/>
        <v>2.6552229490627952</v>
      </c>
    </row>
    <row r="38" spans="1:15" ht="13.5" thickBot="1" x14ac:dyDescent="0.25">
      <c r="A38" s="39"/>
      <c r="B38" s="40"/>
      <c r="C38" s="41"/>
      <c r="D38" s="40"/>
      <c r="E38" s="42"/>
      <c r="F38" s="40"/>
      <c r="G38" s="54"/>
      <c r="H38" s="54"/>
      <c r="I38" s="54"/>
      <c r="J38" s="54"/>
      <c r="K38" s="54"/>
      <c r="L38" s="54"/>
      <c r="M38" s="60"/>
      <c r="N38" s="60" t="s">
        <v>40</v>
      </c>
      <c r="O38" s="61">
        <f>O37</f>
        <v>2.6552229490627952</v>
      </c>
    </row>
    <row r="39" spans="1:15" s="45" customFormat="1" ht="13.5" thickTop="1" x14ac:dyDescent="0.2">
      <c r="A39" s="44"/>
      <c r="B39" s="62"/>
      <c r="C39" s="63"/>
      <c r="D39" s="64"/>
      <c r="E39" s="7"/>
      <c r="F39" s="44"/>
      <c r="G39" s="7"/>
      <c r="H39" s="7"/>
      <c r="I39" s="7"/>
      <c r="J39" s="7"/>
      <c r="K39" s="7"/>
      <c r="L39" s="7"/>
      <c r="M39" s="67"/>
      <c r="N39" s="67"/>
      <c r="O39" s="67"/>
    </row>
    <row r="40" spans="1:15" s="45" customFormat="1" x14ac:dyDescent="0.2">
      <c r="A40" s="44"/>
      <c r="B40" s="62"/>
      <c r="C40" s="63"/>
      <c r="D40" s="64"/>
      <c r="E40" s="7"/>
      <c r="F40" s="44"/>
      <c r="G40" s="7"/>
      <c r="H40" s="7"/>
      <c r="I40" s="7"/>
      <c r="J40" s="7"/>
      <c r="K40" s="7"/>
      <c r="L40" s="7"/>
      <c r="M40" s="67"/>
      <c r="N40" s="67"/>
      <c r="O40" s="67"/>
    </row>
    <row r="41" spans="1:15" s="45" customFormat="1" x14ac:dyDescent="0.2">
      <c r="A41" s="44"/>
      <c r="B41" s="62"/>
      <c r="C41" s="63"/>
      <c r="D41" s="64"/>
      <c r="E41" s="7"/>
      <c r="F41" s="44"/>
      <c r="G41" s="7"/>
      <c r="H41" s="7"/>
      <c r="I41" s="7"/>
      <c r="J41" s="7"/>
      <c r="K41" s="7"/>
      <c r="L41" s="7"/>
      <c r="M41" s="67"/>
      <c r="N41" s="67"/>
      <c r="O41" s="67"/>
    </row>
    <row r="42" spans="1:15" s="45" customFormat="1" x14ac:dyDescent="0.2">
      <c r="A42" s="44"/>
      <c r="B42" s="62"/>
      <c r="C42" s="63"/>
      <c r="D42" s="64"/>
      <c r="E42" s="7"/>
      <c r="F42" s="44"/>
      <c r="G42" s="7"/>
      <c r="H42" s="7"/>
      <c r="I42" s="7"/>
      <c r="J42" s="7"/>
      <c r="K42" s="7"/>
      <c r="L42" s="7"/>
      <c r="M42" s="67"/>
      <c r="N42" s="67"/>
      <c r="O42" s="67"/>
    </row>
    <row r="43" spans="1:15" s="45" customFormat="1" x14ac:dyDescent="0.2">
      <c r="A43" s="44"/>
      <c r="B43" s="62"/>
      <c r="C43" s="63"/>
      <c r="D43" s="64"/>
      <c r="E43" s="7"/>
      <c r="F43" s="44"/>
      <c r="G43" s="7"/>
      <c r="H43" s="7"/>
      <c r="I43" s="7"/>
      <c r="J43" s="7"/>
      <c r="K43" s="7"/>
      <c r="L43" s="7"/>
      <c r="M43" s="67"/>
      <c r="N43" s="67"/>
      <c r="O43" s="67"/>
    </row>
    <row r="44" spans="1:15" s="45" customFormat="1" x14ac:dyDescent="0.2">
      <c r="A44" s="44"/>
      <c r="B44" s="44"/>
      <c r="D44" s="44"/>
      <c r="E44" s="46"/>
      <c r="F44" s="44"/>
      <c r="G44" s="7"/>
      <c r="H44" s="7"/>
      <c r="I44" s="7"/>
      <c r="J44" s="7"/>
      <c r="K44" s="7"/>
      <c r="L44" s="7"/>
      <c r="M44" s="67"/>
      <c r="N44" s="67"/>
      <c r="O44" s="68"/>
    </row>
    <row r="45" spans="1:15" s="45" customFormat="1" x14ac:dyDescent="0.2">
      <c r="A45" s="44"/>
      <c r="B45" s="62"/>
      <c r="C45" s="63"/>
      <c r="D45" s="64"/>
      <c r="E45" s="7"/>
      <c r="F45" s="65"/>
      <c r="G45" s="7"/>
      <c r="H45" s="7"/>
      <c r="I45" s="7"/>
      <c r="J45" s="7"/>
      <c r="K45" s="7"/>
      <c r="L45" s="7"/>
      <c r="M45" s="7"/>
      <c r="N45" s="7"/>
      <c r="O45" s="7"/>
    </row>
    <row r="46" spans="1:15" s="45" customFormat="1" x14ac:dyDescent="0.2">
      <c r="A46" s="44"/>
      <c r="B46" s="62"/>
      <c r="C46" s="63"/>
      <c r="D46" s="64"/>
      <c r="E46" s="7"/>
      <c r="F46" s="65"/>
      <c r="G46" s="7"/>
      <c r="H46" s="7"/>
      <c r="I46" s="7"/>
      <c r="J46" s="7"/>
      <c r="K46" s="7"/>
      <c r="L46" s="7"/>
      <c r="M46" s="7"/>
      <c r="N46" s="7"/>
      <c r="O46" s="7"/>
    </row>
    <row r="47" spans="1:15" s="45" customFormat="1" x14ac:dyDescent="0.2">
      <c r="A47" s="44"/>
      <c r="B47" s="62"/>
      <c r="C47" s="63"/>
      <c r="D47" s="64"/>
      <c r="E47" s="7"/>
      <c r="F47" s="65"/>
      <c r="G47" s="7"/>
      <c r="H47" s="7"/>
      <c r="I47" s="7"/>
      <c r="J47" s="7"/>
      <c r="K47" s="7"/>
      <c r="L47" s="7"/>
      <c r="M47" s="7"/>
      <c r="N47" s="7"/>
      <c r="O47" s="7"/>
    </row>
    <row r="48" spans="1:15" s="45" customFormat="1" x14ac:dyDescent="0.2">
      <c r="A48" s="44"/>
      <c r="B48" s="62"/>
      <c r="C48" s="63"/>
      <c r="D48" s="64"/>
      <c r="E48" s="7"/>
      <c r="F48" s="65"/>
      <c r="G48" s="7"/>
      <c r="H48" s="7"/>
      <c r="I48" s="7"/>
      <c r="J48" s="7"/>
      <c r="K48" s="7"/>
      <c r="L48" s="7"/>
      <c r="M48" s="7"/>
      <c r="N48" s="7"/>
      <c r="O48" s="7"/>
    </row>
    <row r="49" spans="1:15" s="45" customFormat="1" x14ac:dyDescent="0.2">
      <c r="A49" s="44"/>
      <c r="B49" s="62"/>
      <c r="C49" s="63"/>
      <c r="D49" s="64"/>
      <c r="E49" s="7"/>
      <c r="F49" s="65"/>
      <c r="G49" s="7"/>
      <c r="H49" s="7"/>
      <c r="I49" s="7"/>
      <c r="J49" s="7"/>
      <c r="K49" s="7"/>
      <c r="L49" s="7"/>
      <c r="M49" s="7"/>
      <c r="N49" s="7"/>
      <c r="O49" s="7"/>
    </row>
    <row r="50" spans="1:15" s="45" customFormat="1" x14ac:dyDescent="0.2">
      <c r="A50" s="44"/>
      <c r="B50" s="44"/>
      <c r="D50" s="44"/>
      <c r="E50" s="46"/>
      <c r="F50" s="44"/>
      <c r="G50" s="7"/>
      <c r="H50" s="7"/>
      <c r="I50" s="7"/>
      <c r="J50" s="7"/>
      <c r="K50" s="7"/>
      <c r="L50" s="7"/>
      <c r="M50" s="7"/>
      <c r="N50" s="7"/>
      <c r="O50" s="66"/>
    </row>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CD18D0CEBDCA4CA37079CF911C807D" ma:contentTypeVersion="7" ma:contentTypeDescription="Create a new document." ma:contentTypeScope="" ma:versionID="d2a6755f47fa384c020dd6c1579eaf6f">
  <xsd:schema xmlns:xsd="http://www.w3.org/2001/XMLSchema" xmlns:xs="http://www.w3.org/2001/XMLSchema" xmlns:p="http://schemas.microsoft.com/office/2006/metadata/properties" xmlns:ns2="9ff0308b-aaa8-4238-b58d-3ef9deafc4ca" xmlns:ns3="e792a105-b33c-4b4e-b161-5b7a4b991387" targetNamespace="http://schemas.microsoft.com/office/2006/metadata/properties" ma:root="true" ma:fieldsID="c6cd867eaab2f9c13334436b4b5ba232" ns2:_="" ns3:_="">
    <xsd:import namespace="9ff0308b-aaa8-4238-b58d-3ef9deafc4ca"/>
    <xsd:import namespace="e792a105-b33c-4b4e-b161-5b7a4b991387"/>
    <xsd:element name="properties">
      <xsd:complexType>
        <xsd:sequence>
          <xsd:element name="documentManagement">
            <xsd:complexType>
              <xsd:all>
                <xsd:element ref="ns2:Chapter_x0020_Owner" minOccurs="0"/>
                <xsd:element ref="ns2:Status" minOccurs="0"/>
                <xsd:element ref="ns2:Chapter"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0308b-aaa8-4238-b58d-3ef9deafc4ca" elementFormDefault="qualified">
    <xsd:import namespace="http://schemas.microsoft.com/office/2006/documentManagement/types"/>
    <xsd:import namespace="http://schemas.microsoft.com/office/infopath/2007/PartnerControls"/>
    <xsd:element name="Chapter_x0020_Owner" ma:index="4" nillable="true" ma:displayName="Chapter Owner" ma:list="UserInfo" ma:SearchPeopleOnly="false" ma:SharePointGroup="820" ma:internalName="Chapter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5" nillable="true" ma:displayName="Status" ma:format="Dropdown" ma:internalName="Status" ma:readOnly="false">
      <xsd:simpleType>
        <xsd:restriction base="dms:Choice">
          <xsd:enumeration value="Draft"/>
          <xsd:enumeration value="Awaiting Approval"/>
          <xsd:enumeration value="Published"/>
          <xsd:enumeration value="Archived"/>
          <xsd:enumeration value="Supporting Documents"/>
        </xsd:restriction>
      </xsd:simpleType>
    </xsd:element>
    <xsd:element name="Chapter" ma:index="6" nillable="true" ma:displayName="Chapter" ma:decimals="0" ma:internalName="Chapt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792a105-b33c-4b4e-b161-5b7a4b991387"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Chapter_x0020_Owner xmlns="9ff0308b-aaa8-4238-b58d-3ef9deafc4ca">
      <UserInfo>
        <DisplayName>;UserInfo</DisplayName>
        <AccountId>3</AccountId>
        <AccountType/>
      </UserInfo>
    </Chapter_x0020_Owner>
    <_dlc_DocId xmlns="e792a105-b33c-4b4e-b161-5b7a4b991387">SPUT1-1446858719-147</_dlc_DocId>
    <Status xmlns="9ff0308b-aaa8-4238-b58d-3ef9deafc4ca">Published</Status>
    <Chapter xmlns="9ff0308b-aaa8-4238-b58d-3ef9deafc4ca">11</Chapter>
    <_dlc_DocIdUrl xmlns="e792a105-b33c-4b4e-b161-5b7a4b991387">
      <Url>https://seattlegov.sharepoint.com/sites/SPU-T1/DSG/_layouts/15/DocIdRedir.aspx?ID=SPUT1-1446858719-147</Url>
      <Description>SPUT1-1446858719-147</Description>
    </_dlc_DocIdUrl>
  </documentManagement>
</p:properties>
</file>

<file path=customXml/itemProps1.xml><?xml version="1.0" encoding="utf-8"?>
<ds:datastoreItem xmlns:ds="http://schemas.openxmlformats.org/officeDocument/2006/customXml" ds:itemID="{F14FE1F4-C3CA-404F-83E7-507FB4F02B6C}">
  <ds:schemaRefs>
    <ds:schemaRef ds:uri="http://schemas.microsoft.com/sharepoint/v3/contenttype/forms"/>
  </ds:schemaRefs>
</ds:datastoreItem>
</file>

<file path=customXml/itemProps2.xml><?xml version="1.0" encoding="utf-8"?>
<ds:datastoreItem xmlns:ds="http://schemas.openxmlformats.org/officeDocument/2006/customXml" ds:itemID="{97A769C4-41BC-4E66-940C-DC38B5DC0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0308b-aaa8-4238-b58d-3ef9deafc4ca"/>
    <ds:schemaRef ds:uri="e792a105-b33c-4b4e-b161-5b7a4b9913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45A5D7-E2F5-459E-B95C-B7112DFD2A06}">
  <ds:schemaRefs>
    <ds:schemaRef ds:uri="http://schemas.microsoft.com/sharepoint/events"/>
  </ds:schemaRefs>
</ds:datastoreItem>
</file>

<file path=customXml/itemProps4.xml><?xml version="1.0" encoding="utf-8"?>
<ds:datastoreItem xmlns:ds="http://schemas.openxmlformats.org/officeDocument/2006/customXml" ds:itemID="{C1A4A623-E7E2-4644-B010-A10052CD6518}">
  <ds:schemaRefs>
    <ds:schemaRef ds:uri="http://schemas.microsoft.com/office/2006/metadata/properties"/>
    <ds:schemaRef ds:uri="9ff0308b-aaa8-4238-b58d-3ef9deafc4ca"/>
    <ds:schemaRef ds:uri="e792a105-b33c-4b4e-b161-5b7a4b9913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39</vt:i4>
      </vt:variant>
      <vt:variant>
        <vt:lpstr>Charts</vt:lpstr>
      </vt:variant>
      <vt:variant>
        <vt:i4>2</vt:i4>
      </vt:variant>
      <vt:variant>
        <vt:lpstr>Named Ranges</vt:lpstr>
      </vt:variant>
      <vt:variant>
        <vt:i4>2</vt:i4>
      </vt:variant>
    </vt:vector>
  </HeadingPairs>
  <TitlesOfParts>
    <vt:vector size="43" baseType="lpstr">
      <vt:lpstr>Headloss Calcs</vt:lpstr>
      <vt:lpstr>Station Piping</vt:lpstr>
      <vt:lpstr>Pump Characterstics</vt:lpstr>
      <vt:lpstr>HL 1.0</vt:lpstr>
      <vt:lpstr>HL 2.0</vt:lpstr>
      <vt:lpstr>HL 3.0</vt:lpstr>
      <vt:lpstr>HL 4.0</vt:lpstr>
      <vt:lpstr>HL 5.0</vt:lpstr>
      <vt:lpstr>HL 6.0</vt:lpstr>
      <vt:lpstr>HL 7.0</vt:lpstr>
      <vt:lpstr>HL 8.0</vt:lpstr>
      <vt:lpstr>HL 9.0</vt:lpstr>
      <vt:lpstr>HL 10.0</vt:lpstr>
      <vt:lpstr>HL 11.0</vt:lpstr>
      <vt:lpstr>HL 12.0</vt:lpstr>
      <vt:lpstr>HL 13.0</vt:lpstr>
      <vt:lpstr>HL 14.0</vt:lpstr>
      <vt:lpstr>HL 15.0</vt:lpstr>
      <vt:lpstr>HL 16.0</vt:lpstr>
      <vt:lpstr>HL 17.0</vt:lpstr>
      <vt:lpstr>HL 18.0</vt:lpstr>
      <vt:lpstr>HL 19.0</vt:lpstr>
      <vt:lpstr>HL 20.0</vt:lpstr>
      <vt:lpstr>HL 21.0</vt:lpstr>
      <vt:lpstr>HL 22.0</vt:lpstr>
      <vt:lpstr>HL 23.0</vt:lpstr>
      <vt:lpstr>HL 24.0</vt:lpstr>
      <vt:lpstr>HL 25.0</vt:lpstr>
      <vt:lpstr>HL 26.0</vt:lpstr>
      <vt:lpstr>HL 27.0</vt:lpstr>
      <vt:lpstr>HL 28.0</vt:lpstr>
      <vt:lpstr>HL 29.0</vt:lpstr>
      <vt:lpstr>HL 30.0</vt:lpstr>
      <vt:lpstr>HL 31.0</vt:lpstr>
      <vt:lpstr>HL 32.0</vt:lpstr>
      <vt:lpstr>HL 33.0</vt:lpstr>
      <vt:lpstr>HL 34.0</vt:lpstr>
      <vt:lpstr>HL 35.0</vt:lpstr>
      <vt:lpstr>HL 36.0</vt:lpstr>
      <vt:lpstr>Manufacter's Curve and Modified</vt:lpstr>
      <vt:lpstr>Modified Pump and System Curves</vt:lpstr>
      <vt:lpstr>'Headloss Calcs'!Print_Area</vt:lpstr>
      <vt:lpstr>'Station Piping'!Print_Area</vt:lpstr>
    </vt:vector>
  </TitlesOfParts>
  <Company>CDM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11B1 Head Loss Calcs</dc:title>
  <dc:creator>CDM Associate</dc:creator>
  <cp:lastModifiedBy>Huber, Dean</cp:lastModifiedBy>
  <cp:lastPrinted>2008-01-05T00:44:09Z</cp:lastPrinted>
  <dcterms:created xsi:type="dcterms:W3CDTF">2005-11-15T03:17:45Z</dcterms:created>
  <dcterms:modified xsi:type="dcterms:W3CDTF">2017-08-01T21:25:48Z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0x0101002DCD18D0CEBDCA4CA37079CF911C807D</vt:lpwstr>
  </property>
  <property fmtid="{D5CDD505-2E9C-101B-9397-08002B2CF9AE}" pid="3" name="Author">
    <vt:lpwstr>2;#;UserInfo</vt:lpwstr>
  </property>
  <property fmtid="{D5CDD505-2E9C-101B-9397-08002B2CF9AE}" pid="4" name="Security_x0020_Classification">
    <vt:lpwstr/>
  </property>
  <property fmtid="{D5CDD505-2E9C-101B-9397-08002B2CF9AE}" pid="5" name="DocStatus">
    <vt:lpwstr/>
  </property>
  <property fmtid="{D5CDD505-2E9C-101B-9397-08002B2CF9AE}" pid="6" name="_ShortcutWebId">
    <vt:lpwstr/>
  </property>
  <property fmtid="{D5CDD505-2E9C-101B-9397-08002B2CF9AE}" pid="7" name="_ShortcutUniqueId">
    <vt:lpwstr/>
  </property>
  <property fmtid="{D5CDD505-2E9C-101B-9397-08002B2CF9AE}" pid="8" name="URL">
    <vt:lpwstr/>
  </property>
  <property fmtid="{D5CDD505-2E9C-101B-9397-08002B2CF9AE}" pid="9" name="_ShortcutSiteId">
    <vt:lpwstr/>
  </property>
  <property fmtid="{D5CDD505-2E9C-101B-9397-08002B2CF9AE}" pid="10" name="Created">
    <vt:filetime>2011-06-28T01:16:51Z</vt:filetime>
  </property>
  <property fmtid="{D5CDD505-2E9C-101B-9397-08002B2CF9AE}" pid="11" name="Security Classification">
    <vt:lpwstr/>
  </property>
  <property fmtid="{D5CDD505-2E9C-101B-9397-08002B2CF9AE}" pid="12" name="db1547e23eb44cfa91dac03451320372">
    <vt:lpwstr/>
  </property>
  <property fmtid="{D5CDD505-2E9C-101B-9397-08002B2CF9AE}" pid="13" name="Modified">
    <vt:filetime>2011-07-20T05:38:16Z</vt:filetime>
  </property>
  <property fmtid="{D5CDD505-2E9C-101B-9397-08002B2CF9AE}" pid="14" name="Editor">
    <vt:lpwstr>2;#;UserInfo</vt:lpwstr>
  </property>
  <property fmtid="{D5CDD505-2E9C-101B-9397-08002B2CF9AE}" pid="15" name="k67782cd903b44f380c1182fda17f8be">
    <vt:lpwstr/>
  </property>
  <property fmtid="{D5CDD505-2E9C-101B-9397-08002B2CF9AE}" pid="16" name="_ShortcutUrl">
    <vt:lpwstr/>
  </property>
  <property fmtid="{D5CDD505-2E9C-101B-9397-08002B2CF9AE}" pid="17" name="TaxCatchAll">
    <vt:lpwstr/>
  </property>
  <property fmtid="{D5CDD505-2E9C-101B-9397-08002B2CF9AE}" pid="18" name="_dlc_DocIdItemGuid">
    <vt:lpwstr>bb16a79b-3109-5c0d-9398-6ca420702085</vt:lpwstr>
  </property>
</Properties>
</file>